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ndependenciasa-my.sharepoint.com/personal/fbray_independencia-sa_cl/Documents/INDEPENDENCIA/RENTAS/Contabilidad/"/>
    </mc:Choice>
  </mc:AlternateContent>
  <xr:revisionPtr revIDLastSave="703" documentId="8_{69AA3519-FF4D-4BBC-9B39-CE35E1845F32}" xr6:coauthVersionLast="47" xr6:coauthVersionMax="47" xr10:uidLastSave="{AEFBE33C-38B1-414F-8BF2-3305FCC179D2}"/>
  <bookViews>
    <workbookView xWindow="-108" yWindow="-108" windowWidth="23256" windowHeight="12456" tabRatio="934" activeTab="4" xr2:uid="{96B7488B-0D19-4714-B880-5503F97EA759}"/>
  </bookViews>
  <sheets>
    <sheet name="Valor Cuota" sheetId="13" r:id="rId1"/>
    <sheet name="m²" sheetId="14" r:id="rId2"/>
    <sheet name="Valores por sector" sheetId="16" r:id="rId3"/>
    <sheet name="Deudas" sheetId="15" r:id="rId4"/>
    <sheet name="Fondo" sheetId="1" r:id="rId5"/>
    <sheet name="Descubrimiento" sheetId="2" r:id="rId6"/>
    <sheet name="Rentas SpA" sheetId="3" r:id="rId7"/>
    <sheet name="Pza Const" sheetId="4" r:id="rId8"/>
    <sheet name="Pza Arauc" sheetId="5" r:id="rId9"/>
    <sheet name="RRetail" sheetId="6" r:id="rId10"/>
    <sheet name="Bucarest" sheetId="7" r:id="rId11"/>
    <sheet name="Magdalena" sheetId="8" r:id="rId12"/>
    <sheet name="BFC" sheetId="9" r:id="rId13"/>
    <sheet name="Total Filiales Chile" sheetId="12" r:id="rId14"/>
    <sheet name="Constitution" sheetId="11" r:id="rId15"/>
    <sheet name="Limitless" sheetId="10" r:id="rId16"/>
  </sheets>
  <definedNames>
    <definedName name="_xlnm.Print_Area" localSheetId="5">Descubrimiento!$A$1:$Z$106</definedName>
    <definedName name="_xlnm.Print_Area" localSheetId="4">Fondo!$A$1:$AL$115</definedName>
    <definedName name="_xlnm.Print_Area" localSheetId="6">'Rentas SpA'!$A$1:$Z$105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144" i="13" l="1"/>
  <c r="B11145" i="13"/>
  <c r="B11146" i="13" s="1"/>
  <c r="B11147" i="13" s="1"/>
  <c r="B11148" i="13" s="1"/>
  <c r="B11149" i="13" s="1"/>
  <c r="B11150" i="13" s="1"/>
  <c r="B11151" i="13" s="1"/>
  <c r="B11152" i="13" s="1"/>
  <c r="B11153" i="13" s="1"/>
  <c r="B11154" i="13" s="1"/>
  <c r="B11155" i="13" s="1"/>
  <c r="B11156" i="13" s="1"/>
  <c r="B11157" i="13" s="1"/>
  <c r="B11158" i="13" s="1"/>
  <c r="B11159" i="13" s="1"/>
  <c r="B11160" i="13" s="1"/>
  <c r="B11161" i="13" s="1"/>
  <c r="B11162" i="13" s="1"/>
  <c r="B11163" i="13" s="1"/>
  <c r="B11164" i="13" s="1"/>
  <c r="B11165" i="13" s="1"/>
  <c r="B11166" i="13" s="1"/>
  <c r="B11167" i="13" s="1"/>
  <c r="B11168" i="13" s="1"/>
  <c r="B11169" i="13" s="1"/>
  <c r="B11170" i="13" s="1"/>
  <c r="B11171" i="13" s="1"/>
  <c r="B11172" i="13" s="1"/>
  <c r="B11143" i="13"/>
  <c r="G11287" i="13"/>
  <c r="F11287" i="13"/>
  <c r="G11286" i="13"/>
  <c r="F11286" i="13"/>
  <c r="G11285" i="13"/>
  <c r="F11285" i="13"/>
  <c r="G11284" i="13"/>
  <c r="F11284" i="13"/>
  <c r="G11283" i="13"/>
  <c r="F11283" i="13"/>
  <c r="G11282" i="13"/>
  <c r="F11282" i="13"/>
  <c r="G11281" i="13"/>
  <c r="F11281" i="13"/>
  <c r="G11280" i="13"/>
  <c r="F11280" i="13"/>
  <c r="G11279" i="13"/>
  <c r="F11279" i="13"/>
  <c r="G11278" i="13"/>
  <c r="F11278" i="13"/>
  <c r="G11277" i="13"/>
  <c r="F11277" i="13"/>
  <c r="G11276" i="13"/>
  <c r="F11276" i="13"/>
  <c r="G11275" i="13"/>
  <c r="F11275" i="13"/>
  <c r="G11274" i="13"/>
  <c r="F11274" i="13"/>
  <c r="G11273" i="13"/>
  <c r="F11273" i="13"/>
  <c r="G11272" i="13"/>
  <c r="F11272" i="13"/>
  <c r="G11271" i="13"/>
  <c r="F11271" i="13"/>
  <c r="G11270" i="13"/>
  <c r="F11270" i="13"/>
  <c r="G11269" i="13"/>
  <c r="F11269" i="13"/>
  <c r="G11268" i="13"/>
  <c r="F11268" i="13"/>
  <c r="G11267" i="13"/>
  <c r="F11267" i="13"/>
  <c r="G11266" i="13"/>
  <c r="F11266" i="13"/>
  <c r="G11265" i="13"/>
  <c r="F11265" i="13"/>
  <c r="G11264" i="13"/>
  <c r="F11264" i="13"/>
  <c r="G11263" i="13"/>
  <c r="G11262" i="13"/>
  <c r="G11261" i="13"/>
  <c r="G11260" i="13"/>
  <c r="F11260" i="13"/>
  <c r="G11259" i="13"/>
  <c r="F11259" i="13"/>
  <c r="G11258" i="13"/>
  <c r="F11258" i="13"/>
  <c r="G11257" i="13"/>
  <c r="F11257" i="13"/>
  <c r="G11256" i="13"/>
  <c r="F11256" i="13"/>
  <c r="G11255" i="13"/>
  <c r="F11255" i="13"/>
  <c r="G11254" i="13"/>
  <c r="F11254" i="13"/>
  <c r="G11253" i="13"/>
  <c r="F11253" i="13"/>
  <c r="G11252" i="13"/>
  <c r="F11252" i="13"/>
  <c r="G11251" i="13"/>
  <c r="F11251" i="13"/>
  <c r="G11250" i="13"/>
  <c r="F11250" i="13"/>
  <c r="G11249" i="13"/>
  <c r="F11249" i="13"/>
  <c r="G11248" i="13"/>
  <c r="F11248" i="13"/>
  <c r="G11247" i="13"/>
  <c r="F11247" i="13"/>
  <c r="G11246" i="13"/>
  <c r="F11246" i="13"/>
  <c r="G11245" i="13"/>
  <c r="F11245" i="13"/>
  <c r="G11244" i="13"/>
  <c r="F11244" i="13"/>
  <c r="G11243" i="13"/>
  <c r="F11243" i="13"/>
  <c r="G11242" i="13"/>
  <c r="F11242" i="13"/>
  <c r="G11241" i="13"/>
  <c r="F11241" i="13"/>
  <c r="G11240" i="13"/>
  <c r="F11240" i="13"/>
  <c r="G11239" i="13"/>
  <c r="F11239" i="13"/>
  <c r="G11238" i="13"/>
  <c r="F11238" i="13"/>
  <c r="G11237" i="13"/>
  <c r="F11237" i="13"/>
  <c r="G11236" i="13"/>
  <c r="F11236" i="13"/>
  <c r="G11235" i="13"/>
  <c r="F11235" i="13"/>
  <c r="G11234" i="13"/>
  <c r="F11234" i="13"/>
  <c r="G11233" i="13"/>
  <c r="F11233" i="13"/>
  <c r="G11232" i="13"/>
  <c r="F11232" i="13"/>
  <c r="G11231" i="13"/>
  <c r="F11231" i="13"/>
  <c r="G11230" i="13"/>
  <c r="F11230" i="13"/>
  <c r="G11229" i="13"/>
  <c r="F11229" i="13"/>
  <c r="G11228" i="13"/>
  <c r="F11228" i="13"/>
  <c r="E11228" i="13"/>
  <c r="E11229" i="13" s="1"/>
  <c r="E11230" i="13" s="1"/>
  <c r="E11231" i="13" s="1"/>
  <c r="E11232" i="13" s="1"/>
  <c r="E11233" i="13" s="1"/>
  <c r="E11234" i="13" s="1"/>
  <c r="E11235" i="13" s="1"/>
  <c r="E11236" i="13" s="1"/>
  <c r="E11237" i="13" s="1"/>
  <c r="E11238" i="13" s="1"/>
  <c r="E11239" i="13" s="1"/>
  <c r="E11240" i="13" s="1"/>
  <c r="E11241" i="13" s="1"/>
  <c r="E11242" i="13" s="1"/>
  <c r="E11243" i="13" s="1"/>
  <c r="E11244" i="13" s="1"/>
  <c r="E11245" i="13" s="1"/>
  <c r="E11246" i="13" s="1"/>
  <c r="E11247" i="13" s="1"/>
  <c r="E11248" i="13" s="1"/>
  <c r="E11249" i="13" s="1"/>
  <c r="E11250" i="13" s="1"/>
  <c r="E11251" i="13" s="1"/>
  <c r="E11252" i="13" s="1"/>
  <c r="E11253" i="13" s="1"/>
  <c r="E11254" i="13" s="1"/>
  <c r="E11255" i="13" s="1"/>
  <c r="E11256" i="13" s="1"/>
  <c r="E11257" i="13" s="1"/>
  <c r="E11258" i="13" s="1"/>
  <c r="E11259" i="13" s="1"/>
  <c r="E11260" i="13" s="1"/>
  <c r="E11261" i="13" s="1"/>
  <c r="E11262" i="13" s="1"/>
  <c r="E11263" i="13" s="1"/>
  <c r="E11264" i="13" s="1"/>
  <c r="E11265" i="13" s="1"/>
  <c r="E11266" i="13" s="1"/>
  <c r="E11267" i="13" s="1"/>
  <c r="E11268" i="13" s="1"/>
  <c r="E11269" i="13" s="1"/>
  <c r="E11270" i="13" s="1"/>
  <c r="E11271" i="13" s="1"/>
  <c r="E11272" i="13" s="1"/>
  <c r="E11273" i="13" s="1"/>
  <c r="E11274" i="13" s="1"/>
  <c r="E11275" i="13" s="1"/>
  <c r="E11276" i="13" s="1"/>
  <c r="E11277" i="13" s="1"/>
  <c r="E11278" i="13" s="1"/>
  <c r="E11279" i="13" s="1"/>
  <c r="E11280" i="13" s="1"/>
  <c r="E11281" i="13" s="1"/>
  <c r="E11282" i="13" s="1"/>
  <c r="E11283" i="13" s="1"/>
  <c r="E11284" i="13" s="1"/>
  <c r="E11285" i="13" s="1"/>
  <c r="E11286" i="13" s="1"/>
  <c r="E11287" i="13" s="1"/>
  <c r="G11227" i="13"/>
  <c r="F11227" i="13"/>
  <c r="E11227" i="13"/>
  <c r="B11227" i="13"/>
  <c r="B11174" i="13"/>
  <c r="B11175" i="13" s="1"/>
  <c r="B11176" i="13" s="1"/>
  <c r="B11177" i="13" s="1"/>
  <c r="B11178" i="13" s="1"/>
  <c r="B11179" i="13" s="1"/>
  <c r="B11180" i="13" s="1"/>
  <c r="B11181" i="13" s="1"/>
  <c r="B11182" i="13" s="1"/>
  <c r="B11183" i="13" s="1"/>
  <c r="B11184" i="13" s="1"/>
  <c r="B11185" i="13" s="1"/>
  <c r="B11186" i="13" s="1"/>
  <c r="B11187" i="13" s="1"/>
  <c r="B11188" i="13" s="1"/>
  <c r="B11189" i="13" s="1"/>
  <c r="B11190" i="13" s="1"/>
  <c r="B11191" i="13" s="1"/>
  <c r="B11192" i="13" s="1"/>
  <c r="B11193" i="13" s="1"/>
  <c r="B11194" i="13" s="1"/>
  <c r="B11195" i="13" s="1"/>
  <c r="B11196" i="13" s="1"/>
  <c r="B11197" i="13" s="1"/>
  <c r="B11198" i="13" s="1"/>
  <c r="B11199" i="13" s="1"/>
  <c r="B11200" i="13" s="1"/>
  <c r="B11202" i="13" s="1"/>
  <c r="B11203" i="13" s="1"/>
  <c r="B11204" i="13" s="1"/>
  <c r="B11205" i="13" s="1"/>
  <c r="B11206" i="13" s="1"/>
  <c r="B11207" i="13" s="1"/>
  <c r="B11208" i="13" s="1"/>
  <c r="B11209" i="13" s="1"/>
  <c r="B11210" i="13" s="1"/>
  <c r="B11211" i="13" s="1"/>
  <c r="B11212" i="13" s="1"/>
  <c r="B11213" i="13" s="1"/>
  <c r="B11214" i="13" s="1"/>
  <c r="B11215" i="13" s="1"/>
  <c r="B11216" i="13" s="1"/>
  <c r="B11217" i="13" s="1"/>
  <c r="B11218" i="13" s="1"/>
  <c r="B11219" i="13" s="1"/>
  <c r="B11220" i="13" s="1"/>
  <c r="B11221" i="13" s="1"/>
  <c r="B11222" i="13" s="1"/>
  <c r="B11223" i="13" s="1"/>
  <c r="B11224" i="13" s="1"/>
  <c r="B11225" i="13" s="1"/>
  <c r="B11226" i="13" s="1"/>
  <c r="AI83" i="9"/>
  <c r="AI90" i="9"/>
  <c r="AE83" i="9"/>
  <c r="AI97" i="9"/>
  <c r="AI96" i="9"/>
  <c r="AE98" i="9"/>
  <c r="AE97" i="9"/>
  <c r="AE96" i="9"/>
  <c r="AE53" i="9"/>
  <c r="AI53" i="9"/>
  <c r="AI37" i="9"/>
  <c r="AI36" i="9"/>
  <c r="AI30" i="9"/>
  <c r="AI29" i="9"/>
  <c r="AI25" i="9"/>
  <c r="AI19" i="9"/>
  <c r="AI15" i="9"/>
  <c r="AI14" i="9"/>
  <c r="AI83" i="5"/>
  <c r="B11228" i="13" l="1"/>
  <c r="B11229" i="13" s="1"/>
  <c r="B11230" i="13" s="1"/>
  <c r="B11231" i="13" s="1"/>
  <c r="B11233" i="13" s="1"/>
  <c r="B11234" i="13" s="1"/>
  <c r="B11235" i="13" s="1"/>
  <c r="B11236" i="13" s="1"/>
  <c r="B11237" i="13" s="1"/>
  <c r="B11238" i="13" s="1"/>
  <c r="B11239" i="13" s="1"/>
  <c r="B11240" i="13" s="1"/>
  <c r="B11241" i="13" s="1"/>
  <c r="B11242" i="13" s="1"/>
  <c r="B11243" i="13" s="1"/>
  <c r="B11244" i="13" s="1"/>
  <c r="B11245" i="13" s="1"/>
  <c r="B11246" i="13" s="1"/>
  <c r="B11247" i="13" s="1"/>
  <c r="B11248" i="13" s="1"/>
  <c r="B11249" i="13" s="1"/>
  <c r="B11250" i="13" s="1"/>
  <c r="B11251" i="13" s="1"/>
  <c r="B11252" i="13" s="1"/>
  <c r="B11253" i="13" s="1"/>
  <c r="B11254" i="13" s="1"/>
  <c r="B11255" i="13" s="1"/>
  <c r="B11256" i="13" s="1"/>
  <c r="B11257" i="13" s="1"/>
  <c r="B11258" i="13" s="1"/>
  <c r="B11259" i="13" s="1"/>
  <c r="B11260" i="13" s="1"/>
  <c r="B11261" i="13" s="1"/>
  <c r="B11262" i="13" s="1"/>
  <c r="B11263" i="13" s="1"/>
  <c r="B11264" i="13" s="1"/>
  <c r="B11265" i="13" s="1"/>
  <c r="B11266" i="13" s="1"/>
  <c r="B11267" i="13" s="1"/>
  <c r="B11268" i="13" s="1"/>
  <c r="B11269" i="13" s="1"/>
  <c r="B11270" i="13" s="1"/>
  <c r="B11271" i="13" s="1"/>
  <c r="B11272" i="13" s="1"/>
  <c r="B11273" i="13" s="1"/>
  <c r="B11274" i="13" s="1"/>
  <c r="B11275" i="13" s="1"/>
  <c r="B11276" i="13" s="1"/>
  <c r="B11277" i="13" s="1"/>
  <c r="B11278" i="13" s="1"/>
  <c r="B11279" i="13" s="1"/>
  <c r="B11280" i="13" s="1"/>
  <c r="B11281" i="13" s="1"/>
  <c r="B11282" i="13" s="1"/>
  <c r="B11283" i="13" s="1"/>
  <c r="B11284" i="13" s="1"/>
  <c r="B11285" i="13" s="1"/>
  <c r="B11286" i="13" s="1"/>
  <c r="B11287" i="13" s="1"/>
  <c r="AU100" i="1"/>
  <c r="AU8" i="1"/>
  <c r="AI37" i="2"/>
  <c r="AI83" i="12"/>
  <c r="AI82" i="12"/>
  <c r="AI81" i="12"/>
  <c r="AI80" i="12"/>
  <c r="AI75" i="12"/>
  <c r="AI74" i="12"/>
  <c r="AI73" i="12"/>
  <c r="AI72" i="12"/>
  <c r="AI67" i="12"/>
  <c r="AI65" i="12"/>
  <c r="AI63" i="12"/>
  <c r="AI62" i="12"/>
  <c r="AI61" i="12"/>
  <c r="AI60" i="12"/>
  <c r="AI59" i="12"/>
  <c r="AI58" i="12"/>
  <c r="AI56" i="12"/>
  <c r="AI55" i="12"/>
  <c r="AI54" i="12"/>
  <c r="AI53" i="12"/>
  <c r="AI51" i="12"/>
  <c r="AI50" i="12"/>
  <c r="AI45" i="12"/>
  <c r="AI43" i="12"/>
  <c r="AI42" i="12"/>
  <c r="AI41" i="12"/>
  <c r="AI37" i="12"/>
  <c r="AI36" i="12"/>
  <c r="AI35" i="12"/>
  <c r="AI34" i="12"/>
  <c r="AI31" i="12"/>
  <c r="AI30" i="12"/>
  <c r="AI29" i="12"/>
  <c r="AI28" i="12"/>
  <c r="AI27" i="12"/>
  <c r="AI26" i="12"/>
  <c r="AI25" i="12"/>
  <c r="AI20" i="12"/>
  <c r="AI19" i="12"/>
  <c r="AI18" i="12"/>
  <c r="AI17" i="12"/>
  <c r="AI16" i="12"/>
  <c r="AI15" i="12"/>
  <c r="AI14" i="12"/>
  <c r="AI13" i="12"/>
  <c r="AI11" i="12"/>
  <c r="AI10" i="12"/>
  <c r="AI9" i="12"/>
  <c r="AI8" i="12"/>
  <c r="AI7" i="12"/>
  <c r="AI6" i="12"/>
  <c r="AI5" i="12"/>
  <c r="AI1" i="12"/>
  <c r="AI99" i="9"/>
  <c r="AI92" i="9"/>
  <c r="AI52" i="9"/>
  <c r="AI57" i="9" s="1"/>
  <c r="AI64" i="9" s="1"/>
  <c r="AI66" i="9" s="1"/>
  <c r="AI68" i="9" s="1"/>
  <c r="AI44" i="9"/>
  <c r="AI38" i="9"/>
  <c r="AI32" i="9"/>
  <c r="AI21" i="9"/>
  <c r="AI12" i="9"/>
  <c r="AI1" i="9"/>
  <c r="AI99" i="8"/>
  <c r="AI92" i="8"/>
  <c r="AI52" i="8"/>
  <c r="AI57" i="8" s="1"/>
  <c r="AI64" i="8" s="1"/>
  <c r="AI66" i="8" s="1"/>
  <c r="AI68" i="8" s="1"/>
  <c r="AI44" i="8"/>
  <c r="AI38" i="8"/>
  <c r="AI32" i="8"/>
  <c r="AI21" i="8"/>
  <c r="AI12" i="8"/>
  <c r="AI1" i="8"/>
  <c r="AI99" i="7"/>
  <c r="AI92" i="7"/>
  <c r="AI101" i="7" s="1"/>
  <c r="AI52" i="7"/>
  <c r="AI57" i="7" s="1"/>
  <c r="AI64" i="7" s="1"/>
  <c r="AI66" i="7" s="1"/>
  <c r="AI68" i="7" s="1"/>
  <c r="AI44" i="7"/>
  <c r="AI38" i="7"/>
  <c r="AI32" i="7"/>
  <c r="AI21" i="7"/>
  <c r="AI12" i="7"/>
  <c r="AI1" i="7"/>
  <c r="AI99" i="6"/>
  <c r="AI92" i="6"/>
  <c r="AI101" i="6" s="1"/>
  <c r="AI52" i="6"/>
  <c r="AI57" i="6" s="1"/>
  <c r="AI64" i="6" s="1"/>
  <c r="AI66" i="6" s="1"/>
  <c r="AI68" i="6" s="1"/>
  <c r="AI44" i="6"/>
  <c r="AI38" i="6"/>
  <c r="AI39" i="6" s="1"/>
  <c r="AI32" i="6"/>
  <c r="AI21" i="6"/>
  <c r="AI22" i="6" s="1"/>
  <c r="AI12" i="6"/>
  <c r="AI1" i="6"/>
  <c r="AI99" i="5"/>
  <c r="AI92" i="5"/>
  <c r="AI52" i="5"/>
  <c r="AI57" i="5" s="1"/>
  <c r="AI64" i="5" s="1"/>
  <c r="AI66" i="5" s="1"/>
  <c r="AI68" i="5" s="1"/>
  <c r="AI44" i="5"/>
  <c r="AI38" i="5"/>
  <c r="AI32" i="5"/>
  <c r="AI21" i="5"/>
  <c r="AI12" i="5"/>
  <c r="AI22" i="5" s="1"/>
  <c r="AI1" i="5"/>
  <c r="AI99" i="4"/>
  <c r="AI92" i="4"/>
  <c r="AI52" i="4"/>
  <c r="AI57" i="4" s="1"/>
  <c r="AI64" i="4" s="1"/>
  <c r="AI66" i="4" s="1"/>
  <c r="AI68" i="4" s="1"/>
  <c r="AI44" i="4"/>
  <c r="AI38" i="4"/>
  <c r="AI32" i="4"/>
  <c r="AI21" i="4"/>
  <c r="AI12" i="4"/>
  <c r="AI1" i="4"/>
  <c r="AI99" i="3"/>
  <c r="AI92" i="3"/>
  <c r="AI52" i="3"/>
  <c r="AI57" i="3" s="1"/>
  <c r="AI64" i="3" s="1"/>
  <c r="AI66" i="3" s="1"/>
  <c r="AI68" i="3" s="1"/>
  <c r="AI44" i="3"/>
  <c r="AI38" i="3"/>
  <c r="AI32" i="3"/>
  <c r="AI21" i="3"/>
  <c r="AI12" i="3"/>
  <c r="AI101" i="3" l="1"/>
  <c r="AI84" i="12"/>
  <c r="AI77" i="12"/>
  <c r="AI52" i="12"/>
  <c r="AI57" i="12" s="1"/>
  <c r="AI64" i="12" s="1"/>
  <c r="AI66" i="12" s="1"/>
  <c r="AI68" i="12" s="1"/>
  <c r="AI44" i="12"/>
  <c r="AI38" i="12"/>
  <c r="AI32" i="12"/>
  <c r="AI21" i="12"/>
  <c r="AI12" i="12"/>
  <c r="AI101" i="9"/>
  <c r="AI39" i="9"/>
  <c r="AI46" i="9" s="1"/>
  <c r="AI22" i="9"/>
  <c r="AI101" i="8"/>
  <c r="AI39" i="8"/>
  <c r="AI46" i="8" s="1"/>
  <c r="AI22" i="8"/>
  <c r="AI39" i="7"/>
  <c r="AI46" i="7" s="1"/>
  <c r="AI22" i="7"/>
  <c r="AI46" i="6"/>
  <c r="AI47" i="6" s="1"/>
  <c r="AI101" i="5"/>
  <c r="AI39" i="5"/>
  <c r="AI46" i="5" s="1"/>
  <c r="AI47" i="5" s="1"/>
  <c r="AI101" i="4"/>
  <c r="AI22" i="4"/>
  <c r="AI39" i="4"/>
  <c r="AI46" i="4" s="1"/>
  <c r="AI39" i="3"/>
  <c r="AI46" i="3" s="1"/>
  <c r="AI22" i="3"/>
  <c r="AI39" i="12" l="1"/>
  <c r="AI46" i="12" s="1"/>
  <c r="AI22" i="12"/>
  <c r="AI47" i="9"/>
  <c r="AI47" i="8"/>
  <c r="AI47" i="7"/>
  <c r="AI47" i="4"/>
  <c r="AI47" i="3"/>
  <c r="AI47" i="12" l="1"/>
  <c r="AI100" i="2"/>
  <c r="AI88" i="12" s="1"/>
  <c r="AI93" i="2"/>
  <c r="AI87" i="12" s="1"/>
  <c r="AI52" i="2"/>
  <c r="AI44" i="2"/>
  <c r="AI38" i="2"/>
  <c r="AI32" i="2"/>
  <c r="AI21" i="2"/>
  <c r="AI12" i="2"/>
  <c r="AI89" i="12" l="1"/>
  <c r="AI102" i="2"/>
  <c r="AI57" i="2"/>
  <c r="AI65" i="2" s="1"/>
  <c r="AI67" i="2" s="1"/>
  <c r="AI69" i="2" s="1"/>
  <c r="AI39" i="2"/>
  <c r="AI46" i="2" s="1"/>
  <c r="AI22" i="2"/>
  <c r="AU110" i="1"/>
  <c r="AU83" i="1"/>
  <c r="AU82" i="1"/>
  <c r="AU101" i="1" s="1"/>
  <c r="AU81" i="1"/>
  <c r="AU90" i="1" s="1"/>
  <c r="AU80" i="1"/>
  <c r="AU73" i="1"/>
  <c r="AU71" i="1"/>
  <c r="AU64" i="1"/>
  <c r="AU53" i="1"/>
  <c r="AU48" i="1"/>
  <c r="AU35" i="1"/>
  <c r="AU27" i="1"/>
  <c r="AU23" i="1"/>
  <c r="AU15" i="1"/>
  <c r="AU9" i="1"/>
  <c r="G11226" i="13"/>
  <c r="AI47" i="2" l="1"/>
  <c r="AU54" i="1"/>
  <c r="AU56" i="1" s="1"/>
  <c r="AU58" i="1" s="1"/>
  <c r="AU60" i="1" s="1"/>
  <c r="AU79" i="1"/>
  <c r="AU85" i="1" s="1"/>
  <c r="AU28" i="1"/>
  <c r="AU36" i="1" s="1"/>
  <c r="AU16" i="1"/>
  <c r="AU103" i="1"/>
  <c r="AU112" i="1" s="1"/>
  <c r="G11177" i="13"/>
  <c r="G11178" i="13"/>
  <c r="G11179" i="13"/>
  <c r="G11180" i="13"/>
  <c r="G11181" i="13"/>
  <c r="G11182" i="13"/>
  <c r="G11183" i="13"/>
  <c r="G11184" i="13"/>
  <c r="G11185" i="13"/>
  <c r="G11186" i="13"/>
  <c r="G11187" i="13"/>
  <c r="G11188" i="13"/>
  <c r="G11189" i="13"/>
  <c r="G11190" i="13"/>
  <c r="G11191" i="13"/>
  <c r="G11192" i="13"/>
  <c r="G11193" i="13"/>
  <c r="G11194" i="13"/>
  <c r="G11195" i="13"/>
  <c r="G11196" i="13"/>
  <c r="G11197" i="13"/>
  <c r="G11198" i="13"/>
  <c r="F11199" i="13"/>
  <c r="G11199" i="13"/>
  <c r="G11200" i="13"/>
  <c r="G11201" i="13"/>
  <c r="G11202" i="13"/>
  <c r="G11203" i="13"/>
  <c r="G11204" i="13"/>
  <c r="G11205" i="13"/>
  <c r="G11206" i="13"/>
  <c r="G11207" i="13"/>
  <c r="G11208" i="13"/>
  <c r="G11209" i="13"/>
  <c r="G11210" i="13"/>
  <c r="G11211" i="13"/>
  <c r="G11212" i="13"/>
  <c r="G11213" i="13"/>
  <c r="G11214" i="13"/>
  <c r="G11215" i="13"/>
  <c r="G11216" i="13"/>
  <c r="G11217" i="13"/>
  <c r="G11218" i="13"/>
  <c r="G11219" i="13"/>
  <c r="G11220" i="13"/>
  <c r="G11221" i="13"/>
  <c r="G11222" i="13"/>
  <c r="G11223" i="13"/>
  <c r="G11224" i="13"/>
  <c r="G11225" i="13"/>
  <c r="AH97" i="9"/>
  <c r="AH82" i="5"/>
  <c r="AH82" i="4"/>
  <c r="AH83" i="4"/>
  <c r="AH84" i="2"/>
  <c r="AH83" i="2"/>
  <c r="AU87" i="1" l="1"/>
  <c r="AU38" i="1"/>
  <c r="AT109" i="1"/>
  <c r="AT108" i="1"/>
  <c r="AT100" i="1"/>
  <c r="AT96" i="1"/>
  <c r="AT97" i="1"/>
  <c r="AT95" i="1"/>
  <c r="AT94" i="1"/>
  <c r="AT93" i="1"/>
  <c r="AT92" i="1"/>
  <c r="AT91" i="1"/>
  <c r="AH83" i="3"/>
  <c r="AH82" i="3"/>
  <c r="AH98" i="2"/>
  <c r="AH58" i="2"/>
  <c r="AH8" i="2"/>
  <c r="AH7" i="2"/>
  <c r="AH98" i="9"/>
  <c r="AH15" i="9"/>
  <c r="AH83" i="5" l="1"/>
  <c r="AH89" i="5"/>
  <c r="AH83" i="7"/>
  <c r="AH90" i="9"/>
  <c r="AH83" i="9"/>
  <c r="AH82" i="9"/>
  <c r="AH58" i="9"/>
  <c r="AH53" i="9"/>
  <c r="AH63" i="9"/>
  <c r="AH37" i="9"/>
  <c r="AH34" i="9"/>
  <c r="AH29" i="9"/>
  <c r="AH30" i="9"/>
  <c r="AH25" i="9"/>
  <c r="AH19" i="9"/>
  <c r="AH83" i="8"/>
  <c r="AH82" i="8"/>
  <c r="AH87" i="8"/>
  <c r="AH85" i="8"/>
  <c r="AH84" i="8"/>
  <c r="AH72" i="8"/>
  <c r="AH89" i="8"/>
  <c r="AH58" i="8"/>
  <c r="AH58" i="4"/>
  <c r="AH27" i="4"/>
  <c r="AH56" i="3" l="1"/>
  <c r="M52" i="10" l="1"/>
  <c r="M57" i="10" s="1"/>
  <c r="M64" i="10" s="1"/>
  <c r="M66" i="10" s="1"/>
  <c r="M68" i="10" s="1"/>
  <c r="M44" i="10"/>
  <c r="M38" i="10"/>
  <c r="M32" i="10"/>
  <c r="M21" i="10"/>
  <c r="M12" i="10"/>
  <c r="M52" i="11"/>
  <c r="M57" i="11" s="1"/>
  <c r="M64" i="11" s="1"/>
  <c r="M66" i="11" s="1"/>
  <c r="M68" i="11" s="1"/>
  <c r="M44" i="11"/>
  <c r="M38" i="11"/>
  <c r="M32" i="11"/>
  <c r="M21" i="11"/>
  <c r="M12" i="11"/>
  <c r="AH83" i="12"/>
  <c r="AH82" i="12"/>
  <c r="AH81" i="12"/>
  <c r="AH80" i="12"/>
  <c r="AH75" i="12"/>
  <c r="AH74" i="12"/>
  <c r="AH73" i="12"/>
  <c r="AH72" i="12"/>
  <c r="AH67" i="12"/>
  <c r="AH65" i="12"/>
  <c r="AH63" i="12"/>
  <c r="AH62" i="12"/>
  <c r="AH61" i="12"/>
  <c r="AH60" i="12"/>
  <c r="AH59" i="12"/>
  <c r="AH58" i="12"/>
  <c r="AH56" i="12"/>
  <c r="AH55" i="12"/>
  <c r="AH54" i="12"/>
  <c r="AH53" i="12"/>
  <c r="AH51" i="12"/>
  <c r="AH50" i="12"/>
  <c r="AH45" i="12"/>
  <c r="AH43" i="12"/>
  <c r="AH42" i="12"/>
  <c r="AH41" i="12"/>
  <c r="AH37" i="12"/>
  <c r="AH36" i="12"/>
  <c r="AH35" i="12"/>
  <c r="AH34" i="12"/>
  <c r="AH31" i="12"/>
  <c r="AH30" i="12"/>
  <c r="AH29" i="12"/>
  <c r="AH28" i="12"/>
  <c r="AH27" i="12"/>
  <c r="AH26" i="12"/>
  <c r="AH25" i="12"/>
  <c r="AH20" i="12"/>
  <c r="AH19" i="12"/>
  <c r="AH18" i="12"/>
  <c r="AH17" i="12"/>
  <c r="AH16" i="12"/>
  <c r="AH15" i="12"/>
  <c r="AH14" i="12"/>
  <c r="AH13" i="12"/>
  <c r="AH11" i="12"/>
  <c r="AH10" i="12"/>
  <c r="AH9" i="12"/>
  <c r="AH8" i="12"/>
  <c r="AH7" i="12"/>
  <c r="AH6" i="12"/>
  <c r="AH5" i="12"/>
  <c r="AH1" i="12"/>
  <c r="AH99" i="9"/>
  <c r="AH92" i="9"/>
  <c r="AH52" i="9"/>
  <c r="AH57" i="9" s="1"/>
  <c r="AH64" i="9" s="1"/>
  <c r="AH66" i="9" s="1"/>
  <c r="AH68" i="9" s="1"/>
  <c r="AH44" i="9"/>
  <c r="AH38" i="9"/>
  <c r="AH32" i="9"/>
  <c r="AH21" i="9"/>
  <c r="AH12" i="9"/>
  <c r="AH1" i="9"/>
  <c r="AH99" i="8"/>
  <c r="AH92" i="8"/>
  <c r="AH101" i="8" s="1"/>
  <c r="AH52" i="8"/>
  <c r="AH57" i="8" s="1"/>
  <c r="AH64" i="8" s="1"/>
  <c r="AH66" i="8" s="1"/>
  <c r="AH68" i="8" s="1"/>
  <c r="AH44" i="8"/>
  <c r="AH38" i="8"/>
  <c r="AH32" i="8"/>
  <c r="AH21" i="8"/>
  <c r="AH12" i="8"/>
  <c r="AH1" i="8"/>
  <c r="AH99" i="7"/>
  <c r="AH92" i="7"/>
  <c r="AH52" i="7"/>
  <c r="AH57" i="7" s="1"/>
  <c r="AH64" i="7" s="1"/>
  <c r="AH66" i="7" s="1"/>
  <c r="AH68" i="7" s="1"/>
  <c r="AH44" i="7"/>
  <c r="AH38" i="7"/>
  <c r="AH32" i="7"/>
  <c r="AH21" i="7"/>
  <c r="AH12" i="7"/>
  <c r="AH1" i="7"/>
  <c r="AH99" i="6"/>
  <c r="AH92" i="6"/>
  <c r="AH101" i="6" s="1"/>
  <c r="AH52" i="6"/>
  <c r="AH57" i="6" s="1"/>
  <c r="AH64" i="6" s="1"/>
  <c r="AH66" i="6" s="1"/>
  <c r="AH68" i="6" s="1"/>
  <c r="AH44" i="6"/>
  <c r="AH38" i="6"/>
  <c r="AH39" i="6" s="1"/>
  <c r="AH32" i="6"/>
  <c r="AH22" i="6"/>
  <c r="AH21" i="6"/>
  <c r="AH12" i="6"/>
  <c r="AH1" i="6"/>
  <c r="AH1" i="5"/>
  <c r="AH99" i="5"/>
  <c r="AH92" i="5"/>
  <c r="AH101" i="5" s="1"/>
  <c r="AH52" i="5"/>
  <c r="AH57" i="5" s="1"/>
  <c r="AH64" i="5" s="1"/>
  <c r="AH66" i="5" s="1"/>
  <c r="AH68" i="5" s="1"/>
  <c r="AH44" i="5"/>
  <c r="AH38" i="5"/>
  <c r="AH32" i="5"/>
  <c r="AH21" i="5"/>
  <c r="AH12" i="5"/>
  <c r="AH1" i="4"/>
  <c r="AH99" i="4"/>
  <c r="AH92" i="4"/>
  <c r="AH52" i="4"/>
  <c r="AH57" i="4" s="1"/>
  <c r="AH64" i="4" s="1"/>
  <c r="AH66" i="4" s="1"/>
  <c r="AH68" i="4" s="1"/>
  <c r="AH44" i="4"/>
  <c r="AH38" i="4"/>
  <c r="AH32" i="4"/>
  <c r="AH21" i="4"/>
  <c r="AH12" i="4"/>
  <c r="AH99" i="3"/>
  <c r="AH92" i="3"/>
  <c r="AH52" i="3"/>
  <c r="AH57" i="3" s="1"/>
  <c r="AH64" i="3" s="1"/>
  <c r="AH66" i="3" s="1"/>
  <c r="AH68" i="3" s="1"/>
  <c r="AH44" i="3"/>
  <c r="AH38" i="3"/>
  <c r="AH32" i="3"/>
  <c r="AH21" i="3"/>
  <c r="AH12" i="3"/>
  <c r="AH100" i="2"/>
  <c r="AH93" i="2"/>
  <c r="AH52" i="2"/>
  <c r="AH57" i="2" s="1"/>
  <c r="AH65" i="2" s="1"/>
  <c r="AH67" i="2" s="1"/>
  <c r="AH69" i="2" s="1"/>
  <c r="AH44" i="2"/>
  <c r="AH38" i="2"/>
  <c r="AH32" i="2"/>
  <c r="AH21" i="2"/>
  <c r="AH12" i="2"/>
  <c r="AT110" i="1"/>
  <c r="AT83" i="1"/>
  <c r="AT82" i="1"/>
  <c r="AT101" i="1" s="1"/>
  <c r="AT81" i="1"/>
  <c r="AT90" i="1" s="1"/>
  <c r="AT80" i="1"/>
  <c r="AT73" i="1"/>
  <c r="AT71" i="1"/>
  <c r="AT64" i="1"/>
  <c r="AT53" i="1"/>
  <c r="AT48" i="1"/>
  <c r="AT35" i="1"/>
  <c r="AT27" i="1"/>
  <c r="AT23" i="1"/>
  <c r="AT15" i="1"/>
  <c r="AT9" i="1"/>
  <c r="AH101" i="7" l="1"/>
  <c r="AH88" i="12"/>
  <c r="AH101" i="3"/>
  <c r="AH87" i="12"/>
  <c r="AH52" i="12"/>
  <c r="AH57" i="12" s="1"/>
  <c r="AH64" i="12" s="1"/>
  <c r="AH66" i="12" s="1"/>
  <c r="AH68" i="12" s="1"/>
  <c r="AH84" i="12"/>
  <c r="AH77" i="12"/>
  <c r="AH44" i="12"/>
  <c r="AH38" i="12"/>
  <c r="AH32" i="12"/>
  <c r="AH21" i="12"/>
  <c r="AH12" i="12"/>
  <c r="AT79" i="1"/>
  <c r="AT85" i="1" s="1"/>
  <c r="M39" i="10"/>
  <c r="M46" i="10" s="1"/>
  <c r="M22" i="10"/>
  <c r="M39" i="11"/>
  <c r="M46" i="11" s="1"/>
  <c r="M22" i="11"/>
  <c r="AH101" i="9"/>
  <c r="AH39" i="9"/>
  <c r="AH46" i="9" s="1"/>
  <c r="AH22" i="9"/>
  <c r="AH39" i="8"/>
  <c r="AH46" i="8" s="1"/>
  <c r="AH22" i="8"/>
  <c r="AH39" i="7"/>
  <c r="AH46" i="7" s="1"/>
  <c r="AH22" i="7"/>
  <c r="AH46" i="6"/>
  <c r="AH47" i="6" s="1"/>
  <c r="AH39" i="5"/>
  <c r="AH46" i="5" s="1"/>
  <c r="AH22" i="5"/>
  <c r="AH101" i="4"/>
  <c r="AH39" i="4"/>
  <c r="AH46" i="4" s="1"/>
  <c r="AH22" i="4"/>
  <c r="AH39" i="3"/>
  <c r="AH46" i="3" s="1"/>
  <c r="AH22" i="3"/>
  <c r="AH39" i="2"/>
  <c r="AH46" i="2" s="1"/>
  <c r="AH22" i="2"/>
  <c r="AH102" i="2"/>
  <c r="AT103" i="1"/>
  <c r="AT112" i="1" s="1"/>
  <c r="AT54" i="1"/>
  <c r="AT56" i="1" s="1"/>
  <c r="AT58" i="1" s="1"/>
  <c r="AT60" i="1" s="1"/>
  <c r="AT28" i="1"/>
  <c r="AT36" i="1" s="1"/>
  <c r="AT16" i="1"/>
  <c r="M47" i="10" l="1"/>
  <c r="AH89" i="12"/>
  <c r="AH39" i="12"/>
  <c r="AH46" i="12" s="1"/>
  <c r="AH22" i="12"/>
  <c r="M47" i="11"/>
  <c r="AH47" i="9"/>
  <c r="AH47" i="8"/>
  <c r="AH47" i="7"/>
  <c r="AH47" i="5"/>
  <c r="AH47" i="4"/>
  <c r="AH47" i="3"/>
  <c r="AH47" i="2"/>
  <c r="AT87" i="1"/>
  <c r="AT38" i="1"/>
  <c r="AH47" i="12" l="1"/>
  <c r="I5" i="15"/>
  <c r="G11176" i="13"/>
  <c r="G11175" i="13"/>
  <c r="G11174" i="13"/>
  <c r="G11173" i="13"/>
  <c r="G11172" i="13"/>
  <c r="G11171" i="13"/>
  <c r="F11171" i="13"/>
  <c r="G11170" i="13"/>
  <c r="G11169" i="13"/>
  <c r="G11168" i="13"/>
  <c r="G11167" i="13"/>
  <c r="G11166" i="13"/>
  <c r="G11165" i="13"/>
  <c r="G11164" i="13"/>
  <c r="G11163" i="13"/>
  <c r="G11162" i="13"/>
  <c r="G11161" i="13"/>
  <c r="G11160" i="13"/>
  <c r="G11159" i="13"/>
  <c r="G11158" i="13"/>
  <c r="G11157" i="13"/>
  <c r="G11156" i="13"/>
  <c r="G11155" i="13"/>
  <c r="G11154" i="13"/>
  <c r="G11153" i="13"/>
  <c r="G11152" i="13"/>
  <c r="G11151" i="13"/>
  <c r="G11150" i="13"/>
  <c r="G11149" i="13"/>
  <c r="G11148" i="13"/>
  <c r="G11147" i="13"/>
  <c r="G11146" i="13"/>
  <c r="G11145" i="13"/>
  <c r="G11144" i="13"/>
  <c r="G11143" i="13"/>
  <c r="G11142" i="13"/>
  <c r="F11142" i="13"/>
  <c r="G11141" i="13"/>
  <c r="G11140" i="13"/>
  <c r="G11139" i="13"/>
  <c r="G11138" i="13"/>
  <c r="G11137" i="13"/>
  <c r="G11136" i="13"/>
  <c r="G11135" i="13"/>
  <c r="G11134" i="13"/>
  <c r="G11133" i="13"/>
  <c r="G11132" i="13"/>
  <c r="G11131" i="13"/>
  <c r="G11130" i="13"/>
  <c r="G11107" i="13" l="1"/>
  <c r="G11108" i="13"/>
  <c r="G11109" i="13"/>
  <c r="G11110" i="13"/>
  <c r="F11111" i="13"/>
  <c r="G11111" i="13"/>
  <c r="G11112" i="13"/>
  <c r="G11113" i="13"/>
  <c r="G11114" i="13"/>
  <c r="G11115" i="13"/>
  <c r="G11116" i="13"/>
  <c r="G11117" i="13"/>
  <c r="G11118" i="13"/>
  <c r="G11119" i="13"/>
  <c r="G11120" i="13"/>
  <c r="G11121" i="13"/>
  <c r="G11122" i="13"/>
  <c r="G11123" i="13"/>
  <c r="G11124" i="13"/>
  <c r="G11125" i="13"/>
  <c r="G11126" i="13"/>
  <c r="G11127" i="13"/>
  <c r="G11128" i="13"/>
  <c r="G11129" i="13"/>
  <c r="B11051" i="13"/>
  <c r="B11052" i="13" s="1"/>
  <c r="B11053" i="13" s="1"/>
  <c r="B11054" i="13" s="1"/>
  <c r="B11055" i="13" s="1"/>
  <c r="B11056" i="13" s="1"/>
  <c r="B11057" i="13" s="1"/>
  <c r="B11058" i="13" s="1"/>
  <c r="B11059" i="13" s="1"/>
  <c r="B11060" i="13" s="1"/>
  <c r="B11061" i="13" s="1"/>
  <c r="B11062" i="13" s="1"/>
  <c r="B11063" i="13" s="1"/>
  <c r="B11064" i="13" s="1"/>
  <c r="B11065" i="13" s="1"/>
  <c r="B11066" i="13" s="1"/>
  <c r="B11067" i="13" s="1"/>
  <c r="B11068" i="13" s="1"/>
  <c r="B11069" i="13" s="1"/>
  <c r="B11070" i="13" s="1"/>
  <c r="B11071" i="13" s="1"/>
  <c r="B11072" i="13" s="1"/>
  <c r="B11073" i="13" s="1"/>
  <c r="B11074" i="13" s="1"/>
  <c r="B11075" i="13" s="1"/>
  <c r="B11076" i="13" s="1"/>
  <c r="B11077" i="13" s="1"/>
  <c r="B11078" i="13" s="1"/>
  <c r="B11079" i="13" s="1"/>
  <c r="B11080" i="13" s="1"/>
  <c r="B11082" i="13" s="1"/>
  <c r="B11083" i="13" s="1"/>
  <c r="B11084" i="13" s="1"/>
  <c r="B11085" i="13" s="1"/>
  <c r="B11086" i="13" s="1"/>
  <c r="B11087" i="13" s="1"/>
  <c r="B11088" i="13" s="1"/>
  <c r="B11089" i="13" s="1"/>
  <c r="B11090" i="13" s="1"/>
  <c r="B11091" i="13" s="1"/>
  <c r="B11092" i="13" s="1"/>
  <c r="B11093" i="13" s="1"/>
  <c r="B11094" i="13" s="1"/>
  <c r="B11095" i="13" s="1"/>
  <c r="B11096" i="13" s="1"/>
  <c r="B11097" i="13" s="1"/>
  <c r="B11098" i="13" s="1"/>
  <c r="B11099" i="13" s="1"/>
  <c r="B11100" i="13" s="1"/>
  <c r="B11101" i="13" s="1"/>
  <c r="B11102" i="13" s="1"/>
  <c r="B11103" i="13" s="1"/>
  <c r="B11104" i="13" s="1"/>
  <c r="B11105" i="13" s="1"/>
  <c r="B11106" i="13" s="1"/>
  <c r="B11107" i="13" s="1"/>
  <c r="B11108" i="13" s="1"/>
  <c r="B11109" i="13" s="1"/>
  <c r="B11110" i="13" s="1"/>
  <c r="B11112" i="13" s="1"/>
  <c r="B11113" i="13" s="1"/>
  <c r="B11114" i="13" s="1"/>
  <c r="B11115" i="13" s="1"/>
  <c r="B11116" i="13" s="1"/>
  <c r="B11117" i="13" s="1"/>
  <c r="B11118" i="13" s="1"/>
  <c r="B11119" i="13" s="1"/>
  <c r="B11120" i="13" s="1"/>
  <c r="B11121" i="13" s="1"/>
  <c r="B11122" i="13" s="1"/>
  <c r="B11123" i="13" s="1"/>
  <c r="B11124" i="13" s="1"/>
  <c r="B11125" i="13" s="1"/>
  <c r="B11126" i="13" s="1"/>
  <c r="B11127" i="13" s="1"/>
  <c r="B11128" i="13" s="1"/>
  <c r="B11129" i="13" s="1"/>
  <c r="AG63" i="9"/>
  <c r="AG53" i="9"/>
  <c r="AD63" i="9"/>
  <c r="AF63" i="9"/>
  <c r="AG37" i="9" l="1"/>
  <c r="AG30" i="9"/>
  <c r="AG26" i="9"/>
  <c r="AG30" i="12"/>
  <c r="AG25" i="9"/>
  <c r="AG19" i="9"/>
  <c r="AG19" i="12" s="1"/>
  <c r="AG15" i="9"/>
  <c r="AG87" i="12"/>
  <c r="AG83" i="12"/>
  <c r="AG82" i="12"/>
  <c r="AG81" i="12"/>
  <c r="AG80" i="12"/>
  <c r="AG75" i="12"/>
  <c r="AG74" i="12"/>
  <c r="AG73" i="12"/>
  <c r="AG77" i="12" s="1"/>
  <c r="AG72" i="12"/>
  <c r="AG67" i="12"/>
  <c r="AG65" i="12"/>
  <c r="AG63" i="12"/>
  <c r="AG62" i="12"/>
  <c r="AG61" i="12"/>
  <c r="AG60" i="12"/>
  <c r="AG59" i="12"/>
  <c r="AG58" i="12"/>
  <c r="AG56" i="12"/>
  <c r="AG55" i="12"/>
  <c r="AG54" i="12"/>
  <c r="AG53" i="12"/>
  <c r="AG51" i="12"/>
  <c r="AG50" i="12"/>
  <c r="AG52" i="12" s="1"/>
  <c r="AG45" i="12"/>
  <c r="AG43" i="12"/>
  <c r="AG44" i="12" s="1"/>
  <c r="AG42" i="12"/>
  <c r="AG41" i="12"/>
  <c r="AG37" i="12"/>
  <c r="AG36" i="12"/>
  <c r="AG35" i="12"/>
  <c r="AG34" i="12"/>
  <c r="AG31" i="12"/>
  <c r="AG29" i="12"/>
  <c r="AG28" i="12"/>
  <c r="AG27" i="12"/>
  <c r="AG26" i="12"/>
  <c r="AG25" i="12"/>
  <c r="AG20" i="12"/>
  <c r="AG18" i="12"/>
  <c r="AG17" i="12"/>
  <c r="AG16" i="12"/>
  <c r="AG15" i="12"/>
  <c r="AG14" i="12"/>
  <c r="AG13" i="12"/>
  <c r="AG11" i="12"/>
  <c r="AG10" i="12"/>
  <c r="AG9" i="12"/>
  <c r="AG8" i="12"/>
  <c r="AG7" i="12"/>
  <c r="AG6" i="12"/>
  <c r="AG5" i="12"/>
  <c r="AG12" i="12" s="1"/>
  <c r="AG1" i="12"/>
  <c r="G11066" i="13"/>
  <c r="G11067" i="13"/>
  <c r="G11068" i="13"/>
  <c r="G11069" i="13"/>
  <c r="G11070" i="13"/>
  <c r="G11071" i="13"/>
  <c r="G11072" i="13"/>
  <c r="G11073" i="13"/>
  <c r="G11074" i="13"/>
  <c r="G11075" i="13"/>
  <c r="G11076" i="13"/>
  <c r="G11077" i="13"/>
  <c r="G11078" i="13"/>
  <c r="G11079" i="13"/>
  <c r="F11080" i="13"/>
  <c r="G11080" i="13"/>
  <c r="G11081" i="13"/>
  <c r="G11082" i="13"/>
  <c r="G11083" i="13"/>
  <c r="G11084" i="13"/>
  <c r="G11085" i="13"/>
  <c r="G11086" i="13"/>
  <c r="G11087" i="13"/>
  <c r="G11088" i="13"/>
  <c r="G11089" i="13"/>
  <c r="G11090" i="13"/>
  <c r="G11091" i="13"/>
  <c r="G11092" i="13"/>
  <c r="G11093" i="13"/>
  <c r="G11094" i="13"/>
  <c r="G11095" i="13"/>
  <c r="G11096" i="13"/>
  <c r="G11097" i="13"/>
  <c r="G11098" i="13"/>
  <c r="G11099" i="13"/>
  <c r="G11100" i="13"/>
  <c r="G11101" i="13"/>
  <c r="G11102" i="13"/>
  <c r="G11103" i="13"/>
  <c r="G11104" i="13"/>
  <c r="G11105" i="13"/>
  <c r="G11106" i="13"/>
  <c r="AG84" i="12" l="1"/>
  <c r="AG57" i="12"/>
  <c r="AG64" i="12" s="1"/>
  <c r="AG66" i="12" s="1"/>
  <c r="AG68" i="12" s="1"/>
  <c r="AG38" i="12"/>
  <c r="AG32" i="12"/>
  <c r="AG39" i="12" s="1"/>
  <c r="AG46" i="12" s="1"/>
  <c r="AG21" i="12"/>
  <c r="AG22" i="12" s="1"/>
  <c r="AG83" i="9"/>
  <c r="AG90" i="9"/>
  <c r="AG82" i="9"/>
  <c r="AG84" i="9"/>
  <c r="AG85" i="9"/>
  <c r="AG83" i="3"/>
  <c r="AG47" i="12" l="1"/>
  <c r="AG82" i="3"/>
  <c r="AG16" i="3"/>
  <c r="AG84" i="2" l="1"/>
  <c r="AG98" i="2"/>
  <c r="AG61" i="2" l="1"/>
  <c r="AG37" i="2"/>
  <c r="AG36" i="2"/>
  <c r="AS101" i="1" l="1"/>
  <c r="AS100" i="1"/>
  <c r="AS69" i="1"/>
  <c r="AS8" i="1"/>
  <c r="AG99" i="9" l="1"/>
  <c r="AG92" i="9"/>
  <c r="AG52" i="9"/>
  <c r="AG57" i="9" s="1"/>
  <c r="AG64" i="9" s="1"/>
  <c r="AG66" i="9" s="1"/>
  <c r="AG68" i="9" s="1"/>
  <c r="AG44" i="9"/>
  <c r="AG38" i="9"/>
  <c r="AG32" i="9"/>
  <c r="AG21" i="9"/>
  <c r="AG12" i="9"/>
  <c r="AG1" i="9"/>
  <c r="AG99" i="8"/>
  <c r="AG92" i="8"/>
  <c r="AG101" i="8" s="1"/>
  <c r="AG52" i="8"/>
  <c r="AG57" i="8" s="1"/>
  <c r="AG64" i="8" s="1"/>
  <c r="AG66" i="8" s="1"/>
  <c r="AG68" i="8" s="1"/>
  <c r="AG44" i="8"/>
  <c r="AG38" i="8"/>
  <c r="AG32" i="8"/>
  <c r="AG21" i="8"/>
  <c r="AG12" i="8"/>
  <c r="AG1" i="8"/>
  <c r="AG99" i="7"/>
  <c r="AG92" i="7"/>
  <c r="AG101" i="7" s="1"/>
  <c r="AG52" i="7"/>
  <c r="AG57" i="7" s="1"/>
  <c r="AG64" i="7" s="1"/>
  <c r="AG66" i="7" s="1"/>
  <c r="AG68" i="7" s="1"/>
  <c r="AG44" i="7"/>
  <c r="AG38" i="7"/>
  <c r="AG32" i="7"/>
  <c r="AG21" i="7"/>
  <c r="AG12" i="7"/>
  <c r="AG1" i="7"/>
  <c r="AG101" i="6"/>
  <c r="AG99" i="6"/>
  <c r="AG92" i="6"/>
  <c r="AG52" i="6"/>
  <c r="AG57" i="6" s="1"/>
  <c r="AG64" i="6" s="1"/>
  <c r="AG66" i="6" s="1"/>
  <c r="AG68" i="6" s="1"/>
  <c r="AG44" i="6"/>
  <c r="AG46" i="6" s="1"/>
  <c r="AG39" i="6"/>
  <c r="AG38" i="6"/>
  <c r="AG32" i="6"/>
  <c r="AG21" i="6"/>
  <c r="AG22" i="6" s="1"/>
  <c r="AG12" i="6"/>
  <c r="AG1" i="6"/>
  <c r="AG99" i="5"/>
  <c r="AG92" i="5"/>
  <c r="AG101" i="5" s="1"/>
  <c r="AG52" i="5"/>
  <c r="AG57" i="5" s="1"/>
  <c r="AG64" i="5" s="1"/>
  <c r="AG66" i="5" s="1"/>
  <c r="AG68" i="5" s="1"/>
  <c r="AG44" i="5"/>
  <c r="AG38" i="5"/>
  <c r="AG32" i="5"/>
  <c r="AG21" i="5"/>
  <c r="AG12" i="5"/>
  <c r="AG1" i="5"/>
  <c r="AF83" i="4"/>
  <c r="AG99" i="4"/>
  <c r="AG92" i="4"/>
  <c r="AG52" i="4"/>
  <c r="AG57" i="4" s="1"/>
  <c r="AG64" i="4" s="1"/>
  <c r="AG66" i="4" s="1"/>
  <c r="AG68" i="4" s="1"/>
  <c r="AG44" i="4"/>
  <c r="AG38" i="4"/>
  <c r="AG32" i="4"/>
  <c r="AG21" i="4"/>
  <c r="AG12" i="4"/>
  <c r="AG1" i="4"/>
  <c r="AG99" i="3"/>
  <c r="AG92" i="3"/>
  <c r="AG52" i="3"/>
  <c r="AG57" i="3" s="1"/>
  <c r="AG64" i="3" s="1"/>
  <c r="AG66" i="3" s="1"/>
  <c r="AG68" i="3" s="1"/>
  <c r="AG44" i="3"/>
  <c r="AG38" i="3"/>
  <c r="AG32" i="3"/>
  <c r="AG21" i="3"/>
  <c r="AG12" i="3"/>
  <c r="AG100" i="2"/>
  <c r="AG88" i="12" s="1"/>
  <c r="AG89" i="12" s="1"/>
  <c r="AG93" i="2"/>
  <c r="AG52" i="2"/>
  <c r="AG57" i="2" s="1"/>
  <c r="AG65" i="2" s="1"/>
  <c r="AG67" i="2" s="1"/>
  <c r="AG69" i="2" s="1"/>
  <c r="AG44" i="2"/>
  <c r="AG38" i="2"/>
  <c r="AG32" i="2"/>
  <c r="AG21" i="2"/>
  <c r="AG12" i="2"/>
  <c r="AS110" i="1"/>
  <c r="AS83" i="1"/>
  <c r="AS82" i="1"/>
  <c r="AS81" i="1"/>
  <c r="AS90" i="1" s="1"/>
  <c r="AS103" i="1" s="1"/>
  <c r="AS80" i="1"/>
  <c r="AS79" i="1" s="1"/>
  <c r="AS73" i="1"/>
  <c r="AS71" i="1"/>
  <c r="AS64" i="1"/>
  <c r="AS53" i="1"/>
  <c r="AS48" i="1"/>
  <c r="AS35" i="1"/>
  <c r="AS27" i="1"/>
  <c r="AS23" i="1"/>
  <c r="AS15" i="1"/>
  <c r="AS9" i="1"/>
  <c r="F10186" i="13"/>
  <c r="F10187" i="13"/>
  <c r="F10188" i="13"/>
  <c r="F10189" i="13"/>
  <c r="F10190" i="13"/>
  <c r="F10191" i="13"/>
  <c r="F10192" i="13"/>
  <c r="F10193" i="13"/>
  <c r="F10194" i="13"/>
  <c r="F10195" i="13"/>
  <c r="F10196" i="13"/>
  <c r="F10197" i="13"/>
  <c r="F10198" i="13"/>
  <c r="F10199" i="13"/>
  <c r="F10200" i="13"/>
  <c r="F10201" i="13"/>
  <c r="F10202" i="13"/>
  <c r="F10203" i="13"/>
  <c r="F10204" i="13"/>
  <c r="F10205" i="13"/>
  <c r="F10206" i="13"/>
  <c r="F10207" i="13"/>
  <c r="F10208" i="13"/>
  <c r="F10209" i="13"/>
  <c r="F10210" i="13"/>
  <c r="F10211" i="13"/>
  <c r="F10212" i="13"/>
  <c r="F10213" i="13"/>
  <c r="F10214" i="13"/>
  <c r="F10215" i="13"/>
  <c r="F10216" i="13"/>
  <c r="F10217" i="13"/>
  <c r="F10218" i="13"/>
  <c r="F10219" i="13"/>
  <c r="F10220" i="13"/>
  <c r="F10221" i="13"/>
  <c r="F10222" i="13"/>
  <c r="F10223" i="13"/>
  <c r="F10224" i="13"/>
  <c r="F10225" i="13"/>
  <c r="F10226" i="13"/>
  <c r="F10227" i="13"/>
  <c r="F10228" i="13"/>
  <c r="F10229" i="13"/>
  <c r="F10230" i="13"/>
  <c r="F10231" i="13"/>
  <c r="F10232" i="13"/>
  <c r="F10233" i="13"/>
  <c r="F10234" i="13"/>
  <c r="F10235" i="13"/>
  <c r="F10236" i="13"/>
  <c r="F10237" i="13"/>
  <c r="F10238" i="13"/>
  <c r="F10239" i="13"/>
  <c r="F10240" i="13"/>
  <c r="F10241" i="13"/>
  <c r="F10242" i="13"/>
  <c r="F10243" i="13"/>
  <c r="F10244" i="13"/>
  <c r="F10245" i="13"/>
  <c r="F10246" i="13"/>
  <c r="F10247" i="13"/>
  <c r="F10248" i="13"/>
  <c r="F10249" i="13"/>
  <c r="F10250" i="13"/>
  <c r="F10251" i="13"/>
  <c r="F10252" i="13"/>
  <c r="F10253" i="13"/>
  <c r="F10254" i="13"/>
  <c r="F10255" i="13"/>
  <c r="F10256" i="13"/>
  <c r="F10257" i="13"/>
  <c r="F10258" i="13"/>
  <c r="F10259" i="13"/>
  <c r="F10260" i="13"/>
  <c r="F10261" i="13"/>
  <c r="F10262" i="13"/>
  <c r="F10263" i="13"/>
  <c r="F10264" i="13"/>
  <c r="F10265" i="13"/>
  <c r="F10266" i="13"/>
  <c r="F10267" i="13"/>
  <c r="F10268" i="13"/>
  <c r="F10269" i="13"/>
  <c r="F10270" i="13"/>
  <c r="F10271" i="13"/>
  <c r="F10272" i="13"/>
  <c r="F10273" i="13"/>
  <c r="F10274" i="13"/>
  <c r="F10275" i="13"/>
  <c r="F10276" i="13"/>
  <c r="F10277" i="13"/>
  <c r="F10278" i="13"/>
  <c r="F10279" i="13"/>
  <c r="F10280" i="13"/>
  <c r="F10281" i="13"/>
  <c r="F10282" i="13"/>
  <c r="F10283" i="13"/>
  <c r="F10284" i="13"/>
  <c r="F10285" i="13"/>
  <c r="F10286" i="13"/>
  <c r="F10287" i="13"/>
  <c r="F10288" i="13"/>
  <c r="F10289" i="13"/>
  <c r="F10290" i="13"/>
  <c r="F10291" i="13"/>
  <c r="F10292" i="13"/>
  <c r="F10293" i="13"/>
  <c r="F10294" i="13"/>
  <c r="F10295" i="13"/>
  <c r="F10296" i="13"/>
  <c r="F10297" i="13"/>
  <c r="F10298" i="13"/>
  <c r="F10299" i="13"/>
  <c r="F10300" i="13"/>
  <c r="F10301" i="13"/>
  <c r="F10302" i="13"/>
  <c r="F10303" i="13"/>
  <c r="F10304" i="13"/>
  <c r="F10305" i="13"/>
  <c r="F10306" i="13"/>
  <c r="F10307" i="13"/>
  <c r="F10308" i="13"/>
  <c r="F10309" i="13"/>
  <c r="F10310" i="13"/>
  <c r="F10311" i="13"/>
  <c r="F10312" i="13"/>
  <c r="F10313" i="13"/>
  <c r="F10314" i="13"/>
  <c r="F10315" i="13"/>
  <c r="F10316" i="13"/>
  <c r="F10317" i="13"/>
  <c r="F10318" i="13"/>
  <c r="F10416" i="13"/>
  <c r="F10417" i="13"/>
  <c r="F10418" i="13"/>
  <c r="F10419" i="13"/>
  <c r="F10420" i="13"/>
  <c r="F10421" i="13"/>
  <c r="F10422" i="13"/>
  <c r="F10423" i="13"/>
  <c r="F10424" i="13"/>
  <c r="F10425" i="13"/>
  <c r="F10426" i="13"/>
  <c r="F10427" i="13"/>
  <c r="F10428" i="13"/>
  <c r="F10429" i="13"/>
  <c r="F10430" i="13"/>
  <c r="F10431" i="13"/>
  <c r="F10432" i="13"/>
  <c r="F10433" i="13"/>
  <c r="F10434" i="13"/>
  <c r="F10435" i="13"/>
  <c r="F10436" i="13"/>
  <c r="F10437" i="13"/>
  <c r="F10438" i="13"/>
  <c r="F10439" i="13"/>
  <c r="F10440" i="13"/>
  <c r="F10441" i="13"/>
  <c r="F10442" i="13"/>
  <c r="F10443" i="13"/>
  <c r="F10471" i="13"/>
  <c r="F10502" i="13"/>
  <c r="F10534" i="13"/>
  <c r="F10565" i="13"/>
  <c r="F10595" i="13"/>
  <c r="F10626" i="13"/>
  <c r="F10657" i="13"/>
  <c r="F10687" i="13"/>
  <c r="F10717" i="13"/>
  <c r="F10748" i="13"/>
  <c r="F10779" i="13"/>
  <c r="F10810" i="13"/>
  <c r="F10839" i="13"/>
  <c r="F10870" i="13"/>
  <c r="F10900" i="13"/>
  <c r="F10928" i="13"/>
  <c r="F10958" i="13"/>
  <c r="F10989" i="13"/>
  <c r="F11019" i="13"/>
  <c r="F11050" i="13"/>
  <c r="G11025" i="13"/>
  <c r="G11026" i="13"/>
  <c r="G11027" i="13"/>
  <c r="G11028" i="13"/>
  <c r="G11029" i="13"/>
  <c r="G11030" i="13"/>
  <c r="G11031" i="13"/>
  <c r="G11032" i="13"/>
  <c r="G11033" i="13"/>
  <c r="G11034" i="13"/>
  <c r="G11035" i="13"/>
  <c r="G11036" i="13"/>
  <c r="G11037" i="13"/>
  <c r="G11038" i="13"/>
  <c r="G11039" i="13"/>
  <c r="G11040" i="13"/>
  <c r="G11041" i="13"/>
  <c r="G11042" i="13"/>
  <c r="G11043" i="13"/>
  <c r="G11044" i="13"/>
  <c r="G11045" i="13"/>
  <c r="G11046" i="13"/>
  <c r="G11047" i="13"/>
  <c r="G11048" i="13"/>
  <c r="G11049" i="13"/>
  <c r="G11050" i="13"/>
  <c r="G11051" i="13"/>
  <c r="G11052" i="13"/>
  <c r="G11053" i="13"/>
  <c r="G11054" i="13"/>
  <c r="G11055" i="13"/>
  <c r="G11056" i="13"/>
  <c r="G11057" i="13"/>
  <c r="G11058" i="13"/>
  <c r="G11059" i="13"/>
  <c r="G11060" i="13"/>
  <c r="G11061" i="13"/>
  <c r="G11062" i="13"/>
  <c r="G11063" i="13"/>
  <c r="G11064" i="13"/>
  <c r="G11065" i="13"/>
  <c r="G10974" i="13"/>
  <c r="G10975" i="13"/>
  <c r="G10976" i="13"/>
  <c r="G10977" i="13"/>
  <c r="G10978" i="13"/>
  <c r="G10979" i="13"/>
  <c r="G10980" i="13"/>
  <c r="G10981" i="13"/>
  <c r="G10982" i="13"/>
  <c r="G10983" i="13"/>
  <c r="G10984" i="13"/>
  <c r="G10985" i="13"/>
  <c r="G10986" i="13"/>
  <c r="G10987" i="13"/>
  <c r="G10988" i="13"/>
  <c r="G10989" i="13"/>
  <c r="G10990" i="13"/>
  <c r="G10991" i="13"/>
  <c r="G10992" i="13"/>
  <c r="G10993" i="13"/>
  <c r="G10994" i="13"/>
  <c r="G10995" i="13"/>
  <c r="G10996" i="13"/>
  <c r="G10997" i="13"/>
  <c r="G10998" i="13"/>
  <c r="G10999" i="13"/>
  <c r="G11000" i="13"/>
  <c r="G11001" i="13"/>
  <c r="G11002" i="13"/>
  <c r="G11003" i="13"/>
  <c r="G11004" i="13"/>
  <c r="G11005" i="13"/>
  <c r="G11006" i="13"/>
  <c r="G11007" i="13"/>
  <c r="G11008" i="13"/>
  <c r="G11009" i="13"/>
  <c r="G11010" i="13"/>
  <c r="G11011" i="13"/>
  <c r="G11012" i="13"/>
  <c r="G11013" i="13"/>
  <c r="G11014" i="13"/>
  <c r="G11015" i="13"/>
  <c r="G11016" i="13"/>
  <c r="G11017" i="13"/>
  <c r="G11018" i="13"/>
  <c r="G11019" i="13"/>
  <c r="G11020" i="13"/>
  <c r="G11021" i="13"/>
  <c r="G11022" i="13"/>
  <c r="G11023" i="13"/>
  <c r="G11024" i="13"/>
  <c r="AF83" i="3"/>
  <c r="AF83" i="5"/>
  <c r="AG22" i="7" l="1"/>
  <c r="AG101" i="4"/>
  <c r="AG101" i="3"/>
  <c r="AS28" i="1"/>
  <c r="AG39" i="9"/>
  <c r="AG46" i="9" s="1"/>
  <c r="AG101" i="9"/>
  <c r="AG22" i="9"/>
  <c r="AG39" i="8"/>
  <c r="AG46" i="8" s="1"/>
  <c r="AG22" i="8"/>
  <c r="AG39" i="7"/>
  <c r="AG46" i="7" s="1"/>
  <c r="AG47" i="6"/>
  <c r="AG39" i="5"/>
  <c r="AG46" i="5" s="1"/>
  <c r="AG22" i="5"/>
  <c r="AG39" i="4"/>
  <c r="AG46" i="4" s="1"/>
  <c r="AG22" i="4"/>
  <c r="AG39" i="3"/>
  <c r="AG46" i="3" s="1"/>
  <c r="AG22" i="3"/>
  <c r="AG102" i="2"/>
  <c r="AG39" i="2"/>
  <c r="AG46" i="2" s="1"/>
  <c r="AG22" i="2"/>
  <c r="AS85" i="1"/>
  <c r="AS112" i="1"/>
  <c r="AS54" i="1"/>
  <c r="AS56" i="1" s="1"/>
  <c r="AS58" i="1" s="1"/>
  <c r="AS60" i="1" s="1"/>
  <c r="AS16" i="1"/>
  <c r="AS36" i="1"/>
  <c r="AR100" i="1"/>
  <c r="AR96" i="1"/>
  <c r="AR97" i="1"/>
  <c r="AR69" i="1"/>
  <c r="AR56" i="1"/>
  <c r="AR54" i="1"/>
  <c r="AR19" i="1"/>
  <c r="AR14" i="1"/>
  <c r="AR12" i="1"/>
  <c r="AR11" i="1"/>
  <c r="AR8" i="1"/>
  <c r="AR5" i="1"/>
  <c r="AF83" i="9"/>
  <c r="AF82" i="9"/>
  <c r="AF59" i="9"/>
  <c r="AF43" i="9"/>
  <c r="AF37" i="9"/>
  <c r="AF36" i="9"/>
  <c r="AF34" i="9"/>
  <c r="AF25" i="9"/>
  <c r="AF29" i="9"/>
  <c r="AF28" i="9"/>
  <c r="AF27" i="9"/>
  <c r="AF26" i="9"/>
  <c r="AF30" i="9"/>
  <c r="AF19" i="9"/>
  <c r="AF15" i="9"/>
  <c r="AF14" i="9"/>
  <c r="AG47" i="7" l="1"/>
  <c r="AG47" i="2"/>
  <c r="AG47" i="9"/>
  <c r="AG47" i="8"/>
  <c r="AG47" i="5"/>
  <c r="AG47" i="4"/>
  <c r="AG47" i="3"/>
  <c r="AS87" i="1"/>
  <c r="AS38" i="1"/>
  <c r="AF58" i="7"/>
  <c r="AF56" i="5"/>
  <c r="AF16" i="3" l="1"/>
  <c r="AF54" i="12" l="1"/>
  <c r="AF21" i="9"/>
  <c r="AF38" i="9"/>
  <c r="AF83" i="12"/>
  <c r="AF82" i="12"/>
  <c r="AF81" i="12"/>
  <c r="AF80" i="12"/>
  <c r="AF75" i="12"/>
  <c r="AF74" i="12"/>
  <c r="AF73" i="12"/>
  <c r="AF72" i="12"/>
  <c r="AF67" i="12"/>
  <c r="AF65" i="12"/>
  <c r="AF63" i="12"/>
  <c r="AF62" i="12"/>
  <c r="AF61" i="12"/>
  <c r="AF60" i="12"/>
  <c r="AF59" i="12"/>
  <c r="AF58" i="12"/>
  <c r="AF56" i="12"/>
  <c r="AF55" i="12"/>
  <c r="AF53" i="12"/>
  <c r="AF51" i="12"/>
  <c r="AF50" i="12"/>
  <c r="AF45" i="12"/>
  <c r="AF43" i="12"/>
  <c r="AF42" i="12"/>
  <c r="AF41" i="12"/>
  <c r="AF37" i="12"/>
  <c r="AF36" i="12"/>
  <c r="AF35" i="12"/>
  <c r="AF34" i="12"/>
  <c r="AF31" i="12"/>
  <c r="AF30" i="12"/>
  <c r="AF29" i="12"/>
  <c r="AF28" i="12"/>
  <c r="AF27" i="12"/>
  <c r="AF26" i="12"/>
  <c r="AF25" i="12"/>
  <c r="AF20" i="12"/>
  <c r="AF19" i="12"/>
  <c r="AF18" i="12"/>
  <c r="AF17" i="12"/>
  <c r="AF16" i="12"/>
  <c r="AF15" i="12"/>
  <c r="AF14" i="12"/>
  <c r="AF13" i="12"/>
  <c r="AF11" i="12"/>
  <c r="AF10" i="12"/>
  <c r="AF9" i="12"/>
  <c r="AF8" i="12"/>
  <c r="AF7" i="12"/>
  <c r="AF6" i="12"/>
  <c r="AF5" i="12"/>
  <c r="AF1" i="12"/>
  <c r="AF99" i="9"/>
  <c r="AF92" i="9"/>
  <c r="AF52" i="9"/>
  <c r="AF44" i="9"/>
  <c r="AF32" i="9"/>
  <c r="AF12" i="9"/>
  <c r="AF1" i="9"/>
  <c r="AF99" i="8"/>
  <c r="AF92" i="8"/>
  <c r="AF52" i="8"/>
  <c r="AF57" i="8" s="1"/>
  <c r="AF64" i="8" s="1"/>
  <c r="AF66" i="8" s="1"/>
  <c r="AF68" i="8" s="1"/>
  <c r="AF44" i="8"/>
  <c r="AF38" i="8"/>
  <c r="AF32" i="8"/>
  <c r="AF21" i="8"/>
  <c r="AF12" i="8"/>
  <c r="AF1" i="8"/>
  <c r="AF99" i="7"/>
  <c r="AF92" i="7"/>
  <c r="AF52" i="7"/>
  <c r="AF57" i="7" s="1"/>
  <c r="AF64" i="7" s="1"/>
  <c r="AF66" i="7" s="1"/>
  <c r="AF68" i="7" s="1"/>
  <c r="AF44" i="7"/>
  <c r="AF38" i="7"/>
  <c r="AF32" i="7"/>
  <c r="AF21" i="7"/>
  <c r="AF12" i="7"/>
  <c r="AF1" i="7"/>
  <c r="AF99" i="6"/>
  <c r="AF92" i="6"/>
  <c r="AF52" i="6"/>
  <c r="AF57" i="6" s="1"/>
  <c r="AF64" i="6" s="1"/>
  <c r="AF66" i="6" s="1"/>
  <c r="AF68" i="6" s="1"/>
  <c r="AF44" i="6"/>
  <c r="AF38" i="6"/>
  <c r="AF32" i="6"/>
  <c r="AF21" i="6"/>
  <c r="AF12" i="6"/>
  <c r="AF1" i="6"/>
  <c r="AF84" i="12" l="1"/>
  <c r="AF52" i="12"/>
  <c r="AF57" i="12" s="1"/>
  <c r="AF64" i="12" s="1"/>
  <c r="AF66" i="12" s="1"/>
  <c r="AF68" i="12" s="1"/>
  <c r="AF77" i="12"/>
  <c r="AF12" i="12"/>
  <c r="AF57" i="9"/>
  <c r="AF64" i="9" s="1"/>
  <c r="AF66" i="9" s="1"/>
  <c r="AF68" i="9" s="1"/>
  <c r="AF44" i="12"/>
  <c r="AF38" i="12"/>
  <c r="AF32" i="12"/>
  <c r="AF21" i="12"/>
  <c r="AF101" i="9"/>
  <c r="AF22" i="9"/>
  <c r="AF39" i="9"/>
  <c r="AF46" i="9" s="1"/>
  <c r="AF101" i="8"/>
  <c r="AF39" i="8"/>
  <c r="AF46" i="8" s="1"/>
  <c r="AF22" i="8"/>
  <c r="AF101" i="7"/>
  <c r="AF39" i="7"/>
  <c r="AF46" i="7" s="1"/>
  <c r="AF22" i="7"/>
  <c r="AF101" i="6"/>
  <c r="AF39" i="6"/>
  <c r="AF46" i="6" s="1"/>
  <c r="AF22" i="6"/>
  <c r="AF99" i="5"/>
  <c r="AF92" i="5"/>
  <c r="AF52" i="5"/>
  <c r="AF57" i="5" s="1"/>
  <c r="AF64" i="5" s="1"/>
  <c r="AF66" i="5" s="1"/>
  <c r="AF68" i="5" s="1"/>
  <c r="AF44" i="5"/>
  <c r="AF38" i="5"/>
  <c r="AF32" i="5"/>
  <c r="AF21" i="5"/>
  <c r="AF12" i="5"/>
  <c r="AF1" i="5"/>
  <c r="AF99" i="4"/>
  <c r="AF92" i="4"/>
  <c r="AF101" i="4" s="1"/>
  <c r="AF52" i="4"/>
  <c r="AF57" i="4" s="1"/>
  <c r="AF64" i="4" s="1"/>
  <c r="AF66" i="4" s="1"/>
  <c r="AF68" i="4" s="1"/>
  <c r="AF44" i="4"/>
  <c r="AF38" i="4"/>
  <c r="AF32" i="4"/>
  <c r="AF21" i="4"/>
  <c r="AF12" i="4"/>
  <c r="AF1" i="4"/>
  <c r="AF99" i="3"/>
  <c r="AF92" i="3"/>
  <c r="AF52" i="3"/>
  <c r="AF57" i="3" s="1"/>
  <c r="AF64" i="3" s="1"/>
  <c r="AF66" i="3" s="1"/>
  <c r="AF68" i="3" s="1"/>
  <c r="AF44" i="3"/>
  <c r="AF38" i="3"/>
  <c r="AF32" i="3"/>
  <c r="AF21" i="3"/>
  <c r="AF12" i="3"/>
  <c r="AF100" i="2"/>
  <c r="AF93" i="2"/>
  <c r="AF52" i="2"/>
  <c r="AF57" i="2" s="1"/>
  <c r="AF65" i="2" s="1"/>
  <c r="AF67" i="2" s="1"/>
  <c r="AF69" i="2" s="1"/>
  <c r="AF44" i="2"/>
  <c r="AF38" i="2"/>
  <c r="AF32" i="2"/>
  <c r="AF21" i="2"/>
  <c r="AF12" i="2"/>
  <c r="AR110" i="1"/>
  <c r="AR83" i="1"/>
  <c r="AR82" i="1"/>
  <c r="AR101" i="1" s="1"/>
  <c r="AR81" i="1"/>
  <c r="AR90" i="1" s="1"/>
  <c r="AR103" i="1" s="1"/>
  <c r="AR80" i="1"/>
  <c r="AR73" i="1"/>
  <c r="AR71" i="1"/>
  <c r="AR64" i="1"/>
  <c r="AR53" i="1"/>
  <c r="AR48" i="1"/>
  <c r="AR58" i="1" s="1"/>
  <c r="AR60" i="1" s="1"/>
  <c r="AR35" i="1"/>
  <c r="AR27" i="1"/>
  <c r="AR23" i="1"/>
  <c r="AR15" i="1"/>
  <c r="AR9" i="1"/>
  <c r="G10941" i="13"/>
  <c r="G10942" i="13"/>
  <c r="G10943" i="13"/>
  <c r="G10944" i="13"/>
  <c r="G10945" i="13"/>
  <c r="G10946" i="13"/>
  <c r="G10947" i="13"/>
  <c r="G10948" i="13"/>
  <c r="G10949" i="13"/>
  <c r="G10950" i="13"/>
  <c r="G10951" i="13"/>
  <c r="G10952" i="13"/>
  <c r="G10953" i="13"/>
  <c r="G10954" i="13"/>
  <c r="G10955" i="13"/>
  <c r="G10956" i="13"/>
  <c r="G10957" i="13"/>
  <c r="G10958" i="13"/>
  <c r="G10959" i="13"/>
  <c r="G10960" i="13"/>
  <c r="G10961" i="13"/>
  <c r="G10962" i="13"/>
  <c r="G10963" i="13"/>
  <c r="G10964" i="13"/>
  <c r="G10965" i="13"/>
  <c r="G10966" i="13"/>
  <c r="G10967" i="13"/>
  <c r="G10968" i="13"/>
  <c r="G10969" i="13"/>
  <c r="G10970" i="13"/>
  <c r="G10971" i="13"/>
  <c r="G10972" i="13"/>
  <c r="G10973" i="13"/>
  <c r="G10934" i="13"/>
  <c r="G10935" i="13"/>
  <c r="G10936" i="13"/>
  <c r="G10937" i="13"/>
  <c r="G10938" i="13"/>
  <c r="G10939" i="13"/>
  <c r="G10940" i="13"/>
  <c r="G3" i="14"/>
  <c r="G4" i="14"/>
  <c r="G5" i="14"/>
  <c r="G6" i="14"/>
  <c r="G7" i="14"/>
  <c r="G8" i="14"/>
  <c r="K7" i="14" s="1"/>
  <c r="G9" i="14"/>
  <c r="G10" i="14"/>
  <c r="G11" i="14"/>
  <c r="G12" i="14"/>
  <c r="G13" i="14"/>
  <c r="G14" i="14"/>
  <c r="G15" i="14"/>
  <c r="G16" i="14"/>
  <c r="G17" i="14"/>
  <c r="B19" i="14"/>
  <c r="G23" i="14"/>
  <c r="G24" i="14"/>
  <c r="G25" i="14"/>
  <c r="G26" i="14"/>
  <c r="G27" i="14"/>
  <c r="G28" i="14"/>
  <c r="G29" i="14"/>
  <c r="G30" i="14"/>
  <c r="G31" i="14"/>
  <c r="G32" i="14"/>
  <c r="G33" i="14"/>
  <c r="G34" i="14"/>
  <c r="G35" i="14"/>
  <c r="G36" i="14"/>
  <c r="G37" i="14"/>
  <c r="G38" i="14"/>
  <c r="G39" i="14"/>
  <c r="G40" i="14"/>
  <c r="G41" i="14"/>
  <c r="G42" i="14"/>
  <c r="G43" i="14"/>
  <c r="G44" i="14"/>
  <c r="G45" i="14"/>
  <c r="G47" i="14"/>
  <c r="G48" i="14"/>
  <c r="G49" i="14"/>
  <c r="G50" i="14"/>
  <c r="G51" i="14"/>
  <c r="G52" i="14"/>
  <c r="D53" i="14"/>
  <c r="G53" i="14"/>
  <c r="G54" i="14"/>
  <c r="G55" i="14"/>
  <c r="G56" i="14"/>
  <c r="G57" i="14"/>
  <c r="G58" i="14"/>
  <c r="G59" i="14"/>
  <c r="G60" i="14"/>
  <c r="D61" i="14"/>
  <c r="D70" i="14" s="1"/>
  <c r="G61" i="14"/>
  <c r="G62" i="14"/>
  <c r="G63" i="14"/>
  <c r="G64" i="14"/>
  <c r="G65" i="14"/>
  <c r="D66" i="14"/>
  <c r="D67" i="14" s="1"/>
  <c r="G66" i="14"/>
  <c r="G67" i="14"/>
  <c r="G68" i="14"/>
  <c r="G69" i="14"/>
  <c r="G70" i="14"/>
  <c r="B72" i="14"/>
  <c r="G78" i="14"/>
  <c r="G79" i="14"/>
  <c r="G80" i="14"/>
  <c r="G81" i="14"/>
  <c r="G82" i="14"/>
  <c r="G83" i="14"/>
  <c r="K82" i="14" s="1"/>
  <c r="D84" i="14"/>
  <c r="B84" i="14" s="1"/>
  <c r="B90" i="14" s="1"/>
  <c r="G84" i="14"/>
  <c r="G85" i="14"/>
  <c r="G86" i="14"/>
  <c r="G87" i="14"/>
  <c r="B88" i="14"/>
  <c r="G88" i="14"/>
  <c r="D89" i="14"/>
  <c r="B89" i="14" s="1"/>
  <c r="G89" i="14"/>
  <c r="B96" i="14"/>
  <c r="B120" i="14"/>
  <c r="B95" i="14" s="1"/>
  <c r="B74" i="14" l="1"/>
  <c r="B92" i="14"/>
  <c r="K6" i="14"/>
  <c r="K5" i="14"/>
  <c r="K4" i="14"/>
  <c r="K3" i="14"/>
  <c r="K23" i="14"/>
  <c r="D90" i="14"/>
  <c r="K80" i="14"/>
  <c r="K8" i="14"/>
  <c r="K24" i="14"/>
  <c r="K27" i="14"/>
  <c r="K79" i="14"/>
  <c r="K88" i="14"/>
  <c r="K87" i="14"/>
  <c r="K83" i="14"/>
  <c r="K26" i="14"/>
  <c r="K25" i="14"/>
  <c r="AR79" i="1"/>
  <c r="AR85" i="1" s="1"/>
  <c r="AR87" i="1" s="1"/>
  <c r="AR28" i="1"/>
  <c r="AR36" i="1" s="1"/>
  <c r="AF102" i="2"/>
  <c r="AF47" i="6"/>
  <c r="AF101" i="5"/>
  <c r="AF88" i="12"/>
  <c r="AF101" i="3"/>
  <c r="AF87" i="12"/>
  <c r="AF39" i="3"/>
  <c r="AF46" i="3" s="1"/>
  <c r="AF22" i="12"/>
  <c r="AF39" i="12"/>
  <c r="AF46" i="12" s="1"/>
  <c r="AF47" i="9"/>
  <c r="AF47" i="8"/>
  <c r="AF47" i="7"/>
  <c r="AF39" i="5"/>
  <c r="AF46" i="5" s="1"/>
  <c r="AF22" i="5"/>
  <c r="AF39" i="4"/>
  <c r="AF46" i="4" s="1"/>
  <c r="AF22" i="4"/>
  <c r="AF22" i="3"/>
  <c r="AF39" i="2"/>
  <c r="AF46" i="2" s="1"/>
  <c r="AF22" i="2"/>
  <c r="AR112" i="1"/>
  <c r="AR16" i="1"/>
  <c r="K81" i="14"/>
  <c r="K32" i="14"/>
  <c r="K86" i="14"/>
  <c r="K13" i="14"/>
  <c r="K31" i="14"/>
  <c r="K85" i="14"/>
  <c r="K12" i="14"/>
  <c r="K30" i="14"/>
  <c r="K84" i="14"/>
  <c r="K11" i="14"/>
  <c r="K29" i="14"/>
  <c r="K78" i="14"/>
  <c r="K10" i="14"/>
  <c r="K28" i="14"/>
  <c r="K9" i="14"/>
  <c r="K33" i="14"/>
  <c r="AF89" i="12" l="1"/>
  <c r="AF47" i="12"/>
  <c r="AF47" i="5"/>
  <c r="AF47" i="4"/>
  <c r="AF47" i="3"/>
  <c r="AF47" i="2"/>
  <c r="AR38" i="1"/>
  <c r="G10927" i="13"/>
  <c r="G10928" i="13"/>
  <c r="G10929" i="13"/>
  <c r="G10930" i="13"/>
  <c r="G10931" i="13"/>
  <c r="G10932" i="13"/>
  <c r="G10933" i="13"/>
  <c r="G10920" i="13"/>
  <c r="G10921" i="13"/>
  <c r="G10922" i="13"/>
  <c r="G10923" i="13"/>
  <c r="G10924" i="13"/>
  <c r="G10925" i="13"/>
  <c r="G10926" i="13"/>
  <c r="G10908" i="13"/>
  <c r="G10909" i="13"/>
  <c r="G10910" i="13"/>
  <c r="G10911" i="13"/>
  <c r="G10912" i="13"/>
  <c r="G10913" i="13"/>
  <c r="G10914" i="13"/>
  <c r="G10915" i="13"/>
  <c r="G10916" i="13"/>
  <c r="G10917" i="13"/>
  <c r="G10918" i="13"/>
  <c r="G10919" i="13"/>
  <c r="G10906" i="13"/>
  <c r="G10907" i="13"/>
  <c r="G10905" i="13"/>
  <c r="G10904" i="13"/>
  <c r="G10903" i="13"/>
  <c r="G10902" i="13"/>
  <c r="G10901" i="13"/>
  <c r="G10900" i="13"/>
  <c r="G10899" i="13"/>
  <c r="G10898" i="13"/>
  <c r="G10897" i="13"/>
  <c r="G10896" i="13"/>
  <c r="G10895" i="13"/>
  <c r="G10894" i="13"/>
  <c r="G10893" i="13"/>
  <c r="G10892" i="13"/>
  <c r="AE90" i="9" l="1"/>
  <c r="AE85" i="9"/>
  <c r="AE82" i="9"/>
  <c r="AE36" i="9" l="1"/>
  <c r="AE42" i="9"/>
  <c r="AE43" i="9"/>
  <c r="AE37" i="9"/>
  <c r="AE34" i="9"/>
  <c r="AE29" i="9"/>
  <c r="AE28" i="9"/>
  <c r="AE27" i="9"/>
  <c r="AE26" i="9"/>
  <c r="AE25" i="9"/>
  <c r="AE19" i="9"/>
  <c r="AE15" i="9"/>
  <c r="AE20" i="9"/>
  <c r="AE83" i="8" l="1"/>
  <c r="AE83" i="4" l="1"/>
  <c r="AE82" i="4"/>
  <c r="AE84" i="2"/>
  <c r="AE83" i="2"/>
  <c r="AE86" i="2"/>
  <c r="AE88" i="2"/>
  <c r="AE37" i="2"/>
  <c r="AE83" i="12" l="1"/>
  <c r="AE82" i="12"/>
  <c r="AE81" i="12"/>
  <c r="AE80" i="12"/>
  <c r="AE75" i="12"/>
  <c r="AE74" i="12"/>
  <c r="AE73" i="12"/>
  <c r="AE72" i="12"/>
  <c r="AE67" i="12"/>
  <c r="AE65" i="12"/>
  <c r="AE63" i="12"/>
  <c r="AE62" i="12"/>
  <c r="AE61" i="12"/>
  <c r="AE60" i="12"/>
  <c r="AE59" i="12"/>
  <c r="AE58" i="12"/>
  <c r="AE56" i="12"/>
  <c r="AE55" i="12"/>
  <c r="AE54" i="12"/>
  <c r="AE53" i="12"/>
  <c r="AE51" i="12"/>
  <c r="AE50" i="12"/>
  <c r="AE45" i="12"/>
  <c r="AE43" i="12"/>
  <c r="AE42" i="12"/>
  <c r="AE41" i="12"/>
  <c r="AE37" i="12"/>
  <c r="AE36" i="12"/>
  <c r="AE35" i="12"/>
  <c r="AE34" i="12"/>
  <c r="AE31" i="12"/>
  <c r="AE30" i="12"/>
  <c r="AE29" i="12"/>
  <c r="AE28" i="12"/>
  <c r="AE27" i="12"/>
  <c r="AE26" i="12"/>
  <c r="AE25" i="12"/>
  <c r="AE20" i="12"/>
  <c r="AE19" i="12"/>
  <c r="AE18" i="12"/>
  <c r="AE17" i="12"/>
  <c r="AE16" i="12"/>
  <c r="AE15" i="12"/>
  <c r="AE14" i="12"/>
  <c r="AE13" i="12"/>
  <c r="AE11" i="12"/>
  <c r="AE10" i="12"/>
  <c r="AE9" i="12"/>
  <c r="AE8" i="12"/>
  <c r="AE7" i="12"/>
  <c r="AE6" i="12"/>
  <c r="AE5" i="12"/>
  <c r="AE99" i="9"/>
  <c r="AE92" i="9"/>
  <c r="AE52" i="9"/>
  <c r="AE57" i="9" s="1"/>
  <c r="AE64" i="9" s="1"/>
  <c r="AE44" i="9"/>
  <c r="AE38" i="9"/>
  <c r="AE32" i="9"/>
  <c r="AE21" i="9"/>
  <c r="AE12" i="9"/>
  <c r="AE99" i="8"/>
  <c r="AE92" i="8"/>
  <c r="AE52" i="8"/>
  <c r="AE57" i="8" s="1"/>
  <c r="AE64" i="8" s="1"/>
  <c r="AE66" i="8" s="1"/>
  <c r="AE68" i="8" s="1"/>
  <c r="AE44" i="8"/>
  <c r="AE38" i="8"/>
  <c r="AE32" i="8"/>
  <c r="AE21" i="8"/>
  <c r="AE12" i="8"/>
  <c r="AE99" i="7"/>
  <c r="AE92" i="7"/>
  <c r="AE52" i="7"/>
  <c r="AE57" i="7" s="1"/>
  <c r="AE64" i="7" s="1"/>
  <c r="AE66" i="7" s="1"/>
  <c r="AE68" i="7" s="1"/>
  <c r="AE44" i="7"/>
  <c r="AE38" i="7"/>
  <c r="AE32" i="7"/>
  <c r="AE21" i="7"/>
  <c r="AE12" i="7"/>
  <c r="AE99" i="6"/>
  <c r="AE92" i="6"/>
  <c r="AE101" i="6" s="1"/>
  <c r="AE52" i="6"/>
  <c r="AE57" i="6" s="1"/>
  <c r="AE64" i="6" s="1"/>
  <c r="AE66" i="6" s="1"/>
  <c r="AE68" i="6" s="1"/>
  <c r="AE44" i="6"/>
  <c r="AE38" i="6"/>
  <c r="AE32" i="6"/>
  <c r="AE21" i="6"/>
  <c r="AE12" i="6"/>
  <c r="AE99" i="5"/>
  <c r="AE92" i="5"/>
  <c r="AE52" i="5"/>
  <c r="AE57" i="5" s="1"/>
  <c r="AE64" i="5" s="1"/>
  <c r="AE66" i="5" s="1"/>
  <c r="AE68" i="5" s="1"/>
  <c r="AE44" i="5"/>
  <c r="AE38" i="5"/>
  <c r="AE32" i="5"/>
  <c r="AE21" i="5"/>
  <c r="AE12" i="5"/>
  <c r="AE101" i="9" l="1"/>
  <c r="AE66" i="9"/>
  <c r="AE68" i="9" s="1"/>
  <c r="AE101" i="8"/>
  <c r="AE101" i="7"/>
  <c r="AE22" i="5"/>
  <c r="AE84" i="12"/>
  <c r="AE77" i="12"/>
  <c r="AE52" i="12"/>
  <c r="AE57" i="12" s="1"/>
  <c r="AE64" i="12" s="1"/>
  <c r="AE66" i="12" s="1"/>
  <c r="AE68" i="12" s="1"/>
  <c r="AE44" i="12"/>
  <c r="AE38" i="12"/>
  <c r="AE32" i="12"/>
  <c r="AE21" i="12"/>
  <c r="AE12" i="12"/>
  <c r="AE22" i="9"/>
  <c r="AE39" i="9"/>
  <c r="AE46" i="9" s="1"/>
  <c r="AE39" i="8"/>
  <c r="AE46" i="8" s="1"/>
  <c r="AE22" i="8"/>
  <c r="AE39" i="7"/>
  <c r="AE46" i="7" s="1"/>
  <c r="AE22" i="7"/>
  <c r="AE39" i="6"/>
  <c r="AE46" i="6" s="1"/>
  <c r="AE22" i="6"/>
  <c r="AE101" i="5"/>
  <c r="AE39" i="5"/>
  <c r="AE46" i="5" s="1"/>
  <c r="AE47" i="5" s="1"/>
  <c r="AE1" i="4"/>
  <c r="AE1" i="5" s="1"/>
  <c r="AE1" i="6" s="1"/>
  <c r="AE1" i="7" s="1"/>
  <c r="AE1" i="8" s="1"/>
  <c r="AE1" i="9" s="1"/>
  <c r="AE1" i="12" s="1"/>
  <c r="AE99" i="4"/>
  <c r="AE92" i="4"/>
  <c r="AE101" i="4" s="1"/>
  <c r="AE52" i="4"/>
  <c r="AE57" i="4" s="1"/>
  <c r="AE64" i="4" s="1"/>
  <c r="AE66" i="4" s="1"/>
  <c r="AE68" i="4" s="1"/>
  <c r="AE44" i="4"/>
  <c r="AE38" i="4"/>
  <c r="AE32" i="4"/>
  <c r="AE21" i="4"/>
  <c r="AE12" i="4"/>
  <c r="AE99" i="3"/>
  <c r="AE92" i="3"/>
  <c r="AE101" i="3" s="1"/>
  <c r="AE52" i="3"/>
  <c r="AE57" i="3" s="1"/>
  <c r="AE64" i="3" s="1"/>
  <c r="AE66" i="3" s="1"/>
  <c r="AE68" i="3" s="1"/>
  <c r="AE44" i="3"/>
  <c r="AE38" i="3"/>
  <c r="AE32" i="3"/>
  <c r="AE21" i="3"/>
  <c r="AE12" i="3"/>
  <c r="AE100" i="2"/>
  <c r="AE93" i="2"/>
  <c r="AE52" i="2"/>
  <c r="AE57" i="2" s="1"/>
  <c r="AE65" i="2" s="1"/>
  <c r="AE67" i="2" s="1"/>
  <c r="AE69" i="2" s="1"/>
  <c r="AE44" i="2"/>
  <c r="AE38" i="2"/>
  <c r="AE32" i="2"/>
  <c r="AE21" i="2"/>
  <c r="AE12" i="2"/>
  <c r="AQ83" i="1"/>
  <c r="AQ82" i="1"/>
  <c r="AQ101" i="1" s="1"/>
  <c r="AQ81" i="1"/>
  <c r="AQ90" i="1" s="1"/>
  <c r="AQ80" i="1"/>
  <c r="AQ110" i="1" s="1"/>
  <c r="AQ73" i="1"/>
  <c r="AQ71" i="1"/>
  <c r="AQ64" i="1"/>
  <c r="AQ53" i="1"/>
  <c r="AQ48" i="1"/>
  <c r="AQ35" i="1"/>
  <c r="AQ27" i="1"/>
  <c r="AQ23" i="1"/>
  <c r="AQ15" i="1"/>
  <c r="AQ9" i="1"/>
  <c r="AE47" i="7" l="1"/>
  <c r="AE47" i="6"/>
  <c r="AE88" i="12"/>
  <c r="AE87" i="12"/>
  <c r="AE22" i="12"/>
  <c r="AE39" i="12"/>
  <c r="AE46" i="12" s="1"/>
  <c r="AQ54" i="1"/>
  <c r="AQ56" i="1" s="1"/>
  <c r="AQ58" i="1" s="1"/>
  <c r="AQ60" i="1" s="1"/>
  <c r="AE47" i="9"/>
  <c r="AE47" i="8"/>
  <c r="AE39" i="4"/>
  <c r="AE46" i="4" s="1"/>
  <c r="AE22" i="4"/>
  <c r="AE39" i="3"/>
  <c r="AE46" i="3" s="1"/>
  <c r="AE22" i="3"/>
  <c r="AE102" i="2"/>
  <c r="AE39" i="2"/>
  <c r="AE46" i="2" s="1"/>
  <c r="AE22" i="2"/>
  <c r="AQ103" i="1"/>
  <c r="AQ112" i="1" s="1"/>
  <c r="AQ79" i="1"/>
  <c r="AQ85" i="1" s="1"/>
  <c r="AQ16" i="1"/>
  <c r="AQ28" i="1"/>
  <c r="AQ36" i="1" s="1"/>
  <c r="AE89" i="12" l="1"/>
  <c r="AE47" i="3"/>
  <c r="AE47" i="12"/>
  <c r="AE47" i="2"/>
  <c r="AQ87" i="1"/>
  <c r="AQ38" i="1"/>
  <c r="AE47" i="4"/>
  <c r="G10878" i="13"/>
  <c r="G10879" i="13"/>
  <c r="G10880" i="13"/>
  <c r="G10881" i="13"/>
  <c r="G10882" i="13"/>
  <c r="G10883" i="13"/>
  <c r="G10884" i="13"/>
  <c r="G10885" i="13"/>
  <c r="G10886" i="13"/>
  <c r="G10887" i="13"/>
  <c r="G10888" i="13"/>
  <c r="G10889" i="13"/>
  <c r="G10890" i="13"/>
  <c r="G10891" i="13"/>
  <c r="G10871" i="13"/>
  <c r="G10872" i="13"/>
  <c r="G10873" i="13"/>
  <c r="G10874" i="13"/>
  <c r="G10875" i="13"/>
  <c r="G10876" i="13"/>
  <c r="G10877" i="13"/>
  <c r="G10857" i="13"/>
  <c r="G10858" i="13"/>
  <c r="G10859" i="13"/>
  <c r="G10860" i="13"/>
  <c r="G10861" i="13"/>
  <c r="G10862" i="13"/>
  <c r="G10863" i="13"/>
  <c r="G10864" i="13"/>
  <c r="G10865" i="13"/>
  <c r="G10866" i="13"/>
  <c r="G10867" i="13"/>
  <c r="G10868" i="13"/>
  <c r="G10869" i="13"/>
  <c r="G10870" i="13"/>
  <c r="G10856" i="13"/>
  <c r="G10855" i="13"/>
  <c r="G10836" i="13"/>
  <c r="G10837" i="13"/>
  <c r="G10838" i="13"/>
  <c r="G10839" i="13"/>
  <c r="G10840" i="13"/>
  <c r="G10841" i="13"/>
  <c r="G10842" i="13"/>
  <c r="G10843" i="13"/>
  <c r="G10844" i="13"/>
  <c r="G10845" i="13"/>
  <c r="G10846" i="13"/>
  <c r="G10847" i="13"/>
  <c r="G10848" i="13"/>
  <c r="G10849" i="13"/>
  <c r="G10850" i="13"/>
  <c r="G10851" i="13"/>
  <c r="G10852" i="13"/>
  <c r="G10853" i="13"/>
  <c r="G10854" i="13"/>
  <c r="AD83" i="12"/>
  <c r="AD82" i="12"/>
  <c r="AD81" i="12"/>
  <c r="AD80" i="12"/>
  <c r="AD74" i="12"/>
  <c r="AD73" i="12"/>
  <c r="AD72" i="12"/>
  <c r="AD67" i="12"/>
  <c r="AD65" i="12"/>
  <c r="AD63" i="12"/>
  <c r="AD62" i="12"/>
  <c r="AD61" i="12"/>
  <c r="AD60" i="12"/>
  <c r="AD59" i="12"/>
  <c r="AD58" i="12"/>
  <c r="AD56" i="12"/>
  <c r="AD55" i="12"/>
  <c r="AD54" i="12"/>
  <c r="AD53" i="12"/>
  <c r="AD51" i="12"/>
  <c r="AD50" i="12"/>
  <c r="AD52" i="12" s="1"/>
  <c r="AD45" i="12"/>
  <c r="AD43" i="12"/>
  <c r="AD42" i="12"/>
  <c r="AD41" i="12"/>
  <c r="AD44" i="12" s="1"/>
  <c r="AD37" i="12"/>
  <c r="AD36" i="12"/>
  <c r="AD35" i="12"/>
  <c r="AD34" i="12"/>
  <c r="AD31" i="12"/>
  <c r="AD30" i="12"/>
  <c r="AD29" i="12"/>
  <c r="AD28" i="12"/>
  <c r="AD27" i="12"/>
  <c r="AD26" i="12"/>
  <c r="AD25" i="12"/>
  <c r="AD20" i="12"/>
  <c r="AD19" i="12"/>
  <c r="AD18" i="12"/>
  <c r="AD17" i="12"/>
  <c r="AD16" i="12"/>
  <c r="AD15" i="12"/>
  <c r="AD14" i="12"/>
  <c r="AD13" i="12"/>
  <c r="AD11" i="12"/>
  <c r="AD10" i="12"/>
  <c r="AD9" i="12"/>
  <c r="AD8" i="12"/>
  <c r="AD7" i="12"/>
  <c r="AD6" i="12"/>
  <c r="AD5" i="12"/>
  <c r="AD53" i="9"/>
  <c r="AD37" i="9"/>
  <c r="AD29" i="9"/>
  <c r="AD26" i="9"/>
  <c r="AD57" i="12" l="1"/>
  <c r="AD38" i="12"/>
  <c r="AD12" i="12"/>
  <c r="AD64" i="12"/>
  <c r="AD66" i="12" s="1"/>
  <c r="AD68" i="12" s="1"/>
  <c r="AD32" i="12"/>
  <c r="AD21" i="12"/>
  <c r="AD22" i="12" s="1"/>
  <c r="AD84" i="12"/>
  <c r="AD39" i="12"/>
  <c r="AD46" i="12"/>
  <c r="AD47" i="12" s="1"/>
  <c r="AP100" i="1"/>
  <c r="AP82" i="1"/>
  <c r="AP81" i="1"/>
  <c r="AP80" i="1"/>
  <c r="AP90" i="1"/>
  <c r="AD19" i="9"/>
  <c r="AD15" i="9"/>
  <c r="AD82" i="4" l="1"/>
  <c r="AD98" i="2"/>
  <c r="AD15" i="2"/>
  <c r="AD83" i="6"/>
  <c r="AD30" i="6"/>
  <c r="AD88" i="8"/>
  <c r="AD87" i="8"/>
  <c r="AD85" i="8"/>
  <c r="AD84" i="8"/>
  <c r="AD72" i="8"/>
  <c r="AD89" i="8"/>
  <c r="AD83" i="7"/>
  <c r="AD75" i="12" s="1"/>
  <c r="AD77" i="12" s="1"/>
  <c r="AD82" i="5"/>
  <c r="AD83" i="5"/>
  <c r="AD82" i="3"/>
  <c r="AD83" i="3"/>
  <c r="AD89" i="3"/>
  <c r="L57" i="10" l="1"/>
  <c r="L64" i="10" s="1"/>
  <c r="L66" i="10" s="1"/>
  <c r="L68" i="10" s="1"/>
  <c r="L52" i="10"/>
  <c r="L44" i="10"/>
  <c r="L38" i="10"/>
  <c r="L32" i="10"/>
  <c r="L21" i="10"/>
  <c r="L12" i="10"/>
  <c r="L57" i="11"/>
  <c r="L64" i="11" s="1"/>
  <c r="L66" i="11" s="1"/>
  <c r="L68" i="11" s="1"/>
  <c r="L52" i="11"/>
  <c r="L44" i="11"/>
  <c r="L38" i="11"/>
  <c r="L32" i="11"/>
  <c r="L21" i="11"/>
  <c r="L12" i="11"/>
  <c r="AD99" i="9"/>
  <c r="AD92" i="9"/>
  <c r="AD101" i="9" s="1"/>
  <c r="AD52" i="9"/>
  <c r="AD57" i="9" s="1"/>
  <c r="AD64" i="9" s="1"/>
  <c r="AD66" i="9" s="1"/>
  <c r="AD68" i="9" s="1"/>
  <c r="AD44" i="9"/>
  <c r="AD38" i="9"/>
  <c r="AD32" i="9"/>
  <c r="AD21" i="9"/>
  <c r="AD12" i="9"/>
  <c r="AD99" i="8"/>
  <c r="AD92" i="8"/>
  <c r="AD52" i="8"/>
  <c r="AD57" i="8" s="1"/>
  <c r="AD64" i="8" s="1"/>
  <c r="AD66" i="8" s="1"/>
  <c r="AD68" i="8" s="1"/>
  <c r="AD44" i="8"/>
  <c r="AD38" i="8"/>
  <c r="AD32" i="8"/>
  <c r="AD21" i="8"/>
  <c r="AD12" i="8"/>
  <c r="AD99" i="7"/>
  <c r="AD88" i="12" s="1"/>
  <c r="AD92" i="7"/>
  <c r="AD87" i="12" s="1"/>
  <c r="AD52" i="7"/>
  <c r="AD57" i="7" s="1"/>
  <c r="AD64" i="7" s="1"/>
  <c r="AD66" i="7" s="1"/>
  <c r="AD68" i="7" s="1"/>
  <c r="AD44" i="7"/>
  <c r="AD38" i="7"/>
  <c r="AD32" i="7"/>
  <c r="AD21" i="7"/>
  <c r="AD12" i="7"/>
  <c r="AD1" i="7"/>
  <c r="AD1" i="8" s="1"/>
  <c r="AD1" i="9" s="1"/>
  <c r="AD1" i="12" s="1"/>
  <c r="AD99" i="6"/>
  <c r="AD92" i="6"/>
  <c r="AD52" i="6"/>
  <c r="AD57" i="6" s="1"/>
  <c r="AD64" i="6" s="1"/>
  <c r="AD66" i="6" s="1"/>
  <c r="AD68" i="6" s="1"/>
  <c r="AD44" i="6"/>
  <c r="AD38" i="6"/>
  <c r="AD32" i="6"/>
  <c r="AD21" i="6"/>
  <c r="AD12" i="6"/>
  <c r="AD1" i="6"/>
  <c r="AD99" i="5"/>
  <c r="AD92" i="5"/>
  <c r="AD52" i="5"/>
  <c r="AD57" i="5" s="1"/>
  <c r="AD64" i="5" s="1"/>
  <c r="AD66" i="5" s="1"/>
  <c r="AD68" i="5" s="1"/>
  <c r="AD44" i="5"/>
  <c r="AD38" i="5"/>
  <c r="AD32" i="5"/>
  <c r="AD21" i="5"/>
  <c r="AD12" i="5"/>
  <c r="AD1" i="5"/>
  <c r="AD99" i="4"/>
  <c r="AD92" i="4"/>
  <c r="AD52" i="4"/>
  <c r="AD57" i="4" s="1"/>
  <c r="AD64" i="4" s="1"/>
  <c r="AD66" i="4" s="1"/>
  <c r="AD68" i="4" s="1"/>
  <c r="AD44" i="4"/>
  <c r="AD38" i="4"/>
  <c r="AD32" i="4"/>
  <c r="AD21" i="4"/>
  <c r="AD12" i="4"/>
  <c r="AD52" i="3"/>
  <c r="AD57" i="3" s="1"/>
  <c r="AD64" i="3" s="1"/>
  <c r="AD66" i="3" s="1"/>
  <c r="AD68" i="3" s="1"/>
  <c r="AC52" i="3"/>
  <c r="AD99" i="3"/>
  <c r="AD92" i="3"/>
  <c r="AD44" i="3"/>
  <c r="AD38" i="3"/>
  <c r="AD32" i="3"/>
  <c r="AD21" i="3"/>
  <c r="AD12" i="3"/>
  <c r="AD100" i="2"/>
  <c r="AD93" i="2"/>
  <c r="AD52" i="2"/>
  <c r="AD57" i="2" s="1"/>
  <c r="AD65" i="2" s="1"/>
  <c r="AD67" i="2" s="1"/>
  <c r="AD69" i="2" s="1"/>
  <c r="AD44" i="2"/>
  <c r="AD38" i="2"/>
  <c r="AD32" i="2"/>
  <c r="AD21" i="2"/>
  <c r="AD12" i="2"/>
  <c r="AP108" i="1"/>
  <c r="AP110" i="1" s="1"/>
  <c r="AP101" i="1"/>
  <c r="AP103" i="1" s="1"/>
  <c r="AP83" i="1"/>
  <c r="AP79" i="1" s="1"/>
  <c r="AP73" i="1"/>
  <c r="AP71" i="1"/>
  <c r="AP64" i="1"/>
  <c r="AP53" i="1"/>
  <c r="AP48" i="1"/>
  <c r="AP35" i="1"/>
  <c r="AP27" i="1"/>
  <c r="AP23" i="1"/>
  <c r="AP15" i="1"/>
  <c r="AP9" i="1"/>
  <c r="AD89" i="12" l="1"/>
  <c r="AP54" i="1"/>
  <c r="AP56" i="1" s="1"/>
  <c r="AP58" i="1" s="1"/>
  <c r="AP60" i="1" s="1"/>
  <c r="AD101" i="7"/>
  <c r="AD22" i="7"/>
  <c r="AD22" i="5"/>
  <c r="AD101" i="4"/>
  <c r="AD39" i="4"/>
  <c r="AD46" i="4" s="1"/>
  <c r="AD22" i="4"/>
  <c r="AD101" i="5"/>
  <c r="AD39" i="5"/>
  <c r="AD46" i="5" s="1"/>
  <c r="AD47" i="5" s="1"/>
  <c r="AD101" i="6"/>
  <c r="AD39" i="6"/>
  <c r="AD46" i="6" s="1"/>
  <c r="AD22" i="6"/>
  <c r="AD39" i="7"/>
  <c r="AD46" i="7" s="1"/>
  <c r="AD101" i="8"/>
  <c r="AD39" i="8"/>
  <c r="AD46" i="8"/>
  <c r="AD22" i="8"/>
  <c r="AD39" i="9"/>
  <c r="AD46" i="9" s="1"/>
  <c r="AD22" i="9"/>
  <c r="L39" i="11"/>
  <c r="L46" i="11" s="1"/>
  <c r="L22" i="11"/>
  <c r="L39" i="10"/>
  <c r="L22" i="10"/>
  <c r="L46" i="10"/>
  <c r="L47" i="10" s="1"/>
  <c r="AD101" i="3"/>
  <c r="AD39" i="3"/>
  <c r="AD46" i="3" s="1"/>
  <c r="AD22" i="3"/>
  <c r="AD102" i="2"/>
  <c r="AD39" i="2"/>
  <c r="AD46" i="2" s="1"/>
  <c r="AD22" i="2"/>
  <c r="AP85" i="1"/>
  <c r="AP28" i="1"/>
  <c r="AP36" i="1" s="1"/>
  <c r="AP16" i="1"/>
  <c r="AP112" i="1"/>
  <c r="AD47" i="7" l="1"/>
  <c r="AP87" i="1"/>
  <c r="AD47" i="6"/>
  <c r="AD47" i="3"/>
  <c r="AD47" i="4"/>
  <c r="AD47" i="8"/>
  <c r="AD47" i="9"/>
  <c r="L47" i="11"/>
  <c r="AD47" i="2"/>
  <c r="AP38" i="1"/>
  <c r="M31" i="16" l="1"/>
  <c r="N31" i="16" s="1"/>
  <c r="K31" i="16"/>
  <c r="L31" i="16" s="1"/>
  <c r="I31" i="16"/>
  <c r="J31" i="16" s="1"/>
  <c r="G31" i="16"/>
  <c r="H31" i="16" s="1"/>
  <c r="E31" i="16"/>
  <c r="F31" i="16" s="1"/>
  <c r="C31" i="16"/>
  <c r="D31" i="16" s="1"/>
  <c r="G10829" i="13" l="1"/>
  <c r="G10830" i="13"/>
  <c r="G10831" i="13"/>
  <c r="G10832" i="13"/>
  <c r="G10833" i="13"/>
  <c r="G10834" i="13"/>
  <c r="G10835" i="13"/>
  <c r="G10815" i="13"/>
  <c r="G10816" i="13"/>
  <c r="G10817" i="13"/>
  <c r="G10818" i="13"/>
  <c r="G10819" i="13"/>
  <c r="G10820" i="13"/>
  <c r="G10821" i="13"/>
  <c r="G10822" i="13"/>
  <c r="G10823" i="13"/>
  <c r="G10824" i="13"/>
  <c r="G10825" i="13"/>
  <c r="G10826" i="13"/>
  <c r="G10827" i="13"/>
  <c r="G10828" i="13"/>
  <c r="G10808" i="13"/>
  <c r="G10809" i="13"/>
  <c r="G10810" i="13"/>
  <c r="G10811" i="13"/>
  <c r="G10812" i="13"/>
  <c r="G10813" i="13"/>
  <c r="G10814" i="13"/>
  <c r="G10801" i="13"/>
  <c r="G10802" i="13"/>
  <c r="G10803" i="13"/>
  <c r="G10804" i="13"/>
  <c r="G10805" i="13"/>
  <c r="G10806" i="13"/>
  <c r="G10807" i="13"/>
  <c r="G10794" i="13"/>
  <c r="G10795" i="13"/>
  <c r="G10796" i="13"/>
  <c r="G10797" i="13"/>
  <c r="G10798" i="13"/>
  <c r="G10799" i="13"/>
  <c r="G10800" i="13"/>
  <c r="E10639" i="13"/>
  <c r="E10467" i="13"/>
  <c r="E10468" i="13" s="1"/>
  <c r="E10469" i="13" l="1"/>
  <c r="E10618" i="13" l="1"/>
  <c r="E10619" i="13" s="1"/>
  <c r="E10620" i="13" s="1"/>
  <c r="E10621" i="13" s="1"/>
  <c r="E10622" i="13" s="1"/>
  <c r="E10623" i="13" s="1"/>
  <c r="E10624" i="13" s="1"/>
  <c r="E10625" i="13" s="1"/>
  <c r="E10626" i="13" s="1"/>
  <c r="E10627" i="13" s="1"/>
  <c r="E10628" i="13" s="1"/>
  <c r="E10629" i="13" s="1"/>
  <c r="E10630" i="13" s="1"/>
  <c r="E10631" i="13" s="1"/>
  <c r="E10632" i="13" s="1"/>
  <c r="E10633" i="13" s="1"/>
  <c r="E10634" i="13" s="1"/>
  <c r="E10635" i="13" s="1"/>
  <c r="E10636" i="13" s="1"/>
  <c r="E10637" i="13" s="1"/>
  <c r="E10613" i="13"/>
  <c r="E10614" i="13" s="1"/>
  <c r="E10615" i="13" s="1"/>
  <c r="E10616" i="13" s="1"/>
  <c r="E10471" i="13"/>
  <c r="E10472" i="13" s="1"/>
  <c r="E10473" i="13" s="1"/>
  <c r="E10474" i="13" s="1"/>
  <c r="E10475" i="13" s="1"/>
  <c r="E10476" i="13" s="1"/>
  <c r="E10477" i="13" s="1"/>
  <c r="E10478" i="13" s="1"/>
  <c r="E10479" i="13" s="1"/>
  <c r="E10480" i="13" s="1"/>
  <c r="E10481" i="13" s="1"/>
  <c r="E10482" i="13" s="1"/>
  <c r="E10483" i="13" s="1"/>
  <c r="E10484" i="13" s="1"/>
  <c r="E10485" i="13" s="1"/>
  <c r="E10486" i="13" s="1"/>
  <c r="E10487" i="13" s="1"/>
  <c r="E10488" i="13" s="1"/>
  <c r="E10489" i="13" s="1"/>
  <c r="E10490" i="13" s="1"/>
  <c r="E10491" i="13" s="1"/>
  <c r="E10492" i="13" s="1"/>
  <c r="E10493" i="13" s="1"/>
  <c r="E10494" i="13" s="1"/>
  <c r="E10495" i="13" s="1"/>
  <c r="E10496" i="13" s="1"/>
  <c r="E10497" i="13" s="1"/>
  <c r="E10498" i="13" s="1"/>
  <c r="E10499" i="13" s="1"/>
  <c r="E10500" i="13" s="1"/>
  <c r="E10501" i="13" s="1"/>
  <c r="E10502" i="13" s="1"/>
  <c r="E10503" i="13" s="1"/>
  <c r="E10504" i="13" s="1"/>
  <c r="E10505" i="13" s="1"/>
  <c r="E10506" i="13" s="1"/>
  <c r="E10507" i="13" s="1"/>
  <c r="E10508" i="13" s="1"/>
  <c r="E10509" i="13" s="1"/>
  <c r="E10510" i="13" s="1"/>
  <c r="E10511" i="13" s="1"/>
  <c r="E10512" i="13" s="1"/>
  <c r="E10513" i="13" s="1"/>
  <c r="E10514" i="13" s="1"/>
  <c r="E10515" i="13" s="1"/>
  <c r="E10516" i="13" s="1"/>
  <c r="E10517" i="13" s="1"/>
  <c r="E10518" i="13" s="1"/>
  <c r="E10519" i="13" s="1"/>
  <c r="E10520" i="13" s="1"/>
  <c r="E10521" i="13" s="1"/>
  <c r="E10522" i="13" s="1"/>
  <c r="E10523" i="13" s="1"/>
  <c r="E10524" i="13" s="1"/>
  <c r="E10525" i="13" s="1"/>
  <c r="E10526" i="13" s="1"/>
  <c r="E10527" i="13" s="1"/>
  <c r="E10528" i="13" s="1"/>
  <c r="E10529" i="13" s="1"/>
  <c r="E10530" i="13" s="1"/>
  <c r="E10531" i="13" s="1"/>
  <c r="E10532" i="13" s="1"/>
  <c r="E10533" i="13" s="1"/>
  <c r="E10534" i="13" s="1"/>
  <c r="E10535" i="13" s="1"/>
  <c r="E10536" i="13" s="1"/>
  <c r="E10537" i="13" s="1"/>
  <c r="E10538" i="13" s="1"/>
  <c r="E10539" i="13" s="1"/>
  <c r="E10540" i="13" s="1"/>
  <c r="E10541" i="13" s="1"/>
  <c r="E10542" i="13" s="1"/>
  <c r="E10543" i="13" s="1"/>
  <c r="E10544" i="13" s="1"/>
  <c r="E10545" i="13" s="1"/>
  <c r="E10546" i="13" s="1"/>
  <c r="E10547" i="13" s="1"/>
  <c r="E10548" i="13" s="1"/>
  <c r="E10549" i="13" s="1"/>
  <c r="E10550" i="13" s="1"/>
  <c r="E10551" i="13" s="1"/>
  <c r="E10552" i="13" s="1"/>
  <c r="E10553" i="13" s="1"/>
  <c r="E10554" i="13" s="1"/>
  <c r="E10555" i="13" s="1"/>
  <c r="E10556" i="13" s="1"/>
  <c r="E10557" i="13" s="1"/>
  <c r="E10558" i="13" s="1"/>
  <c r="E10559" i="13" s="1"/>
  <c r="E10560" i="13" s="1"/>
  <c r="E10561" i="13" s="1"/>
  <c r="E10562" i="13" s="1"/>
  <c r="E10563" i="13" s="1"/>
  <c r="E10564" i="13" s="1"/>
  <c r="E10565" i="13" s="1"/>
  <c r="E10566" i="13" s="1"/>
  <c r="E10567" i="13" s="1"/>
  <c r="E10568" i="13" s="1"/>
  <c r="E10569" i="13" s="1"/>
  <c r="E10570" i="13" s="1"/>
  <c r="E10571" i="13" s="1"/>
  <c r="E10572" i="13" s="1"/>
  <c r="E10573" i="13" s="1"/>
  <c r="E10574" i="13" s="1"/>
  <c r="E10575" i="13" s="1"/>
  <c r="E10576" i="13" s="1"/>
  <c r="E10577" i="13" s="1"/>
  <c r="E10578" i="13" s="1"/>
  <c r="E10579" i="13" s="1"/>
  <c r="E10580" i="13" s="1"/>
  <c r="E10581" i="13" s="1"/>
  <c r="E10582" i="13" s="1"/>
  <c r="E10583" i="13" s="1"/>
  <c r="E10584" i="13" s="1"/>
  <c r="E10585" i="13" s="1"/>
  <c r="E10586" i="13" s="1"/>
  <c r="E10587" i="13" s="1"/>
  <c r="E10588" i="13" s="1"/>
  <c r="E10589" i="13" s="1"/>
  <c r="E10590" i="13" s="1"/>
  <c r="E10591" i="13" s="1"/>
  <c r="E10592" i="13" s="1"/>
  <c r="E10593" i="13" s="1"/>
  <c r="E10594" i="13" s="1"/>
  <c r="E10595" i="13" s="1"/>
  <c r="E10596" i="13" s="1"/>
  <c r="E10597" i="13" s="1"/>
  <c r="E10598" i="13" s="1"/>
  <c r="E10599" i="13" s="1"/>
  <c r="E10600" i="13" s="1"/>
  <c r="E10601" i="13" s="1"/>
  <c r="E10602" i="13" s="1"/>
  <c r="E10603" i="13" s="1"/>
  <c r="E10604" i="13" s="1"/>
  <c r="E10605" i="13" s="1"/>
  <c r="E10606" i="13" s="1"/>
  <c r="E10607" i="13" s="1"/>
  <c r="E10608" i="13" s="1"/>
  <c r="E10609" i="13" s="1"/>
  <c r="E10610" i="13" s="1"/>
  <c r="E10611" i="13" s="1"/>
  <c r="E10453" i="13"/>
  <c r="E10454" i="13" s="1"/>
  <c r="E10455" i="13" s="1"/>
  <c r="E10456" i="13" s="1"/>
  <c r="E10457" i="13" s="1"/>
  <c r="E10458" i="13" s="1"/>
  <c r="E10459" i="13" s="1"/>
  <c r="E10460" i="13" s="1"/>
  <c r="E10461" i="13" s="1"/>
  <c r="E10462" i="13" s="1"/>
  <c r="E10463" i="13" s="1"/>
  <c r="E10464" i="13" s="1"/>
  <c r="E10465" i="13" s="1"/>
  <c r="E10447" i="13"/>
  <c r="E10448" i="13" s="1"/>
  <c r="E10433" i="13"/>
  <c r="E10434" i="13" s="1"/>
  <c r="E10435" i="13" s="1"/>
  <c r="E10436" i="13" s="1"/>
  <c r="E10437" i="13" s="1"/>
  <c r="E10438" i="13" s="1"/>
  <c r="E10439" i="13" s="1"/>
  <c r="E10440" i="13" s="1"/>
  <c r="E10441" i="13" s="1"/>
  <c r="E10426" i="13"/>
  <c r="E10427" i="13" s="1"/>
  <c r="E10419" i="13"/>
  <c r="E10420" i="13" s="1"/>
  <c r="E10640" i="13" l="1"/>
  <c r="E6152" i="13"/>
  <c r="E6153" i="13" s="1"/>
  <c r="E6154" i="13" s="1"/>
  <c r="E6155" i="13" s="1"/>
  <c r="E6156" i="13" s="1"/>
  <c r="E6157" i="13" s="1"/>
  <c r="E6158" i="13" s="1"/>
  <c r="E6159" i="13" s="1"/>
  <c r="E6160" i="13" s="1"/>
  <c r="E6161" i="13" s="1"/>
  <c r="E6162" i="13" s="1"/>
  <c r="E6163" i="13" s="1"/>
  <c r="E6164" i="13" s="1"/>
  <c r="E6165" i="13" s="1"/>
  <c r="E6166" i="13" s="1"/>
  <c r="E6167" i="13" s="1"/>
  <c r="E6168" i="13" s="1"/>
  <c r="E6169" i="13" s="1"/>
  <c r="E6170" i="13" s="1"/>
  <c r="E6171" i="13" s="1"/>
  <c r="E6172" i="13" s="1"/>
  <c r="E6173" i="13" s="1"/>
  <c r="E6174" i="13" s="1"/>
  <c r="E6175" i="13" s="1"/>
  <c r="E6176" i="13" s="1"/>
  <c r="E6177" i="13" s="1"/>
  <c r="E6178" i="13" s="1"/>
  <c r="E6179" i="13" s="1"/>
  <c r="E6180" i="13" s="1"/>
  <c r="E6181" i="13" s="1"/>
  <c r="E6182" i="13" s="1"/>
  <c r="E6183" i="13" s="1"/>
  <c r="E6184" i="13" s="1"/>
  <c r="E6185" i="13" s="1"/>
  <c r="E6186" i="13" s="1"/>
  <c r="E6187" i="13" s="1"/>
  <c r="E6188" i="13" s="1"/>
  <c r="E6189" i="13" s="1"/>
  <c r="E6190" i="13" s="1"/>
  <c r="E6191" i="13" s="1"/>
  <c r="E6192" i="13" s="1"/>
  <c r="E6193" i="13" s="1"/>
  <c r="E6194" i="13" s="1"/>
  <c r="E6195" i="13" s="1"/>
  <c r="E6196" i="13" s="1"/>
  <c r="E6197" i="13" s="1"/>
  <c r="E6198" i="13" s="1"/>
  <c r="E6199" i="13" s="1"/>
  <c r="E6200" i="13" s="1"/>
  <c r="E6201" i="13" s="1"/>
  <c r="E6202" i="13" s="1"/>
  <c r="E6203" i="13" s="1"/>
  <c r="E6204" i="13" s="1"/>
  <c r="E6205" i="13" s="1"/>
  <c r="E6206" i="13" s="1"/>
  <c r="E6207" i="13" s="1"/>
  <c r="E6208" i="13" s="1"/>
  <c r="E6209" i="13" s="1"/>
  <c r="E6210" i="13" s="1"/>
  <c r="E6211" i="13" s="1"/>
  <c r="E6212" i="13" s="1"/>
  <c r="E6213" i="13" s="1"/>
  <c r="E6214" i="13" s="1"/>
  <c r="E6215" i="13" s="1"/>
  <c r="E6216" i="13" s="1"/>
  <c r="E6217" i="13" s="1"/>
  <c r="E6218" i="13" s="1"/>
  <c r="E6219" i="13" s="1"/>
  <c r="E6220" i="13" s="1"/>
  <c r="E6221" i="13" s="1"/>
  <c r="E6222" i="13" s="1"/>
  <c r="E6223" i="13" s="1"/>
  <c r="E6224" i="13" s="1"/>
  <c r="E6225" i="13" s="1"/>
  <c r="E6226" i="13" s="1"/>
  <c r="E6227" i="13" s="1"/>
  <c r="E6228" i="13" s="1"/>
  <c r="E6229" i="13" s="1"/>
  <c r="E6230" i="13" s="1"/>
  <c r="E6231" i="13" s="1"/>
  <c r="E6232" i="13" s="1"/>
  <c r="E6233" i="13" s="1"/>
  <c r="E6234" i="13" s="1"/>
  <c r="E6235" i="13" s="1"/>
  <c r="E6236" i="13" s="1"/>
  <c r="E6237" i="13" s="1"/>
  <c r="E6238" i="13" s="1"/>
  <c r="E6239" i="13" s="1"/>
  <c r="E6240" i="13" s="1"/>
  <c r="E6241" i="13" s="1"/>
  <c r="E6242" i="13" s="1"/>
  <c r="E6243" i="13" s="1"/>
  <c r="E6244" i="13" s="1"/>
  <c r="E6245" i="13" s="1"/>
  <c r="E6246" i="13" s="1"/>
  <c r="E6247" i="13" s="1"/>
  <c r="E6248" i="13" s="1"/>
  <c r="E6249" i="13" s="1"/>
  <c r="E6250" i="13" s="1"/>
  <c r="E6251" i="13" s="1"/>
  <c r="E6252" i="13" s="1"/>
  <c r="E6253" i="13" s="1"/>
  <c r="E6254" i="13" s="1"/>
  <c r="E6255" i="13" s="1"/>
  <c r="E6256" i="13" s="1"/>
  <c r="E6257" i="13" s="1"/>
  <c r="E6258" i="13" s="1"/>
  <c r="E6259" i="13" s="1"/>
  <c r="E6260" i="13" s="1"/>
  <c r="E6261" i="13" s="1"/>
  <c r="E6262" i="13" s="1"/>
  <c r="E6263" i="13" s="1"/>
  <c r="E6264" i="13" s="1"/>
  <c r="E6265" i="13" s="1"/>
  <c r="E6266" i="13" s="1"/>
  <c r="E6267" i="13" s="1"/>
  <c r="E6268" i="13" s="1"/>
  <c r="E6269" i="13" s="1"/>
  <c r="E6270" i="13" s="1"/>
  <c r="E6271" i="13" s="1"/>
  <c r="E6272" i="13" s="1"/>
  <c r="E6273" i="13" s="1"/>
  <c r="E6274" i="13" s="1"/>
  <c r="E6275" i="13" s="1"/>
  <c r="E6276" i="13" s="1"/>
  <c r="E6277" i="13" s="1"/>
  <c r="E6278" i="13" s="1"/>
  <c r="E6279" i="13" s="1"/>
  <c r="E6280" i="13" s="1"/>
  <c r="E6281" i="13" s="1"/>
  <c r="E6282" i="13" s="1"/>
  <c r="E6283" i="13" s="1"/>
  <c r="E6284" i="13" s="1"/>
  <c r="E6285" i="13" s="1"/>
  <c r="E6286" i="13" s="1"/>
  <c r="E6287" i="13" s="1"/>
  <c r="E6288" i="13" s="1"/>
  <c r="E6289" i="13" s="1"/>
  <c r="E6290" i="13" s="1"/>
  <c r="E6291" i="13" s="1"/>
  <c r="E6292" i="13" s="1"/>
  <c r="E6293" i="13" s="1"/>
  <c r="E6294" i="13" s="1"/>
  <c r="E6295" i="13" s="1"/>
  <c r="E6296" i="13" s="1"/>
  <c r="E6297" i="13" s="1"/>
  <c r="E6298" i="13" s="1"/>
  <c r="E6299" i="13" s="1"/>
  <c r="E6300" i="13" s="1"/>
  <c r="E6301" i="13" s="1"/>
  <c r="E6302" i="13" s="1"/>
  <c r="E6303" i="13" s="1"/>
  <c r="E6304" i="13" s="1"/>
  <c r="E6305" i="13" s="1"/>
  <c r="E6306" i="13" s="1"/>
  <c r="E6307" i="13" s="1"/>
  <c r="E6308" i="13" s="1"/>
  <c r="E6309" i="13" s="1"/>
  <c r="E6310" i="13" s="1"/>
  <c r="E6311" i="13" s="1"/>
  <c r="E6312" i="13" s="1"/>
  <c r="E6313" i="13" s="1"/>
  <c r="E6314" i="13" s="1"/>
  <c r="E6315" i="13" s="1"/>
  <c r="E6316" i="13" s="1"/>
  <c r="E6317" i="13" s="1"/>
  <c r="E6318" i="13" s="1"/>
  <c r="E6319" i="13" s="1"/>
  <c r="E6320" i="13" s="1"/>
  <c r="E6321" i="13" s="1"/>
  <c r="E6322" i="13" s="1"/>
  <c r="E6323" i="13" s="1"/>
  <c r="E6324" i="13" s="1"/>
  <c r="E6325" i="13" s="1"/>
  <c r="E6326" i="13" s="1"/>
  <c r="E6327" i="13" s="1"/>
  <c r="E6328" i="13" s="1"/>
  <c r="E6329" i="13" s="1"/>
  <c r="E6330" i="13" s="1"/>
  <c r="E6331" i="13" s="1"/>
  <c r="E6332" i="13" s="1"/>
  <c r="E6333" i="13" s="1"/>
  <c r="E6334" i="13" s="1"/>
  <c r="E6335" i="13" s="1"/>
  <c r="E6336" i="13" s="1"/>
  <c r="E6337" i="13" s="1"/>
  <c r="E6338" i="13" s="1"/>
  <c r="E6339" i="13" s="1"/>
  <c r="E6340" i="13" s="1"/>
  <c r="E6341" i="13" s="1"/>
  <c r="E6342" i="13" s="1"/>
  <c r="E6343" i="13" s="1"/>
  <c r="E6344" i="13" s="1"/>
  <c r="E6345" i="13" s="1"/>
  <c r="E6346" i="13" s="1"/>
  <c r="E6347" i="13" s="1"/>
  <c r="E6348" i="13" s="1"/>
  <c r="E6349" i="13" s="1"/>
  <c r="E6350" i="13" s="1"/>
  <c r="E6351" i="13" s="1"/>
  <c r="E6352" i="13" s="1"/>
  <c r="E6353" i="13" s="1"/>
  <c r="E6354" i="13" s="1"/>
  <c r="E6355" i="13" s="1"/>
  <c r="E6356" i="13" s="1"/>
  <c r="E6357" i="13" s="1"/>
  <c r="E6358" i="13" s="1"/>
  <c r="E6359" i="13" s="1"/>
  <c r="E6360" i="13" s="1"/>
  <c r="E6361" i="13" s="1"/>
  <c r="E6362" i="13" s="1"/>
  <c r="E6363" i="13" s="1"/>
  <c r="E6364" i="13" s="1"/>
  <c r="E6365" i="13" s="1"/>
  <c r="E6366" i="13" s="1"/>
  <c r="E6367" i="13" s="1"/>
  <c r="E6368" i="13" s="1"/>
  <c r="E6369" i="13" s="1"/>
  <c r="E6370" i="13" s="1"/>
  <c r="E6371" i="13" s="1"/>
  <c r="E6372" i="13" s="1"/>
  <c r="E6373" i="13" s="1"/>
  <c r="E6374" i="13" s="1"/>
  <c r="E6375" i="13" s="1"/>
  <c r="E6376" i="13" s="1"/>
  <c r="E6377" i="13" s="1"/>
  <c r="E6378" i="13" s="1"/>
  <c r="E6379" i="13" s="1"/>
  <c r="E6380" i="13" s="1"/>
  <c r="E6381" i="13" s="1"/>
  <c r="E6382" i="13" s="1"/>
  <c r="E6383" i="13" s="1"/>
  <c r="E6384" i="13" s="1"/>
  <c r="E6385" i="13" s="1"/>
  <c r="E6386" i="13" s="1"/>
  <c r="E6387" i="13" s="1"/>
  <c r="E6388" i="13" s="1"/>
  <c r="E6389" i="13" s="1"/>
  <c r="E6390" i="13" s="1"/>
  <c r="E6391" i="13" s="1"/>
  <c r="E6392" i="13" s="1"/>
  <c r="E6393" i="13" s="1"/>
  <c r="E6394" i="13" s="1"/>
  <c r="E6395" i="13" s="1"/>
  <c r="E6396" i="13" s="1"/>
  <c r="E6397" i="13" s="1"/>
  <c r="E6398" i="13" s="1"/>
  <c r="E6399" i="13" s="1"/>
  <c r="E6400" i="13" s="1"/>
  <c r="E6401" i="13" s="1"/>
  <c r="E6402" i="13" s="1"/>
  <c r="E6403" i="13" s="1"/>
  <c r="E6404" i="13" s="1"/>
  <c r="E6405" i="13" s="1"/>
  <c r="E6406" i="13" s="1"/>
  <c r="E6407" i="13" s="1"/>
  <c r="E6408" i="13" s="1"/>
  <c r="E6409" i="13" s="1"/>
  <c r="E6410" i="13" s="1"/>
  <c r="E6411" i="13" s="1"/>
  <c r="E6412" i="13" s="1"/>
  <c r="E6413" i="13" s="1"/>
  <c r="E6414" i="13" s="1"/>
  <c r="E6415" i="13" s="1"/>
  <c r="E6416" i="13" s="1"/>
  <c r="E6417" i="13" s="1"/>
  <c r="E6418" i="13" s="1"/>
  <c r="E6419" i="13" s="1"/>
  <c r="E6420" i="13" s="1"/>
  <c r="E6421" i="13" s="1"/>
  <c r="E6422" i="13" s="1"/>
  <c r="E6423" i="13" s="1"/>
  <c r="E6424" i="13" s="1"/>
  <c r="E6425" i="13" s="1"/>
  <c r="E6426" i="13" s="1"/>
  <c r="E6427" i="13" s="1"/>
  <c r="E6428" i="13" s="1"/>
  <c r="E6429" i="13" s="1"/>
  <c r="E6430" i="13" s="1"/>
  <c r="E6431" i="13" s="1"/>
  <c r="E6432" i="13" s="1"/>
  <c r="E6433" i="13" s="1"/>
  <c r="E6434" i="13" s="1"/>
  <c r="E6435" i="13" s="1"/>
  <c r="E6436" i="13" s="1"/>
  <c r="E6437" i="13" s="1"/>
  <c r="E6438" i="13" s="1"/>
  <c r="E6439" i="13" s="1"/>
  <c r="E6440" i="13" s="1"/>
  <c r="E6441" i="13" s="1"/>
  <c r="E6442" i="13" s="1"/>
  <c r="E6443" i="13" s="1"/>
  <c r="E6444" i="13" s="1"/>
  <c r="E6445" i="13" s="1"/>
  <c r="E6446" i="13" s="1"/>
  <c r="E6447" i="13" s="1"/>
  <c r="E6448" i="13" s="1"/>
  <c r="E6449" i="13" s="1"/>
  <c r="E6450" i="13" s="1"/>
  <c r="E6451" i="13" s="1"/>
  <c r="E6452" i="13" s="1"/>
  <c r="E6453" i="13" s="1"/>
  <c r="E6454" i="13" s="1"/>
  <c r="E6455" i="13" s="1"/>
  <c r="E6456" i="13" s="1"/>
  <c r="E6457" i="13" s="1"/>
  <c r="E6458" i="13" s="1"/>
  <c r="E6459" i="13" s="1"/>
  <c r="E6460" i="13" s="1"/>
  <c r="E6461" i="13" s="1"/>
  <c r="E6462" i="13" s="1"/>
  <c r="E6463" i="13" s="1"/>
  <c r="E6464" i="13" s="1"/>
  <c r="E6465" i="13" s="1"/>
  <c r="E6466" i="13" s="1"/>
  <c r="E6467" i="13" s="1"/>
  <c r="E6468" i="13" s="1"/>
  <c r="E6469" i="13" s="1"/>
  <c r="E6470" i="13" s="1"/>
  <c r="E6471" i="13" s="1"/>
  <c r="E6472" i="13" s="1"/>
  <c r="E6473" i="13" s="1"/>
  <c r="E6474" i="13" s="1"/>
  <c r="E6475" i="13" s="1"/>
  <c r="E6476" i="13" s="1"/>
  <c r="E6477" i="13" s="1"/>
  <c r="E6478" i="13" s="1"/>
  <c r="E6479" i="13" s="1"/>
  <c r="E6480" i="13" s="1"/>
  <c r="E6481" i="13" s="1"/>
  <c r="E6482" i="13" s="1"/>
  <c r="E6483" i="13" s="1"/>
  <c r="E6484" i="13" s="1"/>
  <c r="E6485" i="13" s="1"/>
  <c r="E6486" i="13" s="1"/>
  <c r="E6487" i="13" s="1"/>
  <c r="E6488" i="13" s="1"/>
  <c r="E6489" i="13" s="1"/>
  <c r="E6490" i="13" s="1"/>
  <c r="E6491" i="13" s="1"/>
  <c r="E6492" i="13" s="1"/>
  <c r="E6493" i="13" s="1"/>
  <c r="E6494" i="13" s="1"/>
  <c r="E6495" i="13" s="1"/>
  <c r="E6496" i="13" s="1"/>
  <c r="E6497" i="13" s="1"/>
  <c r="E6498" i="13" s="1"/>
  <c r="E6499" i="13" s="1"/>
  <c r="E6500" i="13" s="1"/>
  <c r="E6501" i="13" s="1"/>
  <c r="E6502" i="13" s="1"/>
  <c r="E6503" i="13" s="1"/>
  <c r="E6504" i="13" s="1"/>
  <c r="E6505" i="13" s="1"/>
  <c r="E6506" i="13" s="1"/>
  <c r="E6507" i="13" s="1"/>
  <c r="E6508" i="13" s="1"/>
  <c r="E6509" i="13" s="1"/>
  <c r="E6510" i="13" s="1"/>
  <c r="E6511" i="13" s="1"/>
  <c r="E6512" i="13" s="1"/>
  <c r="E6513" i="13" s="1"/>
  <c r="E6514" i="13" s="1"/>
  <c r="E6515" i="13" s="1"/>
  <c r="E6516" i="13" s="1"/>
  <c r="E6517" i="13" s="1"/>
  <c r="E6518" i="13" s="1"/>
  <c r="E6519" i="13" s="1"/>
  <c r="E6520" i="13" s="1"/>
  <c r="E6521" i="13" s="1"/>
  <c r="E6522" i="13" s="1"/>
  <c r="E6523" i="13" s="1"/>
  <c r="E6524" i="13" s="1"/>
  <c r="E6525" i="13" s="1"/>
  <c r="E6526" i="13" s="1"/>
  <c r="E6527" i="13" s="1"/>
  <c r="E6528" i="13" s="1"/>
  <c r="E6529" i="13" s="1"/>
  <c r="E6530" i="13" s="1"/>
  <c r="E6531" i="13" s="1"/>
  <c r="E6532" i="13" s="1"/>
  <c r="E6533" i="13" s="1"/>
  <c r="E6534" i="13" s="1"/>
  <c r="E6535" i="13" s="1"/>
  <c r="E6536" i="13" s="1"/>
  <c r="E6537" i="13" s="1"/>
  <c r="E6538" i="13" s="1"/>
  <c r="E6539" i="13" s="1"/>
  <c r="E6540" i="13" s="1"/>
  <c r="E6541" i="13" s="1"/>
  <c r="E6542" i="13" s="1"/>
  <c r="E6543" i="13" s="1"/>
  <c r="E6544" i="13" s="1"/>
  <c r="E6545" i="13" s="1"/>
  <c r="E6546" i="13" s="1"/>
  <c r="E6547" i="13" s="1"/>
  <c r="E6548" i="13" s="1"/>
  <c r="E6549" i="13" s="1"/>
  <c r="E6550" i="13" s="1"/>
  <c r="E6551" i="13" s="1"/>
  <c r="E6552" i="13" s="1"/>
  <c r="E6553" i="13" s="1"/>
  <c r="E6554" i="13" s="1"/>
  <c r="E6555" i="13" s="1"/>
  <c r="E6556" i="13" s="1"/>
  <c r="E6557" i="13" s="1"/>
  <c r="E6558" i="13" s="1"/>
  <c r="E6559" i="13" s="1"/>
  <c r="E6560" i="13" s="1"/>
  <c r="E6561" i="13" s="1"/>
  <c r="E6562" i="13" s="1"/>
  <c r="E6563" i="13" s="1"/>
  <c r="E6564" i="13" s="1"/>
  <c r="E6565" i="13" s="1"/>
  <c r="E6566" i="13" s="1"/>
  <c r="E6567" i="13" s="1"/>
  <c r="E6568" i="13" s="1"/>
  <c r="E6569" i="13" s="1"/>
  <c r="E6570" i="13" s="1"/>
  <c r="E6571" i="13" s="1"/>
  <c r="E6572" i="13" s="1"/>
  <c r="E6573" i="13" s="1"/>
  <c r="E6574" i="13" s="1"/>
  <c r="E6575" i="13" s="1"/>
  <c r="E6576" i="13" s="1"/>
  <c r="E6577" i="13" s="1"/>
  <c r="E6578" i="13" s="1"/>
  <c r="E6579" i="13" s="1"/>
  <c r="E6580" i="13" s="1"/>
  <c r="E6581" i="13" s="1"/>
  <c r="E6582" i="13" s="1"/>
  <c r="E6583" i="13" s="1"/>
  <c r="E6584" i="13" s="1"/>
  <c r="E6585" i="13" s="1"/>
  <c r="E6586" i="13" s="1"/>
  <c r="E6587" i="13" s="1"/>
  <c r="E6588" i="13" s="1"/>
  <c r="E6589" i="13" s="1"/>
  <c r="E6590" i="13" s="1"/>
  <c r="E6591" i="13" s="1"/>
  <c r="E6592" i="13" s="1"/>
  <c r="E6593" i="13" s="1"/>
  <c r="E6594" i="13" s="1"/>
  <c r="E6595" i="13" s="1"/>
  <c r="E6596" i="13" s="1"/>
  <c r="E6597" i="13" s="1"/>
  <c r="E6598" i="13" s="1"/>
  <c r="E6599" i="13" s="1"/>
  <c r="E6600" i="13" s="1"/>
  <c r="E6601" i="13" s="1"/>
  <c r="E6602" i="13" s="1"/>
  <c r="E6603" i="13" s="1"/>
  <c r="E6604" i="13" s="1"/>
  <c r="E6605" i="13" s="1"/>
  <c r="E6606" i="13" s="1"/>
  <c r="E6607" i="13" s="1"/>
  <c r="E6608" i="13" s="1"/>
  <c r="E6609" i="13" s="1"/>
  <c r="E6610" i="13" s="1"/>
  <c r="E6611" i="13" s="1"/>
  <c r="E6612" i="13" s="1"/>
  <c r="E6613" i="13" s="1"/>
  <c r="E6614" i="13" s="1"/>
  <c r="E6615" i="13" s="1"/>
  <c r="E6616" i="13" s="1"/>
  <c r="E6617" i="13" s="1"/>
  <c r="E6618" i="13" s="1"/>
  <c r="E6619" i="13" s="1"/>
  <c r="E6620" i="13" s="1"/>
  <c r="E6621" i="13" s="1"/>
  <c r="E6622" i="13" s="1"/>
  <c r="E6623" i="13" s="1"/>
  <c r="E6624" i="13" s="1"/>
  <c r="E6625" i="13" s="1"/>
  <c r="E6626" i="13" s="1"/>
  <c r="E6627" i="13" s="1"/>
  <c r="E6628" i="13" s="1"/>
  <c r="E6629" i="13" s="1"/>
  <c r="E6630" i="13" s="1"/>
  <c r="E6631" i="13" s="1"/>
  <c r="E6632" i="13" s="1"/>
  <c r="E6633" i="13" s="1"/>
  <c r="E6634" i="13" s="1"/>
  <c r="E6635" i="13" s="1"/>
  <c r="E6636" i="13" s="1"/>
  <c r="E6637" i="13" s="1"/>
  <c r="E6638" i="13" s="1"/>
  <c r="E6639" i="13" s="1"/>
  <c r="E6640" i="13" s="1"/>
  <c r="E6641" i="13" s="1"/>
  <c r="E6642" i="13" s="1"/>
  <c r="E6643" i="13" s="1"/>
  <c r="E6644" i="13" s="1"/>
  <c r="E6645" i="13" s="1"/>
  <c r="E6646" i="13" s="1"/>
  <c r="E6647" i="13" s="1"/>
  <c r="E6648" i="13" s="1"/>
  <c r="E6649" i="13" s="1"/>
  <c r="E6650" i="13" s="1"/>
  <c r="E6651" i="13" s="1"/>
  <c r="E6652" i="13" s="1"/>
  <c r="E6653" i="13" s="1"/>
  <c r="E6654" i="13" s="1"/>
  <c r="E6655" i="13" s="1"/>
  <c r="E6656" i="13" s="1"/>
  <c r="E6657" i="13" s="1"/>
  <c r="E6658" i="13" s="1"/>
  <c r="E6659" i="13" s="1"/>
  <c r="E6660" i="13" s="1"/>
  <c r="E6661" i="13" s="1"/>
  <c r="E6662" i="13" s="1"/>
  <c r="E6663" i="13" s="1"/>
  <c r="E6664" i="13" s="1"/>
  <c r="E6665" i="13" s="1"/>
  <c r="E6666" i="13" s="1"/>
  <c r="E6667" i="13" s="1"/>
  <c r="E6668" i="13" s="1"/>
  <c r="E6669" i="13" s="1"/>
  <c r="E6670" i="13" s="1"/>
  <c r="E6671" i="13" s="1"/>
  <c r="E6672" i="13" s="1"/>
  <c r="E6673" i="13" s="1"/>
  <c r="E6674" i="13" s="1"/>
  <c r="E6675" i="13" s="1"/>
  <c r="E6676" i="13" s="1"/>
  <c r="E6677" i="13" s="1"/>
  <c r="E6678" i="13" s="1"/>
  <c r="E6679" i="13" s="1"/>
  <c r="E6680" i="13" s="1"/>
  <c r="E6681" i="13" s="1"/>
  <c r="E6682" i="13" s="1"/>
  <c r="E6683" i="13" s="1"/>
  <c r="E6684" i="13" s="1"/>
  <c r="E6685" i="13" s="1"/>
  <c r="E6686" i="13" s="1"/>
  <c r="E6687" i="13" s="1"/>
  <c r="E6688" i="13" s="1"/>
  <c r="E6689" i="13" s="1"/>
  <c r="E6690" i="13" s="1"/>
  <c r="E6691" i="13" s="1"/>
  <c r="E6692" i="13" s="1"/>
  <c r="E6693" i="13" s="1"/>
  <c r="E6694" i="13" s="1"/>
  <c r="E6695" i="13" s="1"/>
  <c r="E6696" i="13" s="1"/>
  <c r="E6697" i="13" s="1"/>
  <c r="E6698" i="13" s="1"/>
  <c r="E6699" i="13" s="1"/>
  <c r="E6700" i="13" s="1"/>
  <c r="E6701" i="13" s="1"/>
  <c r="E6702" i="13" s="1"/>
  <c r="E6703" i="13" s="1"/>
  <c r="E6704" i="13" s="1"/>
  <c r="E6705" i="13" s="1"/>
  <c r="E6706" i="13" s="1"/>
  <c r="E6707" i="13" s="1"/>
  <c r="E6708" i="13" s="1"/>
  <c r="E6709" i="13" s="1"/>
  <c r="E6710" i="13" s="1"/>
  <c r="E6711" i="13" s="1"/>
  <c r="E6712" i="13" s="1"/>
  <c r="E6713" i="13" s="1"/>
  <c r="E6714" i="13" s="1"/>
  <c r="E6715" i="13" s="1"/>
  <c r="E6716" i="13" s="1"/>
  <c r="E6717" i="13" s="1"/>
  <c r="E6718" i="13" s="1"/>
  <c r="E6719" i="13" s="1"/>
  <c r="E6720" i="13" s="1"/>
  <c r="E6721" i="13" s="1"/>
  <c r="E6722" i="13" s="1"/>
  <c r="E6723" i="13" s="1"/>
  <c r="E6724" i="13" s="1"/>
  <c r="E6725" i="13" s="1"/>
  <c r="E6726" i="13" s="1"/>
  <c r="E6727" i="13" s="1"/>
  <c r="E6728" i="13" s="1"/>
  <c r="E6729" i="13" s="1"/>
  <c r="E6730" i="13" s="1"/>
  <c r="E6731" i="13" s="1"/>
  <c r="E6732" i="13" s="1"/>
  <c r="E6733" i="13" s="1"/>
  <c r="E6734" i="13" s="1"/>
  <c r="E6735" i="13" s="1"/>
  <c r="E6736" i="13" s="1"/>
  <c r="E6737" i="13" s="1"/>
  <c r="E6738" i="13" s="1"/>
  <c r="E6739" i="13" s="1"/>
  <c r="E6740" i="13" s="1"/>
  <c r="E6741" i="13" s="1"/>
  <c r="E6742" i="13" s="1"/>
  <c r="E6743" i="13" s="1"/>
  <c r="E6744" i="13" s="1"/>
  <c r="E6745" i="13" s="1"/>
  <c r="E6746" i="13" s="1"/>
  <c r="E6747" i="13" s="1"/>
  <c r="E6748" i="13" s="1"/>
  <c r="E6749" i="13" s="1"/>
  <c r="E6750" i="13" s="1"/>
  <c r="E6751" i="13" s="1"/>
  <c r="E6752" i="13" s="1"/>
  <c r="E6753" i="13" s="1"/>
  <c r="E6754" i="13" s="1"/>
  <c r="E6755" i="13" s="1"/>
  <c r="E6756" i="13" s="1"/>
  <c r="E6757" i="13" s="1"/>
  <c r="E6758" i="13" s="1"/>
  <c r="E6759" i="13" s="1"/>
  <c r="E6760" i="13" s="1"/>
  <c r="E6761" i="13" s="1"/>
  <c r="E6762" i="13" s="1"/>
  <c r="E6763" i="13" s="1"/>
  <c r="E6764" i="13" s="1"/>
  <c r="E6765" i="13" s="1"/>
  <c r="E6766" i="13" s="1"/>
  <c r="E6767" i="13" s="1"/>
  <c r="E6768" i="13" s="1"/>
  <c r="E6769" i="13" s="1"/>
  <c r="E6770" i="13" s="1"/>
  <c r="E6771" i="13" s="1"/>
  <c r="E6772" i="13" s="1"/>
  <c r="E6773" i="13" s="1"/>
  <c r="E6774" i="13" s="1"/>
  <c r="E6775" i="13" s="1"/>
  <c r="E6776" i="13" s="1"/>
  <c r="E6777" i="13" s="1"/>
  <c r="E6778" i="13" s="1"/>
  <c r="E6779" i="13" s="1"/>
  <c r="E6780" i="13" s="1"/>
  <c r="E6781" i="13" s="1"/>
  <c r="E6782" i="13" s="1"/>
  <c r="E6783" i="13" s="1"/>
  <c r="E6784" i="13" s="1"/>
  <c r="E6785" i="13" s="1"/>
  <c r="E6786" i="13" s="1"/>
  <c r="E6787" i="13" s="1"/>
  <c r="E6788" i="13" s="1"/>
  <c r="E6789" i="13" s="1"/>
  <c r="E6790" i="13" s="1"/>
  <c r="E6791" i="13" s="1"/>
  <c r="E6792" i="13" s="1"/>
  <c r="E6793" i="13" s="1"/>
  <c r="E6794" i="13" s="1"/>
  <c r="E6795" i="13" s="1"/>
  <c r="E6796" i="13" s="1"/>
  <c r="E6797" i="13" s="1"/>
  <c r="E6798" i="13" s="1"/>
  <c r="E6799" i="13" s="1"/>
  <c r="E6800" i="13" s="1"/>
  <c r="E6801" i="13" s="1"/>
  <c r="E6802" i="13" s="1"/>
  <c r="E6803" i="13" s="1"/>
  <c r="E6804" i="13" s="1"/>
  <c r="E6805" i="13" s="1"/>
  <c r="E6806" i="13" s="1"/>
  <c r="E6807" i="13" s="1"/>
  <c r="E6808" i="13" s="1"/>
  <c r="E6809" i="13" s="1"/>
  <c r="E6810" i="13" s="1"/>
  <c r="E6811" i="13" s="1"/>
  <c r="E6812" i="13" s="1"/>
  <c r="E6813" i="13" s="1"/>
  <c r="E6814" i="13" s="1"/>
  <c r="E6815" i="13" s="1"/>
  <c r="E6816" i="13" s="1"/>
  <c r="E6817" i="13" s="1"/>
  <c r="E6818" i="13" s="1"/>
  <c r="E6819" i="13" s="1"/>
  <c r="E6820" i="13" s="1"/>
  <c r="E6821" i="13" s="1"/>
  <c r="E6822" i="13" s="1"/>
  <c r="E6823" i="13" s="1"/>
  <c r="E6824" i="13" s="1"/>
  <c r="E6825" i="13" s="1"/>
  <c r="E6826" i="13" s="1"/>
  <c r="E6827" i="13" s="1"/>
  <c r="E6828" i="13" s="1"/>
  <c r="E6829" i="13" s="1"/>
  <c r="E6830" i="13" s="1"/>
  <c r="E6831" i="13" s="1"/>
  <c r="E6832" i="13" s="1"/>
  <c r="E6833" i="13" s="1"/>
  <c r="E6834" i="13" s="1"/>
  <c r="E6835" i="13" s="1"/>
  <c r="E6836" i="13" s="1"/>
  <c r="E6837" i="13" s="1"/>
  <c r="E6838" i="13" s="1"/>
  <c r="E6839" i="13" s="1"/>
  <c r="E6840" i="13" s="1"/>
  <c r="E6841" i="13" s="1"/>
  <c r="E6842" i="13" s="1"/>
  <c r="E6843" i="13" s="1"/>
  <c r="E6844" i="13" s="1"/>
  <c r="E6845" i="13" s="1"/>
  <c r="E6846" i="13" s="1"/>
  <c r="E6847" i="13" s="1"/>
  <c r="E6848" i="13" s="1"/>
  <c r="E6849" i="13" s="1"/>
  <c r="E6850" i="13" s="1"/>
  <c r="E6851" i="13" s="1"/>
  <c r="E6852" i="13" s="1"/>
  <c r="E6853" i="13" s="1"/>
  <c r="E6854" i="13" s="1"/>
  <c r="E6855" i="13" s="1"/>
  <c r="E6856" i="13" s="1"/>
  <c r="E6857" i="13" s="1"/>
  <c r="E6858" i="13" s="1"/>
  <c r="E6859" i="13" s="1"/>
  <c r="E6860" i="13" s="1"/>
  <c r="E6861" i="13" s="1"/>
  <c r="E6862" i="13" s="1"/>
  <c r="E6863" i="13" s="1"/>
  <c r="E6864" i="13" s="1"/>
  <c r="E6865" i="13" s="1"/>
  <c r="E6866" i="13" s="1"/>
  <c r="E6867" i="13" s="1"/>
  <c r="E6868" i="13" s="1"/>
  <c r="E6869" i="13" s="1"/>
  <c r="E6870" i="13" s="1"/>
  <c r="E6871" i="13" s="1"/>
  <c r="E6872" i="13" s="1"/>
  <c r="E6873" i="13" s="1"/>
  <c r="E6874" i="13" s="1"/>
  <c r="E6875" i="13" s="1"/>
  <c r="E6876" i="13" s="1"/>
  <c r="E6877" i="13" s="1"/>
  <c r="E6878" i="13" s="1"/>
  <c r="E6879" i="13" s="1"/>
  <c r="E6880" i="13" s="1"/>
  <c r="E6881" i="13" s="1"/>
  <c r="E6882" i="13" s="1"/>
  <c r="E6883" i="13" s="1"/>
  <c r="E6884" i="13" s="1"/>
  <c r="E6885" i="13" s="1"/>
  <c r="E6886" i="13" s="1"/>
  <c r="E6887" i="13" s="1"/>
  <c r="E6888" i="13" s="1"/>
  <c r="E6889" i="13" s="1"/>
  <c r="E6890" i="13" s="1"/>
  <c r="E6891" i="13" s="1"/>
  <c r="E6892" i="13" s="1"/>
  <c r="E6893" i="13" s="1"/>
  <c r="E6894" i="13" s="1"/>
  <c r="E6895" i="13" s="1"/>
  <c r="E6896" i="13" s="1"/>
  <c r="E6897" i="13" s="1"/>
  <c r="E6898" i="13" s="1"/>
  <c r="E6899" i="13" s="1"/>
  <c r="E6900" i="13" s="1"/>
  <c r="E6901" i="13" s="1"/>
  <c r="E6902" i="13" s="1"/>
  <c r="E6903" i="13" s="1"/>
  <c r="E6904" i="13" s="1"/>
  <c r="E6905" i="13" s="1"/>
  <c r="E6906" i="13" s="1"/>
  <c r="E6907" i="13" s="1"/>
  <c r="E6908" i="13" s="1"/>
  <c r="E6909" i="13" s="1"/>
  <c r="E6910" i="13" s="1"/>
  <c r="E6911" i="13" s="1"/>
  <c r="E6912" i="13" s="1"/>
  <c r="E6913" i="13" s="1"/>
  <c r="E6914" i="13" s="1"/>
  <c r="E6915" i="13" s="1"/>
  <c r="E6916" i="13" s="1"/>
  <c r="E6917" i="13" s="1"/>
  <c r="E6918" i="13" s="1"/>
  <c r="E6919" i="13" s="1"/>
  <c r="E6920" i="13" s="1"/>
  <c r="E6921" i="13" s="1"/>
  <c r="E6922" i="13" s="1"/>
  <c r="E6923" i="13" s="1"/>
  <c r="E6924" i="13" s="1"/>
  <c r="E6925" i="13" s="1"/>
  <c r="E6926" i="13" s="1"/>
  <c r="E6927" i="13" s="1"/>
  <c r="E6928" i="13" s="1"/>
  <c r="E6929" i="13" s="1"/>
  <c r="E6930" i="13" s="1"/>
  <c r="E6931" i="13" s="1"/>
  <c r="E6932" i="13" s="1"/>
  <c r="E6933" i="13" s="1"/>
  <c r="E6934" i="13" s="1"/>
  <c r="E6935" i="13" s="1"/>
  <c r="E6936" i="13" s="1"/>
  <c r="E6937" i="13" s="1"/>
  <c r="E6938" i="13" s="1"/>
  <c r="E6939" i="13" s="1"/>
  <c r="E6940" i="13" s="1"/>
  <c r="E6941" i="13" s="1"/>
  <c r="E6942" i="13" s="1"/>
  <c r="E6943" i="13" s="1"/>
  <c r="E6944" i="13" s="1"/>
  <c r="E6945" i="13" s="1"/>
  <c r="E6946" i="13" s="1"/>
  <c r="E6947" i="13" s="1"/>
  <c r="E6948" i="13" s="1"/>
  <c r="E6949" i="13" s="1"/>
  <c r="E6950" i="13" s="1"/>
  <c r="E6951" i="13" s="1"/>
  <c r="E6952" i="13" s="1"/>
  <c r="E6953" i="13" s="1"/>
  <c r="E6954" i="13" s="1"/>
  <c r="E6955" i="13" s="1"/>
  <c r="E6956" i="13" s="1"/>
  <c r="E6957" i="13" s="1"/>
  <c r="E6958" i="13" s="1"/>
  <c r="E6959" i="13" s="1"/>
  <c r="E6960" i="13" s="1"/>
  <c r="E6961" i="13" s="1"/>
  <c r="E6962" i="13" s="1"/>
  <c r="E6963" i="13" s="1"/>
  <c r="E6964" i="13" s="1"/>
  <c r="E6965" i="13" s="1"/>
  <c r="E6966" i="13" s="1"/>
  <c r="E6967" i="13" s="1"/>
  <c r="E6968" i="13" s="1"/>
  <c r="E6969" i="13" s="1"/>
  <c r="E6970" i="13" s="1"/>
  <c r="E6971" i="13" s="1"/>
  <c r="E6972" i="13" s="1"/>
  <c r="E6973" i="13" s="1"/>
  <c r="E6974" i="13" s="1"/>
  <c r="E6975" i="13" s="1"/>
  <c r="E6976" i="13" s="1"/>
  <c r="E6977" i="13" s="1"/>
  <c r="E6978" i="13" s="1"/>
  <c r="E6979" i="13" s="1"/>
  <c r="E6980" i="13" s="1"/>
  <c r="E6981" i="13" s="1"/>
  <c r="E6982" i="13" s="1"/>
  <c r="E6983" i="13" s="1"/>
  <c r="E6984" i="13" s="1"/>
  <c r="E6985" i="13" s="1"/>
  <c r="E6986" i="13" s="1"/>
  <c r="E6987" i="13" s="1"/>
  <c r="E6988" i="13" s="1"/>
  <c r="E6989" i="13" s="1"/>
  <c r="E6990" i="13" s="1"/>
  <c r="E6991" i="13" s="1"/>
  <c r="E6992" i="13" s="1"/>
  <c r="E6993" i="13" s="1"/>
  <c r="E6994" i="13" s="1"/>
  <c r="E6995" i="13" s="1"/>
  <c r="E6996" i="13" s="1"/>
  <c r="E6997" i="13" s="1"/>
  <c r="E6998" i="13" s="1"/>
  <c r="E6999" i="13" s="1"/>
  <c r="E7000" i="13" s="1"/>
  <c r="E7001" i="13" s="1"/>
  <c r="E7002" i="13" s="1"/>
  <c r="E7003" i="13" s="1"/>
  <c r="E7004" i="13" s="1"/>
  <c r="E7005" i="13" s="1"/>
  <c r="E7006" i="13" s="1"/>
  <c r="E7007" i="13" s="1"/>
  <c r="E7008" i="13" s="1"/>
  <c r="E7009" i="13" s="1"/>
  <c r="E7010" i="13" s="1"/>
  <c r="E7011" i="13" s="1"/>
  <c r="E7012" i="13" s="1"/>
  <c r="E7013" i="13" s="1"/>
  <c r="E7014" i="13" s="1"/>
  <c r="E7015" i="13" s="1"/>
  <c r="E7016" i="13" s="1"/>
  <c r="E7017" i="13" s="1"/>
  <c r="E7018" i="13" s="1"/>
  <c r="E7019" i="13" s="1"/>
  <c r="E7020" i="13" s="1"/>
  <c r="E7021" i="13" s="1"/>
  <c r="E7022" i="13" s="1"/>
  <c r="E7023" i="13" s="1"/>
  <c r="E7024" i="13" s="1"/>
  <c r="E7025" i="13" s="1"/>
  <c r="E7026" i="13" s="1"/>
  <c r="E7027" i="13" s="1"/>
  <c r="E7028" i="13" s="1"/>
  <c r="E7029" i="13" s="1"/>
  <c r="E7030" i="13" s="1"/>
  <c r="E7031" i="13" s="1"/>
  <c r="E7032" i="13" s="1"/>
  <c r="E7033" i="13" s="1"/>
  <c r="E7034" i="13" s="1"/>
  <c r="E7035" i="13" s="1"/>
  <c r="E7036" i="13" s="1"/>
  <c r="E7037" i="13" s="1"/>
  <c r="E7038" i="13" s="1"/>
  <c r="E7039" i="13" s="1"/>
  <c r="E7040" i="13" s="1"/>
  <c r="E7041" i="13" s="1"/>
  <c r="E7042" i="13" s="1"/>
  <c r="E7043" i="13" s="1"/>
  <c r="E7044" i="13" s="1"/>
  <c r="E7045" i="13" s="1"/>
  <c r="E7046" i="13" s="1"/>
  <c r="E7047" i="13" s="1"/>
  <c r="E7048" i="13" s="1"/>
  <c r="E7049" i="13" s="1"/>
  <c r="E7050" i="13" s="1"/>
  <c r="E7051" i="13" s="1"/>
  <c r="E7052" i="13" s="1"/>
  <c r="E7053" i="13" s="1"/>
  <c r="E7054" i="13" s="1"/>
  <c r="E7055" i="13" s="1"/>
  <c r="E7056" i="13" s="1"/>
  <c r="E7057" i="13" s="1"/>
  <c r="E7058" i="13" s="1"/>
  <c r="E7059" i="13" s="1"/>
  <c r="E7060" i="13" s="1"/>
  <c r="E7061" i="13" s="1"/>
  <c r="E7062" i="13" s="1"/>
  <c r="E7063" i="13" s="1"/>
  <c r="E7064" i="13" s="1"/>
  <c r="E7065" i="13" s="1"/>
  <c r="E7066" i="13" s="1"/>
  <c r="E7067" i="13" s="1"/>
  <c r="E7068" i="13" s="1"/>
  <c r="E7069" i="13" s="1"/>
  <c r="E7070" i="13" s="1"/>
  <c r="E7071" i="13" s="1"/>
  <c r="E7072" i="13" s="1"/>
  <c r="E7073" i="13" s="1"/>
  <c r="E7074" i="13" s="1"/>
  <c r="E7075" i="13" s="1"/>
  <c r="E7076" i="13" s="1"/>
  <c r="E7077" i="13" s="1"/>
  <c r="E7078" i="13" s="1"/>
  <c r="E7079" i="13" s="1"/>
  <c r="E7080" i="13" s="1"/>
  <c r="E7081" i="13" s="1"/>
  <c r="E7082" i="13" s="1"/>
  <c r="E7083" i="13" s="1"/>
  <c r="E7084" i="13" s="1"/>
  <c r="E7085" i="13" s="1"/>
  <c r="E7086" i="13" s="1"/>
  <c r="E7087" i="13" s="1"/>
  <c r="E7088" i="13" s="1"/>
  <c r="E7089" i="13" s="1"/>
  <c r="E7090" i="13" s="1"/>
  <c r="E7091" i="13" s="1"/>
  <c r="E7092" i="13" s="1"/>
  <c r="E7093" i="13" s="1"/>
  <c r="E7094" i="13" s="1"/>
  <c r="E7095" i="13" s="1"/>
  <c r="E7096" i="13" s="1"/>
  <c r="E7097" i="13" s="1"/>
  <c r="E7098" i="13" s="1"/>
  <c r="E7099" i="13" s="1"/>
  <c r="E7100" i="13" s="1"/>
  <c r="E7101" i="13" s="1"/>
  <c r="E7102" i="13" s="1"/>
  <c r="E7103" i="13" s="1"/>
  <c r="E7104" i="13" s="1"/>
  <c r="E7105" i="13" s="1"/>
  <c r="E7106" i="13" s="1"/>
  <c r="E7107" i="13" s="1"/>
  <c r="E7108" i="13" s="1"/>
  <c r="E7109" i="13" s="1"/>
  <c r="E7110" i="13" s="1"/>
  <c r="E7111" i="13" s="1"/>
  <c r="E7112" i="13" s="1"/>
  <c r="E7113" i="13" s="1"/>
  <c r="E7114" i="13" s="1"/>
  <c r="E7115" i="13" s="1"/>
  <c r="E7116" i="13" s="1"/>
  <c r="E7117" i="13" s="1"/>
  <c r="E7118" i="13" s="1"/>
  <c r="E7119" i="13" s="1"/>
  <c r="E7120" i="13" s="1"/>
  <c r="E7121" i="13" s="1"/>
  <c r="E7122" i="13" s="1"/>
  <c r="E7123" i="13" s="1"/>
  <c r="E7124" i="13" s="1"/>
  <c r="E7125" i="13" s="1"/>
  <c r="E7126" i="13" s="1"/>
  <c r="E7127" i="13" s="1"/>
  <c r="E7128" i="13" s="1"/>
  <c r="E7129" i="13" s="1"/>
  <c r="E7130" i="13" s="1"/>
  <c r="E7131" i="13" s="1"/>
  <c r="E7132" i="13" s="1"/>
  <c r="E7133" i="13" s="1"/>
  <c r="E7134" i="13" s="1"/>
  <c r="E7135" i="13" s="1"/>
  <c r="E7136" i="13" s="1"/>
  <c r="E7137" i="13" s="1"/>
  <c r="E7138" i="13" s="1"/>
  <c r="E7139" i="13" s="1"/>
  <c r="E7140" i="13" s="1"/>
  <c r="E7141" i="13" s="1"/>
  <c r="E7142" i="13" s="1"/>
  <c r="E7143" i="13" s="1"/>
  <c r="E7144" i="13" s="1"/>
  <c r="E7145" i="13" s="1"/>
  <c r="E7146" i="13" s="1"/>
  <c r="E7147" i="13" s="1"/>
  <c r="E7148" i="13" s="1"/>
  <c r="E7149" i="13" s="1"/>
  <c r="E7150" i="13" s="1"/>
  <c r="E7151" i="13" s="1"/>
  <c r="E7152" i="13" s="1"/>
  <c r="E7153" i="13" s="1"/>
  <c r="E7154" i="13" s="1"/>
  <c r="E7155" i="13" s="1"/>
  <c r="E7156" i="13" s="1"/>
  <c r="E7157" i="13" s="1"/>
  <c r="E7158" i="13" s="1"/>
  <c r="E7159" i="13" s="1"/>
  <c r="E7160" i="13" s="1"/>
  <c r="E7161" i="13" s="1"/>
  <c r="E7162" i="13" s="1"/>
  <c r="E7163" i="13" s="1"/>
  <c r="E7164" i="13" s="1"/>
  <c r="E7165" i="13" s="1"/>
  <c r="E7166" i="13" s="1"/>
  <c r="E7167" i="13" s="1"/>
  <c r="E7168" i="13" s="1"/>
  <c r="E7169" i="13" s="1"/>
  <c r="E7170" i="13" s="1"/>
  <c r="E7171" i="13" s="1"/>
  <c r="E7172" i="13" s="1"/>
  <c r="E7173" i="13" s="1"/>
  <c r="E7174" i="13" s="1"/>
  <c r="E7175" i="13" s="1"/>
  <c r="E7176" i="13" s="1"/>
  <c r="E7177" i="13" s="1"/>
  <c r="E7178" i="13" s="1"/>
  <c r="E7179" i="13" s="1"/>
  <c r="E7180" i="13" s="1"/>
  <c r="E7181" i="13" s="1"/>
  <c r="E7182" i="13" s="1"/>
  <c r="E7183" i="13" s="1"/>
  <c r="E7184" i="13" s="1"/>
  <c r="E7185" i="13" s="1"/>
  <c r="E7186" i="13" s="1"/>
  <c r="E7187" i="13" s="1"/>
  <c r="E7188" i="13" s="1"/>
  <c r="E7189" i="13" s="1"/>
  <c r="E7190" i="13" s="1"/>
  <c r="E7191" i="13" s="1"/>
  <c r="E7192" i="13" s="1"/>
  <c r="E7193" i="13" s="1"/>
  <c r="E7194" i="13" s="1"/>
  <c r="E7195" i="13" s="1"/>
  <c r="E7196" i="13" s="1"/>
  <c r="E7197" i="13" s="1"/>
  <c r="E7198" i="13" s="1"/>
  <c r="E7199" i="13" s="1"/>
  <c r="E7200" i="13" s="1"/>
  <c r="E7201" i="13" s="1"/>
  <c r="E7202" i="13" s="1"/>
  <c r="E7203" i="13" s="1"/>
  <c r="E7204" i="13" s="1"/>
  <c r="E7205" i="13" s="1"/>
  <c r="E7206" i="13" s="1"/>
  <c r="E7207" i="13" s="1"/>
  <c r="E7208" i="13" s="1"/>
  <c r="E7209" i="13" s="1"/>
  <c r="E7210" i="13" s="1"/>
  <c r="E7211" i="13" s="1"/>
  <c r="E7212" i="13" s="1"/>
  <c r="E7213" i="13" s="1"/>
  <c r="E7214" i="13" s="1"/>
  <c r="E7215" i="13" s="1"/>
  <c r="E7216" i="13" s="1"/>
  <c r="E7217" i="13" s="1"/>
  <c r="E7218" i="13" s="1"/>
  <c r="E7219" i="13" s="1"/>
  <c r="E7220" i="13" s="1"/>
  <c r="E7221" i="13" s="1"/>
  <c r="E7222" i="13" s="1"/>
  <c r="E7223" i="13" s="1"/>
  <c r="E7224" i="13" s="1"/>
  <c r="E7225" i="13" s="1"/>
  <c r="E7226" i="13" s="1"/>
  <c r="E7227" i="13" s="1"/>
  <c r="E7228" i="13" s="1"/>
  <c r="E7229" i="13" s="1"/>
  <c r="E7230" i="13" s="1"/>
  <c r="E7231" i="13" s="1"/>
  <c r="E7232" i="13" s="1"/>
  <c r="E7233" i="13" s="1"/>
  <c r="E7234" i="13" s="1"/>
  <c r="E7235" i="13" s="1"/>
  <c r="E7236" i="13" s="1"/>
  <c r="E7237" i="13" s="1"/>
  <c r="E7238" i="13" s="1"/>
  <c r="E7239" i="13" s="1"/>
  <c r="E7240" i="13" s="1"/>
  <c r="E7241" i="13" s="1"/>
  <c r="E7242" i="13" s="1"/>
  <c r="E7243" i="13" s="1"/>
  <c r="E7244" i="13" s="1"/>
  <c r="E7245" i="13" s="1"/>
  <c r="E7246" i="13" s="1"/>
  <c r="E7247" i="13" s="1"/>
  <c r="E7248" i="13" s="1"/>
  <c r="E7249" i="13" s="1"/>
  <c r="E7250" i="13" s="1"/>
  <c r="E7251" i="13" s="1"/>
  <c r="E7252" i="13" s="1"/>
  <c r="E7253" i="13" s="1"/>
  <c r="E7254" i="13" s="1"/>
  <c r="E7255" i="13" s="1"/>
  <c r="E7256" i="13" s="1"/>
  <c r="E7257" i="13" s="1"/>
  <c r="E7258" i="13" s="1"/>
  <c r="E7259" i="13" s="1"/>
  <c r="E7260" i="13" s="1"/>
  <c r="E7261" i="13" s="1"/>
  <c r="E7262" i="13" s="1"/>
  <c r="E7263" i="13" s="1"/>
  <c r="E7264" i="13" s="1"/>
  <c r="E7265" i="13" s="1"/>
  <c r="E7266" i="13" s="1"/>
  <c r="E7267" i="13" s="1"/>
  <c r="E7268" i="13" s="1"/>
  <c r="E7269" i="13" s="1"/>
  <c r="E7270" i="13" s="1"/>
  <c r="E7271" i="13" s="1"/>
  <c r="E7272" i="13" s="1"/>
  <c r="E7273" i="13" s="1"/>
  <c r="E7274" i="13" s="1"/>
  <c r="E7275" i="13" s="1"/>
  <c r="E7276" i="13" s="1"/>
  <c r="E7277" i="13" s="1"/>
  <c r="E7278" i="13" s="1"/>
  <c r="E7279" i="13" s="1"/>
  <c r="E7280" i="13" s="1"/>
  <c r="E7281" i="13" s="1"/>
  <c r="E7282" i="13" s="1"/>
  <c r="E7283" i="13" s="1"/>
  <c r="E7284" i="13" s="1"/>
  <c r="E7285" i="13" s="1"/>
  <c r="E7286" i="13" s="1"/>
  <c r="E7287" i="13" s="1"/>
  <c r="E7288" i="13" s="1"/>
  <c r="E7289" i="13" s="1"/>
  <c r="E7290" i="13" s="1"/>
  <c r="E7291" i="13" s="1"/>
  <c r="E7292" i="13" s="1"/>
  <c r="E7293" i="13" s="1"/>
  <c r="E7294" i="13" s="1"/>
  <c r="E7295" i="13" s="1"/>
  <c r="E7296" i="13" s="1"/>
  <c r="E7297" i="13" s="1"/>
  <c r="E7298" i="13" s="1"/>
  <c r="E7299" i="13" s="1"/>
  <c r="E7300" i="13" s="1"/>
  <c r="E7301" i="13" s="1"/>
  <c r="E7302" i="13" s="1"/>
  <c r="E7303" i="13" s="1"/>
  <c r="E7304" i="13" s="1"/>
  <c r="E7305" i="13" s="1"/>
  <c r="E7306" i="13" s="1"/>
  <c r="E7307" i="13" s="1"/>
  <c r="E7308" i="13" s="1"/>
  <c r="E7309" i="13" s="1"/>
  <c r="E7310" i="13" s="1"/>
  <c r="E7311" i="13" s="1"/>
  <c r="E7312" i="13" s="1"/>
  <c r="E7313" i="13" s="1"/>
  <c r="E7314" i="13" s="1"/>
  <c r="E7315" i="13" s="1"/>
  <c r="E7316" i="13" s="1"/>
  <c r="E7317" i="13" s="1"/>
  <c r="E7318" i="13" s="1"/>
  <c r="E7319" i="13" s="1"/>
  <c r="E7320" i="13" s="1"/>
  <c r="E7321" i="13" s="1"/>
  <c r="E7322" i="13" s="1"/>
  <c r="E7323" i="13" s="1"/>
  <c r="E7324" i="13" s="1"/>
  <c r="E7325" i="13" s="1"/>
  <c r="E7326" i="13" s="1"/>
  <c r="E7327" i="13" s="1"/>
  <c r="E7328" i="13" s="1"/>
  <c r="E7329" i="13" s="1"/>
  <c r="E7330" i="13" s="1"/>
  <c r="E7331" i="13" s="1"/>
  <c r="E7332" i="13" s="1"/>
  <c r="E7333" i="13" s="1"/>
  <c r="E7334" i="13" s="1"/>
  <c r="E7335" i="13" s="1"/>
  <c r="E7336" i="13" s="1"/>
  <c r="E7337" i="13" s="1"/>
  <c r="E7338" i="13" s="1"/>
  <c r="E7339" i="13" s="1"/>
  <c r="E7340" i="13" s="1"/>
  <c r="E7341" i="13" s="1"/>
  <c r="E7342" i="13" s="1"/>
  <c r="E7343" i="13" s="1"/>
  <c r="E7344" i="13" s="1"/>
  <c r="E7345" i="13" s="1"/>
  <c r="E7346" i="13" s="1"/>
  <c r="E7347" i="13" s="1"/>
  <c r="E7348" i="13" s="1"/>
  <c r="E7349" i="13" s="1"/>
  <c r="E7350" i="13" s="1"/>
  <c r="E7351" i="13" s="1"/>
  <c r="E7352" i="13" s="1"/>
  <c r="E7353" i="13" s="1"/>
  <c r="E7354" i="13" s="1"/>
  <c r="E7355" i="13" s="1"/>
  <c r="E7356" i="13" s="1"/>
  <c r="E7357" i="13" s="1"/>
  <c r="E7358" i="13" s="1"/>
  <c r="E7359" i="13" s="1"/>
  <c r="E7360" i="13" s="1"/>
  <c r="E7361" i="13" s="1"/>
  <c r="E7362" i="13" s="1"/>
  <c r="E7363" i="13" s="1"/>
  <c r="E7364" i="13" s="1"/>
  <c r="E7365" i="13" s="1"/>
  <c r="E7366" i="13" s="1"/>
  <c r="E7367" i="13" s="1"/>
  <c r="E7368" i="13" s="1"/>
  <c r="E7369" i="13" s="1"/>
  <c r="E7370" i="13" s="1"/>
  <c r="E7371" i="13" s="1"/>
  <c r="E7372" i="13" s="1"/>
  <c r="E7373" i="13" s="1"/>
  <c r="E7374" i="13" s="1"/>
  <c r="E7375" i="13" s="1"/>
  <c r="E7376" i="13" s="1"/>
  <c r="E7377" i="13" s="1"/>
  <c r="E7378" i="13" s="1"/>
  <c r="E7379" i="13" s="1"/>
  <c r="E7380" i="13" s="1"/>
  <c r="E7381" i="13" s="1"/>
  <c r="E7382" i="13" s="1"/>
  <c r="E7383" i="13" s="1"/>
  <c r="E7384" i="13" s="1"/>
  <c r="E7385" i="13" s="1"/>
  <c r="E7386" i="13" s="1"/>
  <c r="E7387" i="13" s="1"/>
  <c r="E7388" i="13" s="1"/>
  <c r="E7389" i="13" s="1"/>
  <c r="E7390" i="13" s="1"/>
  <c r="E7391" i="13" s="1"/>
  <c r="E7392" i="13" s="1"/>
  <c r="E7393" i="13" s="1"/>
  <c r="E7394" i="13" s="1"/>
  <c r="E7395" i="13" s="1"/>
  <c r="E7396" i="13" s="1"/>
  <c r="E7397" i="13" s="1"/>
  <c r="E7398" i="13" s="1"/>
  <c r="E7399" i="13" s="1"/>
  <c r="E7400" i="13" s="1"/>
  <c r="E7401" i="13" s="1"/>
  <c r="E7402" i="13" s="1"/>
  <c r="E7403" i="13" s="1"/>
  <c r="E7404" i="13" s="1"/>
  <c r="E7405" i="13" s="1"/>
  <c r="E7406" i="13" s="1"/>
  <c r="E7407" i="13" s="1"/>
  <c r="E7408" i="13" s="1"/>
  <c r="E7409" i="13" s="1"/>
  <c r="E7410" i="13" s="1"/>
  <c r="E7411" i="13" s="1"/>
  <c r="E7412" i="13" s="1"/>
  <c r="E7413" i="13" s="1"/>
  <c r="E7414" i="13" s="1"/>
  <c r="E7415" i="13" s="1"/>
  <c r="E7416" i="13" s="1"/>
  <c r="E7417" i="13" s="1"/>
  <c r="E7418" i="13" s="1"/>
  <c r="E7419" i="13" s="1"/>
  <c r="E7420" i="13" s="1"/>
  <c r="E7421" i="13" s="1"/>
  <c r="E7422" i="13" s="1"/>
  <c r="E7423" i="13" s="1"/>
  <c r="E7424" i="13" s="1"/>
  <c r="E7425" i="13" s="1"/>
  <c r="E7426" i="13" s="1"/>
  <c r="E7427" i="13" s="1"/>
  <c r="E7428" i="13" s="1"/>
  <c r="E7429" i="13" s="1"/>
  <c r="E7430" i="13" s="1"/>
  <c r="E7431" i="13" s="1"/>
  <c r="E7432" i="13" s="1"/>
  <c r="E7433" i="13" s="1"/>
  <c r="E7434" i="13" s="1"/>
  <c r="E7435" i="13" s="1"/>
  <c r="E7436" i="13" s="1"/>
  <c r="E7437" i="13" s="1"/>
  <c r="E7438" i="13" s="1"/>
  <c r="E7439" i="13" s="1"/>
  <c r="E7440" i="13" s="1"/>
  <c r="E7441" i="13" s="1"/>
  <c r="E7442" i="13" s="1"/>
  <c r="E7443" i="13" s="1"/>
  <c r="E7444" i="13" s="1"/>
  <c r="E7445" i="13" s="1"/>
  <c r="E7446" i="13" s="1"/>
  <c r="E7447" i="13" s="1"/>
  <c r="E7448" i="13" s="1"/>
  <c r="E7449" i="13" s="1"/>
  <c r="E7450" i="13" s="1"/>
  <c r="E7451" i="13" s="1"/>
  <c r="E7452" i="13" s="1"/>
  <c r="E7453" i="13" s="1"/>
  <c r="E7454" i="13" s="1"/>
  <c r="E7455" i="13" s="1"/>
  <c r="E7456" i="13" s="1"/>
  <c r="E7457" i="13" s="1"/>
  <c r="E7458" i="13" s="1"/>
  <c r="E7459" i="13" s="1"/>
  <c r="E7460" i="13" s="1"/>
  <c r="E7461" i="13" s="1"/>
  <c r="E7462" i="13" s="1"/>
  <c r="E7463" i="13" s="1"/>
  <c r="E7464" i="13" s="1"/>
  <c r="E7465" i="13" s="1"/>
  <c r="E7466" i="13" s="1"/>
  <c r="E7467" i="13" s="1"/>
  <c r="E7468" i="13" s="1"/>
  <c r="E7469" i="13" s="1"/>
  <c r="E7470" i="13" s="1"/>
  <c r="E7471" i="13" s="1"/>
  <c r="E7472" i="13" s="1"/>
  <c r="E7473" i="13" s="1"/>
  <c r="E7474" i="13" s="1"/>
  <c r="E7475" i="13" s="1"/>
  <c r="E7476" i="13" s="1"/>
  <c r="E7477" i="13" s="1"/>
  <c r="E7478" i="13" s="1"/>
  <c r="E7479" i="13" s="1"/>
  <c r="E7480" i="13" s="1"/>
  <c r="E7481" i="13" s="1"/>
  <c r="E7482" i="13" s="1"/>
  <c r="E7483" i="13" s="1"/>
  <c r="E7484" i="13" s="1"/>
  <c r="E7485" i="13" s="1"/>
  <c r="E7486" i="13" s="1"/>
  <c r="E7487" i="13" s="1"/>
  <c r="E7488" i="13" s="1"/>
  <c r="E7489" i="13" s="1"/>
  <c r="E7490" i="13" s="1"/>
  <c r="E7491" i="13" s="1"/>
  <c r="E7492" i="13" s="1"/>
  <c r="E7493" i="13" s="1"/>
  <c r="E7494" i="13" s="1"/>
  <c r="E7495" i="13" s="1"/>
  <c r="E7496" i="13" s="1"/>
  <c r="E7497" i="13" s="1"/>
  <c r="E7498" i="13" s="1"/>
  <c r="E7499" i="13" s="1"/>
  <c r="E7500" i="13" s="1"/>
  <c r="E7501" i="13" s="1"/>
  <c r="E7502" i="13" s="1"/>
  <c r="E7503" i="13" s="1"/>
  <c r="E7504" i="13" s="1"/>
  <c r="E7505" i="13" s="1"/>
  <c r="E7506" i="13" s="1"/>
  <c r="E7507" i="13" s="1"/>
  <c r="E7508" i="13" s="1"/>
  <c r="E7509" i="13" s="1"/>
  <c r="E7510" i="13" s="1"/>
  <c r="E7511" i="13" s="1"/>
  <c r="E7512" i="13" s="1"/>
  <c r="E7513" i="13" s="1"/>
  <c r="E7514" i="13" s="1"/>
  <c r="E7515" i="13" s="1"/>
  <c r="E7516" i="13" s="1"/>
  <c r="E7517" i="13" s="1"/>
  <c r="E7518" i="13" s="1"/>
  <c r="E7519" i="13" s="1"/>
  <c r="E7520" i="13" s="1"/>
  <c r="E7521" i="13" s="1"/>
  <c r="E7522" i="13" s="1"/>
  <c r="E7523" i="13" s="1"/>
  <c r="E7524" i="13" s="1"/>
  <c r="E7525" i="13" s="1"/>
  <c r="E7526" i="13" s="1"/>
  <c r="E7527" i="13" s="1"/>
  <c r="E7528" i="13" s="1"/>
  <c r="E7529" i="13" s="1"/>
  <c r="E7530" i="13" s="1"/>
  <c r="E7531" i="13" s="1"/>
  <c r="E7532" i="13" s="1"/>
  <c r="E7533" i="13" s="1"/>
  <c r="E7534" i="13" s="1"/>
  <c r="E7535" i="13" s="1"/>
  <c r="E7536" i="13" s="1"/>
  <c r="E7537" i="13" s="1"/>
  <c r="E7538" i="13" s="1"/>
  <c r="E7539" i="13" s="1"/>
  <c r="E7540" i="13" s="1"/>
  <c r="E7541" i="13" s="1"/>
  <c r="E7542" i="13" s="1"/>
  <c r="E7543" i="13" s="1"/>
  <c r="E7544" i="13" s="1"/>
  <c r="E7545" i="13" s="1"/>
  <c r="E7546" i="13" s="1"/>
  <c r="E7547" i="13" s="1"/>
  <c r="E7548" i="13" s="1"/>
  <c r="E7549" i="13" s="1"/>
  <c r="E7550" i="13" s="1"/>
  <c r="E7551" i="13" s="1"/>
  <c r="E7552" i="13" s="1"/>
  <c r="E7553" i="13" s="1"/>
  <c r="E7554" i="13" s="1"/>
  <c r="E7555" i="13" s="1"/>
  <c r="E7556" i="13" s="1"/>
  <c r="E7557" i="13" s="1"/>
  <c r="E7558" i="13" s="1"/>
  <c r="E7559" i="13" s="1"/>
  <c r="E7560" i="13" s="1"/>
  <c r="E7561" i="13" s="1"/>
  <c r="E7562" i="13" s="1"/>
  <c r="E7563" i="13" s="1"/>
  <c r="E7564" i="13" s="1"/>
  <c r="E7565" i="13" s="1"/>
  <c r="E7566" i="13" s="1"/>
  <c r="E7567" i="13" s="1"/>
  <c r="E7568" i="13" s="1"/>
  <c r="E7569" i="13" s="1"/>
  <c r="E7570" i="13" s="1"/>
  <c r="E7571" i="13" s="1"/>
  <c r="E7572" i="13" s="1"/>
  <c r="E7573" i="13" s="1"/>
  <c r="E7574" i="13" s="1"/>
  <c r="E7575" i="13" s="1"/>
  <c r="E7576" i="13" s="1"/>
  <c r="E7577" i="13" s="1"/>
  <c r="E7578" i="13" s="1"/>
  <c r="E7579" i="13" s="1"/>
  <c r="E7580" i="13" s="1"/>
  <c r="E7581" i="13" s="1"/>
  <c r="E7582" i="13" s="1"/>
  <c r="E7583" i="13" s="1"/>
  <c r="E7584" i="13" s="1"/>
  <c r="E7585" i="13" s="1"/>
  <c r="E7586" i="13" s="1"/>
  <c r="E7587" i="13" s="1"/>
  <c r="E7588" i="13" s="1"/>
  <c r="E7589" i="13" s="1"/>
  <c r="E7590" i="13" s="1"/>
  <c r="E7591" i="13" s="1"/>
  <c r="E7592" i="13" s="1"/>
  <c r="E7593" i="13" s="1"/>
  <c r="E7594" i="13" s="1"/>
  <c r="E7595" i="13" s="1"/>
  <c r="E7596" i="13" s="1"/>
  <c r="E7597" i="13" s="1"/>
  <c r="E7598" i="13" s="1"/>
  <c r="E7599" i="13" s="1"/>
  <c r="E7600" i="13" s="1"/>
  <c r="E7601" i="13" s="1"/>
  <c r="E7602" i="13" s="1"/>
  <c r="E7603" i="13" s="1"/>
  <c r="E7604" i="13" s="1"/>
  <c r="E7605" i="13" s="1"/>
  <c r="E7606" i="13" s="1"/>
  <c r="E7607" i="13" s="1"/>
  <c r="E7608" i="13" s="1"/>
  <c r="E7609" i="13" s="1"/>
  <c r="E7610" i="13" s="1"/>
  <c r="E7611" i="13" s="1"/>
  <c r="E7612" i="13" s="1"/>
  <c r="E7613" i="13" s="1"/>
  <c r="E7614" i="13" s="1"/>
  <c r="E7615" i="13" s="1"/>
  <c r="E7616" i="13" s="1"/>
  <c r="E7617" i="13" s="1"/>
  <c r="E7618" i="13" s="1"/>
  <c r="E7619" i="13" s="1"/>
  <c r="E7620" i="13" s="1"/>
  <c r="E7621" i="13" s="1"/>
  <c r="E7622" i="13" s="1"/>
  <c r="E7623" i="13" s="1"/>
  <c r="E7624" i="13" s="1"/>
  <c r="E7625" i="13" s="1"/>
  <c r="E7626" i="13" s="1"/>
  <c r="E7627" i="13" s="1"/>
  <c r="E7628" i="13" s="1"/>
  <c r="E7629" i="13" s="1"/>
  <c r="E7630" i="13" s="1"/>
  <c r="E7631" i="13" s="1"/>
  <c r="E7632" i="13" s="1"/>
  <c r="E7633" i="13" s="1"/>
  <c r="E7634" i="13" s="1"/>
  <c r="E7635" i="13" s="1"/>
  <c r="E7636" i="13" s="1"/>
  <c r="E7637" i="13" s="1"/>
  <c r="E7638" i="13" s="1"/>
  <c r="E7639" i="13" s="1"/>
  <c r="E7640" i="13" s="1"/>
  <c r="E7641" i="13" s="1"/>
  <c r="E7642" i="13" s="1"/>
  <c r="E7643" i="13" s="1"/>
  <c r="E7644" i="13" s="1"/>
  <c r="E7645" i="13" s="1"/>
  <c r="E7646" i="13" s="1"/>
  <c r="E7647" i="13" s="1"/>
  <c r="E7648" i="13" s="1"/>
  <c r="E7649" i="13" s="1"/>
  <c r="E7650" i="13" s="1"/>
  <c r="E7651" i="13" s="1"/>
  <c r="E7652" i="13" s="1"/>
  <c r="E7653" i="13" s="1"/>
  <c r="E7654" i="13" s="1"/>
  <c r="E7655" i="13" s="1"/>
  <c r="E7656" i="13" s="1"/>
  <c r="E7657" i="13" s="1"/>
  <c r="E7658" i="13" s="1"/>
  <c r="E7659" i="13" s="1"/>
  <c r="E7660" i="13" s="1"/>
  <c r="E7661" i="13" s="1"/>
  <c r="E7662" i="13" s="1"/>
  <c r="E7663" i="13" s="1"/>
  <c r="E7664" i="13" s="1"/>
  <c r="E7665" i="13" s="1"/>
  <c r="E7666" i="13" s="1"/>
  <c r="E7667" i="13" s="1"/>
  <c r="E7668" i="13" s="1"/>
  <c r="E7669" i="13" s="1"/>
  <c r="E7670" i="13" s="1"/>
  <c r="E7671" i="13" s="1"/>
  <c r="E7672" i="13" s="1"/>
  <c r="E7673" i="13" s="1"/>
  <c r="E7674" i="13" s="1"/>
  <c r="E7675" i="13" s="1"/>
  <c r="E7676" i="13" s="1"/>
  <c r="E7677" i="13" s="1"/>
  <c r="E7678" i="13" s="1"/>
  <c r="E7679" i="13" s="1"/>
  <c r="E7680" i="13" s="1"/>
  <c r="E7681" i="13" s="1"/>
  <c r="E7682" i="13" s="1"/>
  <c r="E7683" i="13" s="1"/>
  <c r="E7684" i="13" s="1"/>
  <c r="E7685" i="13" s="1"/>
  <c r="E7686" i="13" s="1"/>
  <c r="E7687" i="13" s="1"/>
  <c r="E7688" i="13" s="1"/>
  <c r="E7689" i="13" s="1"/>
  <c r="E7690" i="13" s="1"/>
  <c r="E7691" i="13" s="1"/>
  <c r="E7692" i="13" s="1"/>
  <c r="E7693" i="13" s="1"/>
  <c r="E7694" i="13" s="1"/>
  <c r="E7695" i="13" s="1"/>
  <c r="E7696" i="13" s="1"/>
  <c r="E7697" i="13" s="1"/>
  <c r="E7698" i="13" s="1"/>
  <c r="E7699" i="13" s="1"/>
  <c r="E7700" i="13" s="1"/>
  <c r="E7701" i="13" s="1"/>
  <c r="E7702" i="13" s="1"/>
  <c r="E7703" i="13" s="1"/>
  <c r="E7704" i="13" s="1"/>
  <c r="E7705" i="13" s="1"/>
  <c r="E7706" i="13" s="1"/>
  <c r="E7707" i="13" s="1"/>
  <c r="E7708" i="13" s="1"/>
  <c r="E7709" i="13" s="1"/>
  <c r="E7710" i="13" s="1"/>
  <c r="E7711" i="13" s="1"/>
  <c r="E7712" i="13" s="1"/>
  <c r="E7713" i="13" s="1"/>
  <c r="E7714" i="13" s="1"/>
  <c r="E7715" i="13" s="1"/>
  <c r="E7716" i="13" s="1"/>
  <c r="E7717" i="13" s="1"/>
  <c r="E7718" i="13" s="1"/>
  <c r="E7719" i="13" s="1"/>
  <c r="E7720" i="13" s="1"/>
  <c r="E7721" i="13" s="1"/>
  <c r="E7722" i="13" s="1"/>
  <c r="E7723" i="13" s="1"/>
  <c r="E7724" i="13" s="1"/>
  <c r="E7725" i="13" s="1"/>
  <c r="E7726" i="13" s="1"/>
  <c r="E7727" i="13" s="1"/>
  <c r="E7728" i="13" s="1"/>
  <c r="E7729" i="13" s="1"/>
  <c r="E7730" i="13" s="1"/>
  <c r="E7731" i="13" s="1"/>
  <c r="E7732" i="13" s="1"/>
  <c r="E7733" i="13" s="1"/>
  <c r="E7734" i="13" s="1"/>
  <c r="E7735" i="13" s="1"/>
  <c r="E7736" i="13" s="1"/>
  <c r="E7737" i="13" s="1"/>
  <c r="E7738" i="13" s="1"/>
  <c r="E7739" i="13" s="1"/>
  <c r="E7740" i="13" s="1"/>
  <c r="E7741" i="13" s="1"/>
  <c r="E7742" i="13" s="1"/>
  <c r="E7743" i="13" s="1"/>
  <c r="E7744" i="13" s="1"/>
  <c r="E7745" i="13" s="1"/>
  <c r="E7746" i="13" s="1"/>
  <c r="E7747" i="13" s="1"/>
  <c r="E7748" i="13" s="1"/>
  <c r="E7749" i="13" s="1"/>
  <c r="E7750" i="13" s="1"/>
  <c r="E7751" i="13" s="1"/>
  <c r="E7752" i="13" s="1"/>
  <c r="E7753" i="13" s="1"/>
  <c r="E7754" i="13" s="1"/>
  <c r="E7755" i="13" s="1"/>
  <c r="E7756" i="13" s="1"/>
  <c r="E7757" i="13" s="1"/>
  <c r="E7758" i="13" s="1"/>
  <c r="E7759" i="13" s="1"/>
  <c r="E7760" i="13" s="1"/>
  <c r="E7761" i="13" s="1"/>
  <c r="E7762" i="13" s="1"/>
  <c r="E7763" i="13" s="1"/>
  <c r="E7764" i="13" s="1"/>
  <c r="E7765" i="13" s="1"/>
  <c r="E7766" i="13" s="1"/>
  <c r="E7767" i="13" s="1"/>
  <c r="E7768" i="13" s="1"/>
  <c r="E7769" i="13" s="1"/>
  <c r="E7770" i="13" s="1"/>
  <c r="E7771" i="13" s="1"/>
  <c r="E7772" i="13" s="1"/>
  <c r="E7773" i="13" s="1"/>
  <c r="E7774" i="13" s="1"/>
  <c r="E7775" i="13" s="1"/>
  <c r="E7776" i="13" s="1"/>
  <c r="E7777" i="13" s="1"/>
  <c r="E7778" i="13" s="1"/>
  <c r="E7779" i="13" s="1"/>
  <c r="E7780" i="13" s="1"/>
  <c r="E7781" i="13" s="1"/>
  <c r="E7782" i="13" s="1"/>
  <c r="E7783" i="13" s="1"/>
  <c r="E7784" i="13" s="1"/>
  <c r="E7785" i="13" s="1"/>
  <c r="E7786" i="13" s="1"/>
  <c r="E7787" i="13" s="1"/>
  <c r="E7788" i="13" s="1"/>
  <c r="E7789" i="13" s="1"/>
  <c r="E7790" i="13" s="1"/>
  <c r="E7791" i="13" s="1"/>
  <c r="E7792" i="13" s="1"/>
  <c r="E7793" i="13" s="1"/>
  <c r="E7794" i="13" s="1"/>
  <c r="E7795" i="13" s="1"/>
  <c r="E7796" i="13" s="1"/>
  <c r="E7797" i="13" s="1"/>
  <c r="E7798" i="13" s="1"/>
  <c r="E7799" i="13" s="1"/>
  <c r="E7800" i="13" s="1"/>
  <c r="E7801" i="13" s="1"/>
  <c r="E7802" i="13" s="1"/>
  <c r="E7803" i="13" s="1"/>
  <c r="E7804" i="13" s="1"/>
  <c r="E7805" i="13" s="1"/>
  <c r="E7806" i="13" s="1"/>
  <c r="E7807" i="13" s="1"/>
  <c r="E7808" i="13" s="1"/>
  <c r="E7809" i="13" s="1"/>
  <c r="E7810" i="13" s="1"/>
  <c r="E7811" i="13" s="1"/>
  <c r="E7812" i="13" s="1"/>
  <c r="E7813" i="13" s="1"/>
  <c r="E7814" i="13" s="1"/>
  <c r="E7815" i="13" s="1"/>
  <c r="E7816" i="13" s="1"/>
  <c r="E7817" i="13" s="1"/>
  <c r="E7818" i="13" s="1"/>
  <c r="E7819" i="13" s="1"/>
  <c r="E7820" i="13" s="1"/>
  <c r="E7821" i="13" s="1"/>
  <c r="E7822" i="13" s="1"/>
  <c r="E7823" i="13" s="1"/>
  <c r="E7824" i="13" s="1"/>
  <c r="E7825" i="13" s="1"/>
  <c r="E7826" i="13" s="1"/>
  <c r="E7827" i="13" s="1"/>
  <c r="E7828" i="13" s="1"/>
  <c r="E7829" i="13" s="1"/>
  <c r="E7830" i="13" s="1"/>
  <c r="E7831" i="13" s="1"/>
  <c r="E7832" i="13" s="1"/>
  <c r="E7833" i="13" s="1"/>
  <c r="E7834" i="13" s="1"/>
  <c r="E7835" i="13" s="1"/>
  <c r="E7836" i="13" s="1"/>
  <c r="E7837" i="13" s="1"/>
  <c r="E7838" i="13" s="1"/>
  <c r="E7839" i="13" s="1"/>
  <c r="E7840" i="13" s="1"/>
  <c r="E7841" i="13" s="1"/>
  <c r="E7842" i="13" s="1"/>
  <c r="E7843" i="13" s="1"/>
  <c r="E7844" i="13" s="1"/>
  <c r="E7845" i="13" s="1"/>
  <c r="E7846" i="13" s="1"/>
  <c r="E7847" i="13" s="1"/>
  <c r="E7848" i="13" s="1"/>
  <c r="E7849" i="13" s="1"/>
  <c r="E7850" i="13" s="1"/>
  <c r="E7851" i="13" s="1"/>
  <c r="E7852" i="13" s="1"/>
  <c r="E7853" i="13" s="1"/>
  <c r="E7854" i="13" s="1"/>
  <c r="E7855" i="13" s="1"/>
  <c r="E7856" i="13" s="1"/>
  <c r="E7857" i="13" s="1"/>
  <c r="E7858" i="13" s="1"/>
  <c r="E7859" i="13" s="1"/>
  <c r="E7860" i="13" s="1"/>
  <c r="E7861" i="13" s="1"/>
  <c r="E7862" i="13" s="1"/>
  <c r="E7863" i="13" s="1"/>
  <c r="E7864" i="13" s="1"/>
  <c r="E7865" i="13" s="1"/>
  <c r="E7866" i="13" s="1"/>
  <c r="E7867" i="13" s="1"/>
  <c r="E7868" i="13" s="1"/>
  <c r="E7869" i="13" s="1"/>
  <c r="E7870" i="13" s="1"/>
  <c r="E7871" i="13" s="1"/>
  <c r="E7872" i="13" s="1"/>
  <c r="E7873" i="13" s="1"/>
  <c r="E7874" i="13" s="1"/>
  <c r="E7875" i="13" s="1"/>
  <c r="E7876" i="13" s="1"/>
  <c r="E7877" i="13" s="1"/>
  <c r="E7878" i="13" s="1"/>
  <c r="E7879" i="13" s="1"/>
  <c r="E7880" i="13" s="1"/>
  <c r="E7881" i="13" s="1"/>
  <c r="E7882" i="13" s="1"/>
  <c r="E7883" i="13" s="1"/>
  <c r="E7884" i="13" s="1"/>
  <c r="E7885" i="13" s="1"/>
  <c r="E7886" i="13" s="1"/>
  <c r="E7887" i="13" s="1"/>
  <c r="E7888" i="13" s="1"/>
  <c r="E7889" i="13" s="1"/>
  <c r="E7890" i="13" s="1"/>
  <c r="E7891" i="13" s="1"/>
  <c r="E7892" i="13" s="1"/>
  <c r="E7893" i="13" s="1"/>
  <c r="E7894" i="13" s="1"/>
  <c r="E7895" i="13" s="1"/>
  <c r="E7896" i="13" s="1"/>
  <c r="E7897" i="13" s="1"/>
  <c r="E7898" i="13" s="1"/>
  <c r="E7899" i="13" s="1"/>
  <c r="E7900" i="13" s="1"/>
  <c r="E7901" i="13" s="1"/>
  <c r="E7902" i="13" s="1"/>
  <c r="E7903" i="13" s="1"/>
  <c r="E7904" i="13" s="1"/>
  <c r="E7905" i="13" s="1"/>
  <c r="E7906" i="13" s="1"/>
  <c r="E7907" i="13" s="1"/>
  <c r="E7908" i="13" s="1"/>
  <c r="E7909" i="13" s="1"/>
  <c r="E7910" i="13" s="1"/>
  <c r="E7911" i="13" s="1"/>
  <c r="E7912" i="13" s="1"/>
  <c r="E7913" i="13" s="1"/>
  <c r="E7914" i="13" s="1"/>
  <c r="E7915" i="13" s="1"/>
  <c r="E7916" i="13" s="1"/>
  <c r="E7917" i="13" s="1"/>
  <c r="E7918" i="13" s="1"/>
  <c r="E7919" i="13" s="1"/>
  <c r="E7920" i="13" s="1"/>
  <c r="E7921" i="13" s="1"/>
  <c r="E7922" i="13" s="1"/>
  <c r="E7923" i="13" s="1"/>
  <c r="E7924" i="13" s="1"/>
  <c r="E7925" i="13" s="1"/>
  <c r="E7926" i="13" s="1"/>
  <c r="E7927" i="13" s="1"/>
  <c r="E7928" i="13" s="1"/>
  <c r="E7929" i="13" s="1"/>
  <c r="E7930" i="13" s="1"/>
  <c r="E7931" i="13" s="1"/>
  <c r="E7932" i="13" s="1"/>
  <c r="E7933" i="13" s="1"/>
  <c r="E7934" i="13" s="1"/>
  <c r="E7935" i="13" s="1"/>
  <c r="E7936" i="13" s="1"/>
  <c r="E7937" i="13" s="1"/>
  <c r="E7938" i="13" s="1"/>
  <c r="E7939" i="13" s="1"/>
  <c r="E7940" i="13" s="1"/>
  <c r="E7941" i="13" s="1"/>
  <c r="E7942" i="13" s="1"/>
  <c r="E7943" i="13" s="1"/>
  <c r="E7944" i="13" s="1"/>
  <c r="E7945" i="13" s="1"/>
  <c r="E7946" i="13" s="1"/>
  <c r="E7947" i="13" s="1"/>
  <c r="E7948" i="13" s="1"/>
  <c r="E7949" i="13" s="1"/>
  <c r="E7950" i="13" s="1"/>
  <c r="E7951" i="13" s="1"/>
  <c r="E7952" i="13" s="1"/>
  <c r="E7953" i="13" s="1"/>
  <c r="E7954" i="13" s="1"/>
  <c r="E7955" i="13" s="1"/>
  <c r="E7956" i="13" s="1"/>
  <c r="E7957" i="13" s="1"/>
  <c r="E7958" i="13" s="1"/>
  <c r="E7959" i="13" s="1"/>
  <c r="E7960" i="13" s="1"/>
  <c r="E7961" i="13" s="1"/>
  <c r="E7962" i="13" s="1"/>
  <c r="E7963" i="13" s="1"/>
  <c r="E7964" i="13" s="1"/>
  <c r="E7965" i="13" s="1"/>
  <c r="E7966" i="13" s="1"/>
  <c r="E7967" i="13" s="1"/>
  <c r="E7968" i="13" s="1"/>
  <c r="E7969" i="13" s="1"/>
  <c r="E7970" i="13" s="1"/>
  <c r="E7971" i="13" s="1"/>
  <c r="E7972" i="13" s="1"/>
  <c r="E7973" i="13" s="1"/>
  <c r="E7974" i="13" s="1"/>
  <c r="E7975" i="13" s="1"/>
  <c r="E7976" i="13" s="1"/>
  <c r="E7977" i="13" s="1"/>
  <c r="E7978" i="13" s="1"/>
  <c r="E7979" i="13" s="1"/>
  <c r="E7980" i="13" s="1"/>
  <c r="E7981" i="13" s="1"/>
  <c r="E7982" i="13" s="1"/>
  <c r="E7983" i="13" s="1"/>
  <c r="E7984" i="13" s="1"/>
  <c r="E7985" i="13" s="1"/>
  <c r="E7986" i="13" s="1"/>
  <c r="E7987" i="13" s="1"/>
  <c r="E7988" i="13" s="1"/>
  <c r="E7989" i="13" s="1"/>
  <c r="E7990" i="13" s="1"/>
  <c r="E7991" i="13" s="1"/>
  <c r="E7992" i="13" s="1"/>
  <c r="E7993" i="13" s="1"/>
  <c r="E7994" i="13" s="1"/>
  <c r="E7995" i="13" s="1"/>
  <c r="E7996" i="13" s="1"/>
  <c r="E7997" i="13" s="1"/>
  <c r="E7998" i="13" s="1"/>
  <c r="E7999" i="13" s="1"/>
  <c r="E8000" i="13" s="1"/>
  <c r="E8001" i="13" s="1"/>
  <c r="E8002" i="13" s="1"/>
  <c r="E8003" i="13" s="1"/>
  <c r="E8004" i="13" s="1"/>
  <c r="E8005" i="13" s="1"/>
  <c r="E8006" i="13" s="1"/>
  <c r="E8007" i="13" s="1"/>
  <c r="E8008" i="13" s="1"/>
  <c r="E8009" i="13" s="1"/>
  <c r="E8010" i="13" s="1"/>
  <c r="E8011" i="13" s="1"/>
  <c r="E8012" i="13" s="1"/>
  <c r="E8013" i="13" s="1"/>
  <c r="E8014" i="13" s="1"/>
  <c r="E8015" i="13" s="1"/>
  <c r="E8016" i="13" s="1"/>
  <c r="E8017" i="13" s="1"/>
  <c r="E8018" i="13" s="1"/>
  <c r="E8019" i="13" s="1"/>
  <c r="E8020" i="13" s="1"/>
  <c r="E8021" i="13" s="1"/>
  <c r="E8022" i="13" s="1"/>
  <c r="E8023" i="13" s="1"/>
  <c r="E8024" i="13" s="1"/>
  <c r="E8025" i="13" s="1"/>
  <c r="E8026" i="13" s="1"/>
  <c r="E8027" i="13" s="1"/>
  <c r="E8028" i="13" s="1"/>
  <c r="E8029" i="13" s="1"/>
  <c r="E8030" i="13" s="1"/>
  <c r="E8031" i="13" s="1"/>
  <c r="E8032" i="13" s="1"/>
  <c r="E8033" i="13" s="1"/>
  <c r="E8034" i="13" s="1"/>
  <c r="E8035" i="13" s="1"/>
  <c r="E8036" i="13" s="1"/>
  <c r="E8037" i="13" s="1"/>
  <c r="E8038" i="13" s="1"/>
  <c r="E8039" i="13" s="1"/>
  <c r="E8040" i="13" s="1"/>
  <c r="E8041" i="13" s="1"/>
  <c r="E8042" i="13" s="1"/>
  <c r="E8043" i="13" s="1"/>
  <c r="E8044" i="13" s="1"/>
  <c r="E8045" i="13" s="1"/>
  <c r="E8046" i="13" s="1"/>
  <c r="E8047" i="13" s="1"/>
  <c r="E8048" i="13" s="1"/>
  <c r="E8049" i="13" s="1"/>
  <c r="E8050" i="13" s="1"/>
  <c r="E8051" i="13" s="1"/>
  <c r="E8052" i="13" s="1"/>
  <c r="E8053" i="13" s="1"/>
  <c r="E8054" i="13" s="1"/>
  <c r="E8055" i="13" s="1"/>
  <c r="E8056" i="13" s="1"/>
  <c r="E8057" i="13" s="1"/>
  <c r="E8058" i="13" s="1"/>
  <c r="E8059" i="13" s="1"/>
  <c r="E8060" i="13" s="1"/>
  <c r="E8061" i="13" s="1"/>
  <c r="E8062" i="13" s="1"/>
  <c r="E8063" i="13" s="1"/>
  <c r="E8064" i="13" s="1"/>
  <c r="E8065" i="13" s="1"/>
  <c r="E8066" i="13" s="1"/>
  <c r="E8067" i="13" s="1"/>
  <c r="E8068" i="13" s="1"/>
  <c r="E8069" i="13" s="1"/>
  <c r="E8070" i="13" s="1"/>
  <c r="E8071" i="13" s="1"/>
  <c r="E8072" i="13" s="1"/>
  <c r="E8073" i="13" s="1"/>
  <c r="E8074" i="13" s="1"/>
  <c r="E8075" i="13" s="1"/>
  <c r="E8076" i="13" s="1"/>
  <c r="E8077" i="13" s="1"/>
  <c r="E8078" i="13" s="1"/>
  <c r="E8079" i="13" s="1"/>
  <c r="E8080" i="13" s="1"/>
  <c r="E8081" i="13" s="1"/>
  <c r="E8082" i="13" s="1"/>
  <c r="E8083" i="13" s="1"/>
  <c r="E8084" i="13" s="1"/>
  <c r="E8085" i="13" s="1"/>
  <c r="E8086" i="13" s="1"/>
  <c r="E8087" i="13" s="1"/>
  <c r="E8088" i="13" s="1"/>
  <c r="E8089" i="13" s="1"/>
  <c r="E8090" i="13" s="1"/>
  <c r="E8091" i="13" s="1"/>
  <c r="E8092" i="13" s="1"/>
  <c r="E8093" i="13" s="1"/>
  <c r="E8094" i="13" s="1"/>
  <c r="E8095" i="13" s="1"/>
  <c r="E8096" i="13" s="1"/>
  <c r="E8097" i="13" s="1"/>
  <c r="E8098" i="13" s="1"/>
  <c r="E8099" i="13" s="1"/>
  <c r="E8100" i="13" s="1"/>
  <c r="E8101" i="13" s="1"/>
  <c r="E8102" i="13" s="1"/>
  <c r="E8103" i="13" s="1"/>
  <c r="E8104" i="13" s="1"/>
  <c r="E8105" i="13" s="1"/>
  <c r="E8106" i="13" s="1"/>
  <c r="E8107" i="13" s="1"/>
  <c r="E8108" i="13" s="1"/>
  <c r="E8109" i="13" s="1"/>
  <c r="E8110" i="13" s="1"/>
  <c r="E8111" i="13" s="1"/>
  <c r="E8112" i="13" s="1"/>
  <c r="E8113" i="13" s="1"/>
  <c r="E8114" i="13" s="1"/>
  <c r="E8115" i="13" s="1"/>
  <c r="E8116" i="13" s="1"/>
  <c r="E8117" i="13" s="1"/>
  <c r="E8118" i="13" s="1"/>
  <c r="E8119" i="13" s="1"/>
  <c r="E8120" i="13" s="1"/>
  <c r="E8121" i="13" s="1"/>
  <c r="E8122" i="13" s="1"/>
  <c r="E8123" i="13" s="1"/>
  <c r="E8124" i="13" s="1"/>
  <c r="E8125" i="13" s="1"/>
  <c r="E8126" i="13" s="1"/>
  <c r="E8127" i="13" s="1"/>
  <c r="E8128" i="13" s="1"/>
  <c r="E8129" i="13" s="1"/>
  <c r="E8130" i="13" s="1"/>
  <c r="E8131" i="13" s="1"/>
  <c r="E8132" i="13" s="1"/>
  <c r="E8133" i="13" s="1"/>
  <c r="E8134" i="13" s="1"/>
  <c r="E8135" i="13" s="1"/>
  <c r="E8136" i="13" s="1"/>
  <c r="E8137" i="13" s="1"/>
  <c r="E8138" i="13" s="1"/>
  <c r="E8139" i="13" s="1"/>
  <c r="E8140" i="13" s="1"/>
  <c r="E8141" i="13" s="1"/>
  <c r="E8142" i="13" s="1"/>
  <c r="E8143" i="13" s="1"/>
  <c r="E8144" i="13" s="1"/>
  <c r="E8145" i="13" s="1"/>
  <c r="E8146" i="13" s="1"/>
  <c r="E8147" i="13" s="1"/>
  <c r="E8148" i="13" s="1"/>
  <c r="E8149" i="13" s="1"/>
  <c r="E8150" i="13" s="1"/>
  <c r="E8151" i="13" s="1"/>
  <c r="E8152" i="13" s="1"/>
  <c r="E8153" i="13" s="1"/>
  <c r="E8154" i="13" s="1"/>
  <c r="E8155" i="13" s="1"/>
  <c r="E8156" i="13" s="1"/>
  <c r="E8157" i="13" s="1"/>
  <c r="E8158" i="13" s="1"/>
  <c r="E8159" i="13" s="1"/>
  <c r="E8160" i="13" s="1"/>
  <c r="E8161" i="13" s="1"/>
  <c r="E8162" i="13" s="1"/>
  <c r="E8163" i="13" s="1"/>
  <c r="E8164" i="13" s="1"/>
  <c r="E8165" i="13" s="1"/>
  <c r="E8166" i="13" s="1"/>
  <c r="E8167" i="13" s="1"/>
  <c r="E8168" i="13" s="1"/>
  <c r="E8169" i="13" s="1"/>
  <c r="E8170" i="13" s="1"/>
  <c r="E8171" i="13" s="1"/>
  <c r="E8172" i="13" s="1"/>
  <c r="E8173" i="13" s="1"/>
  <c r="E8174" i="13" s="1"/>
  <c r="E8175" i="13" s="1"/>
  <c r="E8176" i="13" s="1"/>
  <c r="E8177" i="13" s="1"/>
  <c r="E8178" i="13" s="1"/>
  <c r="E8179" i="13" s="1"/>
  <c r="E8180" i="13" s="1"/>
  <c r="E8181" i="13" s="1"/>
  <c r="E8182" i="13" s="1"/>
  <c r="E8183" i="13" s="1"/>
  <c r="E8184" i="13" s="1"/>
  <c r="E8185" i="13" s="1"/>
  <c r="E8186" i="13" s="1"/>
  <c r="E8187" i="13" s="1"/>
  <c r="E8188" i="13" s="1"/>
  <c r="E8189" i="13" s="1"/>
  <c r="E8190" i="13" s="1"/>
  <c r="E8191" i="13" s="1"/>
  <c r="E8192" i="13" s="1"/>
  <c r="E8193" i="13" s="1"/>
  <c r="E8194" i="13" s="1"/>
  <c r="E8195" i="13" s="1"/>
  <c r="E8196" i="13" s="1"/>
  <c r="E8197" i="13" s="1"/>
  <c r="E8198" i="13" s="1"/>
  <c r="E8199" i="13" s="1"/>
  <c r="E8200" i="13" s="1"/>
  <c r="E8201" i="13" s="1"/>
  <c r="E8202" i="13" s="1"/>
  <c r="E8203" i="13" s="1"/>
  <c r="E8204" i="13" s="1"/>
  <c r="E8205" i="13" s="1"/>
  <c r="E8206" i="13" s="1"/>
  <c r="E8207" i="13" s="1"/>
  <c r="E8208" i="13" s="1"/>
  <c r="E8209" i="13" s="1"/>
  <c r="E8210" i="13" s="1"/>
  <c r="E8211" i="13" s="1"/>
  <c r="E8212" i="13" s="1"/>
  <c r="E8213" i="13" s="1"/>
  <c r="E8214" i="13" s="1"/>
  <c r="E8215" i="13" s="1"/>
  <c r="E8216" i="13" s="1"/>
  <c r="E8217" i="13" s="1"/>
  <c r="E8218" i="13" s="1"/>
  <c r="E8219" i="13" s="1"/>
  <c r="E8220" i="13" s="1"/>
  <c r="E8221" i="13" s="1"/>
  <c r="E8222" i="13" s="1"/>
  <c r="E8223" i="13" s="1"/>
  <c r="E8224" i="13" s="1"/>
  <c r="E8225" i="13" s="1"/>
  <c r="E8226" i="13" s="1"/>
  <c r="E8227" i="13" s="1"/>
  <c r="E8228" i="13" s="1"/>
  <c r="E8229" i="13" s="1"/>
  <c r="E8230" i="13" s="1"/>
  <c r="E8231" i="13" s="1"/>
  <c r="E8232" i="13" s="1"/>
  <c r="E8233" i="13" s="1"/>
  <c r="E8234" i="13" s="1"/>
  <c r="E8235" i="13" s="1"/>
  <c r="E8236" i="13" s="1"/>
  <c r="E8237" i="13" s="1"/>
  <c r="E8238" i="13" s="1"/>
  <c r="E8239" i="13" s="1"/>
  <c r="E8240" i="13" s="1"/>
  <c r="E8241" i="13" s="1"/>
  <c r="E8242" i="13" s="1"/>
  <c r="E8243" i="13" s="1"/>
  <c r="E8244" i="13" s="1"/>
  <c r="E8245" i="13" s="1"/>
  <c r="E8246" i="13" s="1"/>
  <c r="E8247" i="13" s="1"/>
  <c r="E8248" i="13" s="1"/>
  <c r="E8249" i="13" s="1"/>
  <c r="E8250" i="13" s="1"/>
  <c r="E8251" i="13" s="1"/>
  <c r="E8252" i="13" s="1"/>
  <c r="E8253" i="13" s="1"/>
  <c r="E8254" i="13" s="1"/>
  <c r="E8255" i="13" s="1"/>
  <c r="E8256" i="13" s="1"/>
  <c r="E8257" i="13" s="1"/>
  <c r="E8258" i="13" s="1"/>
  <c r="E8259" i="13" s="1"/>
  <c r="E8260" i="13" s="1"/>
  <c r="E8261" i="13" s="1"/>
  <c r="E8262" i="13" s="1"/>
  <c r="E8263" i="13" s="1"/>
  <c r="E8264" i="13" s="1"/>
  <c r="E8265" i="13" s="1"/>
  <c r="E8266" i="13" s="1"/>
  <c r="E8267" i="13" s="1"/>
  <c r="E8268" i="13" s="1"/>
  <c r="E8269" i="13" s="1"/>
  <c r="E8270" i="13" s="1"/>
  <c r="E8271" i="13" s="1"/>
  <c r="E8272" i="13" s="1"/>
  <c r="E8273" i="13" s="1"/>
  <c r="E8274" i="13" s="1"/>
  <c r="E8275" i="13" s="1"/>
  <c r="E8276" i="13" s="1"/>
  <c r="E8277" i="13" s="1"/>
  <c r="E8278" i="13" s="1"/>
  <c r="E8279" i="13" s="1"/>
  <c r="E8280" i="13" s="1"/>
  <c r="E8281" i="13" s="1"/>
  <c r="E8282" i="13" s="1"/>
  <c r="E8283" i="13" s="1"/>
  <c r="E8284" i="13" s="1"/>
  <c r="E8285" i="13" s="1"/>
  <c r="E8286" i="13" s="1"/>
  <c r="E8287" i="13" s="1"/>
  <c r="E8288" i="13" s="1"/>
  <c r="E8289" i="13" s="1"/>
  <c r="E8290" i="13" s="1"/>
  <c r="E8291" i="13" s="1"/>
  <c r="E8292" i="13" s="1"/>
  <c r="E8293" i="13" s="1"/>
  <c r="E8294" i="13" s="1"/>
  <c r="E8295" i="13" s="1"/>
  <c r="E8296" i="13" s="1"/>
  <c r="E8297" i="13" s="1"/>
  <c r="E8298" i="13" s="1"/>
  <c r="E8299" i="13" s="1"/>
  <c r="E8300" i="13" s="1"/>
  <c r="E8301" i="13" s="1"/>
  <c r="E8302" i="13" s="1"/>
  <c r="E8303" i="13" s="1"/>
  <c r="E8304" i="13" s="1"/>
  <c r="E8305" i="13" s="1"/>
  <c r="E8306" i="13" s="1"/>
  <c r="E8307" i="13" s="1"/>
  <c r="E8308" i="13" s="1"/>
  <c r="E8309" i="13" s="1"/>
  <c r="E8310" i="13" s="1"/>
  <c r="E8311" i="13" s="1"/>
  <c r="E8312" i="13" s="1"/>
  <c r="E8313" i="13" s="1"/>
  <c r="E8314" i="13" s="1"/>
  <c r="E8315" i="13" s="1"/>
  <c r="E8316" i="13" s="1"/>
  <c r="E8317" i="13" s="1"/>
  <c r="E8318" i="13" s="1"/>
  <c r="E8319" i="13" s="1"/>
  <c r="E8320" i="13" s="1"/>
  <c r="E8321" i="13" s="1"/>
  <c r="E8322" i="13" s="1"/>
  <c r="E8323" i="13" s="1"/>
  <c r="E8324" i="13" s="1"/>
  <c r="E8325" i="13" s="1"/>
  <c r="E8326" i="13" s="1"/>
  <c r="E8327" i="13" s="1"/>
  <c r="E8328" i="13" s="1"/>
  <c r="E8329" i="13" s="1"/>
  <c r="E8330" i="13" s="1"/>
  <c r="E8331" i="13" s="1"/>
  <c r="E8332" i="13" s="1"/>
  <c r="E8333" i="13" s="1"/>
  <c r="E8334" i="13" s="1"/>
  <c r="E8335" i="13" s="1"/>
  <c r="E8336" i="13" s="1"/>
  <c r="E8337" i="13" s="1"/>
  <c r="E8338" i="13" s="1"/>
  <c r="E8339" i="13" s="1"/>
  <c r="E8340" i="13" s="1"/>
  <c r="E8341" i="13" s="1"/>
  <c r="E8342" i="13" s="1"/>
  <c r="E8343" i="13" s="1"/>
  <c r="E8344" i="13" s="1"/>
  <c r="E8345" i="13" s="1"/>
  <c r="E8346" i="13" s="1"/>
  <c r="E8347" i="13" s="1"/>
  <c r="E8348" i="13" s="1"/>
  <c r="E8349" i="13" s="1"/>
  <c r="E8350" i="13" s="1"/>
  <c r="E8351" i="13" s="1"/>
  <c r="E8352" i="13" s="1"/>
  <c r="E8353" i="13" s="1"/>
  <c r="E8354" i="13" s="1"/>
  <c r="E8355" i="13" s="1"/>
  <c r="E8356" i="13" s="1"/>
  <c r="E8357" i="13" s="1"/>
  <c r="E8358" i="13" s="1"/>
  <c r="E8359" i="13" s="1"/>
  <c r="E8360" i="13" s="1"/>
  <c r="E8361" i="13" s="1"/>
  <c r="E8362" i="13" s="1"/>
  <c r="E8363" i="13" s="1"/>
  <c r="E8364" i="13" s="1"/>
  <c r="E8365" i="13" s="1"/>
  <c r="E8366" i="13" s="1"/>
  <c r="E8367" i="13" s="1"/>
  <c r="E8368" i="13" s="1"/>
  <c r="E8369" i="13" s="1"/>
  <c r="E8370" i="13" s="1"/>
  <c r="E8371" i="13" s="1"/>
  <c r="E8372" i="13" s="1"/>
  <c r="E8373" i="13" s="1"/>
  <c r="E8374" i="13" s="1"/>
  <c r="E8375" i="13" s="1"/>
  <c r="E8376" i="13" s="1"/>
  <c r="E8377" i="13" s="1"/>
  <c r="E8378" i="13" s="1"/>
  <c r="E8379" i="13" s="1"/>
  <c r="E8380" i="13" s="1"/>
  <c r="E8381" i="13" s="1"/>
  <c r="E8382" i="13" s="1"/>
  <c r="E8383" i="13" s="1"/>
  <c r="E8384" i="13" s="1"/>
  <c r="E8385" i="13" s="1"/>
  <c r="E8386" i="13" s="1"/>
  <c r="E8387" i="13" s="1"/>
  <c r="E8388" i="13" s="1"/>
  <c r="E8389" i="13" s="1"/>
  <c r="E8390" i="13" s="1"/>
  <c r="E8391" i="13" s="1"/>
  <c r="E8392" i="13" s="1"/>
  <c r="E8393" i="13" s="1"/>
  <c r="E8394" i="13" s="1"/>
  <c r="E8395" i="13" s="1"/>
  <c r="E8396" i="13" s="1"/>
  <c r="E8397" i="13" s="1"/>
  <c r="E8398" i="13" s="1"/>
  <c r="E8399" i="13" s="1"/>
  <c r="E8400" i="13" s="1"/>
  <c r="E8401" i="13" s="1"/>
  <c r="E8402" i="13" s="1"/>
  <c r="E8403" i="13" s="1"/>
  <c r="E8404" i="13" s="1"/>
  <c r="E8405" i="13" s="1"/>
  <c r="E8406" i="13" s="1"/>
  <c r="E8407" i="13" s="1"/>
  <c r="E8408" i="13" s="1"/>
  <c r="E8409" i="13" s="1"/>
  <c r="E8410" i="13" s="1"/>
  <c r="E8411" i="13" s="1"/>
  <c r="E8412" i="13" s="1"/>
  <c r="E8413" i="13" s="1"/>
  <c r="E8414" i="13" s="1"/>
  <c r="E8415" i="13" s="1"/>
  <c r="E8416" i="13" s="1"/>
  <c r="E8417" i="13" s="1"/>
  <c r="E8418" i="13" s="1"/>
  <c r="E8419" i="13" s="1"/>
  <c r="E8420" i="13" s="1"/>
  <c r="E8421" i="13" s="1"/>
  <c r="E8422" i="13" s="1"/>
  <c r="E8423" i="13" s="1"/>
  <c r="E8424" i="13" s="1"/>
  <c r="E8425" i="13" s="1"/>
  <c r="E8426" i="13" s="1"/>
  <c r="E8427" i="13" s="1"/>
  <c r="E8428" i="13" s="1"/>
  <c r="E8429" i="13" s="1"/>
  <c r="E8430" i="13" s="1"/>
  <c r="E8431" i="13" s="1"/>
  <c r="E8432" i="13" s="1"/>
  <c r="E8433" i="13" s="1"/>
  <c r="E8434" i="13" s="1"/>
  <c r="E8435" i="13" s="1"/>
  <c r="E8436" i="13" s="1"/>
  <c r="E8437" i="13" s="1"/>
  <c r="E8438" i="13" s="1"/>
  <c r="E8439" i="13" s="1"/>
  <c r="E8440" i="13" s="1"/>
  <c r="E8441" i="13" s="1"/>
  <c r="E8442" i="13" s="1"/>
  <c r="E8443" i="13" s="1"/>
  <c r="E8444" i="13" s="1"/>
  <c r="E8445" i="13" s="1"/>
  <c r="E8446" i="13" s="1"/>
  <c r="E8447" i="13" s="1"/>
  <c r="E8448" i="13" s="1"/>
  <c r="E8449" i="13" s="1"/>
  <c r="E8450" i="13" s="1"/>
  <c r="E8451" i="13" s="1"/>
  <c r="E8452" i="13" s="1"/>
  <c r="E8453" i="13" s="1"/>
  <c r="E8454" i="13" s="1"/>
  <c r="E8455" i="13" s="1"/>
  <c r="E8456" i="13" s="1"/>
  <c r="E8457" i="13" s="1"/>
  <c r="E8458" i="13" s="1"/>
  <c r="E8459" i="13" s="1"/>
  <c r="E8460" i="13" s="1"/>
  <c r="E8461" i="13" s="1"/>
  <c r="E8462" i="13" s="1"/>
  <c r="E8463" i="13" s="1"/>
  <c r="E8464" i="13" s="1"/>
  <c r="E8465" i="13" s="1"/>
  <c r="E8466" i="13" s="1"/>
  <c r="E8467" i="13" s="1"/>
  <c r="E8468" i="13" s="1"/>
  <c r="E8469" i="13" s="1"/>
  <c r="E8470" i="13" s="1"/>
  <c r="E8471" i="13" s="1"/>
  <c r="E8472" i="13" s="1"/>
  <c r="E8473" i="13" s="1"/>
  <c r="E8474" i="13" s="1"/>
  <c r="E8475" i="13" s="1"/>
  <c r="E8476" i="13" s="1"/>
  <c r="E8477" i="13" s="1"/>
  <c r="E8478" i="13" s="1"/>
  <c r="E8479" i="13" s="1"/>
  <c r="E8480" i="13" s="1"/>
  <c r="E8481" i="13" s="1"/>
  <c r="E8482" i="13" s="1"/>
  <c r="E8483" i="13" s="1"/>
  <c r="E8484" i="13" s="1"/>
  <c r="E8485" i="13" s="1"/>
  <c r="E8486" i="13" s="1"/>
  <c r="E8487" i="13" s="1"/>
  <c r="E8488" i="13" s="1"/>
  <c r="E8489" i="13" s="1"/>
  <c r="E8490" i="13" s="1"/>
  <c r="E8491" i="13" s="1"/>
  <c r="E8492" i="13" s="1"/>
  <c r="E8493" i="13" s="1"/>
  <c r="E8494" i="13" s="1"/>
  <c r="E8495" i="13" s="1"/>
  <c r="E8496" i="13" s="1"/>
  <c r="E8497" i="13" s="1"/>
  <c r="E8498" i="13" s="1"/>
  <c r="E8499" i="13" s="1"/>
  <c r="E8500" i="13" s="1"/>
  <c r="E8501" i="13" s="1"/>
  <c r="E8502" i="13" s="1"/>
  <c r="E8503" i="13" s="1"/>
  <c r="E8504" i="13" s="1"/>
  <c r="E8505" i="13" s="1"/>
  <c r="E8506" i="13" s="1"/>
  <c r="E8507" i="13" s="1"/>
  <c r="E8508" i="13" s="1"/>
  <c r="E8509" i="13" s="1"/>
  <c r="E8510" i="13" s="1"/>
  <c r="E8511" i="13" s="1"/>
  <c r="E8512" i="13" s="1"/>
  <c r="E8513" i="13" s="1"/>
  <c r="E8514" i="13" s="1"/>
  <c r="E8515" i="13" s="1"/>
  <c r="E8516" i="13" s="1"/>
  <c r="E8517" i="13" s="1"/>
  <c r="E8518" i="13" s="1"/>
  <c r="E8519" i="13" s="1"/>
  <c r="E8520" i="13" s="1"/>
  <c r="E8521" i="13" s="1"/>
  <c r="E8522" i="13" s="1"/>
  <c r="E8523" i="13" s="1"/>
  <c r="E8524" i="13" s="1"/>
  <c r="E8525" i="13" s="1"/>
  <c r="E8526" i="13" s="1"/>
  <c r="E8527" i="13" s="1"/>
  <c r="E8528" i="13" s="1"/>
  <c r="E8529" i="13" s="1"/>
  <c r="E8530" i="13" s="1"/>
  <c r="E8531" i="13" s="1"/>
  <c r="E8532" i="13" s="1"/>
  <c r="E8533" i="13" s="1"/>
  <c r="E8534" i="13" s="1"/>
  <c r="E8535" i="13" s="1"/>
  <c r="E8536" i="13" s="1"/>
  <c r="E8537" i="13" s="1"/>
  <c r="E8538" i="13" s="1"/>
  <c r="E8539" i="13" s="1"/>
  <c r="E8540" i="13" s="1"/>
  <c r="E8541" i="13" s="1"/>
  <c r="E8542" i="13" s="1"/>
  <c r="E8543" i="13" s="1"/>
  <c r="E8544" i="13" s="1"/>
  <c r="E8545" i="13" s="1"/>
  <c r="E8546" i="13" s="1"/>
  <c r="E8547" i="13" s="1"/>
  <c r="E8548" i="13" s="1"/>
  <c r="E8549" i="13" s="1"/>
  <c r="E8550" i="13" s="1"/>
  <c r="E8551" i="13" s="1"/>
  <c r="E8552" i="13" s="1"/>
  <c r="E8553" i="13" s="1"/>
  <c r="E8554" i="13" s="1"/>
  <c r="E8555" i="13" s="1"/>
  <c r="E8556" i="13" s="1"/>
  <c r="E8557" i="13" s="1"/>
  <c r="E8558" i="13" s="1"/>
  <c r="E8559" i="13" s="1"/>
  <c r="E8560" i="13" s="1"/>
  <c r="E8561" i="13" s="1"/>
  <c r="E8562" i="13" s="1"/>
  <c r="E8563" i="13" s="1"/>
  <c r="E8564" i="13" s="1"/>
  <c r="E8565" i="13" s="1"/>
  <c r="E8566" i="13" s="1"/>
  <c r="E8567" i="13" s="1"/>
  <c r="E8568" i="13" s="1"/>
  <c r="E8569" i="13" s="1"/>
  <c r="E8570" i="13" s="1"/>
  <c r="E8571" i="13" s="1"/>
  <c r="E8572" i="13" s="1"/>
  <c r="E8573" i="13" s="1"/>
  <c r="E8574" i="13" s="1"/>
  <c r="E8575" i="13" s="1"/>
  <c r="E8576" i="13" s="1"/>
  <c r="E8577" i="13" s="1"/>
  <c r="E8578" i="13" s="1"/>
  <c r="E8579" i="13" s="1"/>
  <c r="E8580" i="13" s="1"/>
  <c r="E8581" i="13" s="1"/>
  <c r="E8582" i="13" s="1"/>
  <c r="E8583" i="13" s="1"/>
  <c r="E8584" i="13" s="1"/>
  <c r="E8585" i="13" s="1"/>
  <c r="E8586" i="13" s="1"/>
  <c r="E8587" i="13" s="1"/>
  <c r="E8588" i="13" s="1"/>
  <c r="E8589" i="13" s="1"/>
  <c r="E8590" i="13" s="1"/>
  <c r="E8591" i="13" s="1"/>
  <c r="E8592" i="13" s="1"/>
  <c r="E8593" i="13" s="1"/>
  <c r="E8594" i="13" s="1"/>
  <c r="E8595" i="13" s="1"/>
  <c r="E8596" i="13" s="1"/>
  <c r="E8597" i="13" s="1"/>
  <c r="E8598" i="13" s="1"/>
  <c r="E8599" i="13" s="1"/>
  <c r="E8600" i="13" s="1"/>
  <c r="E8601" i="13" s="1"/>
  <c r="E8602" i="13" s="1"/>
  <c r="E8603" i="13" s="1"/>
  <c r="E8604" i="13" s="1"/>
  <c r="E8605" i="13" s="1"/>
  <c r="E8606" i="13" s="1"/>
  <c r="E8607" i="13" s="1"/>
  <c r="E8608" i="13" s="1"/>
  <c r="E8609" i="13" s="1"/>
  <c r="E8610" i="13" s="1"/>
  <c r="E8611" i="13" s="1"/>
  <c r="E8612" i="13" s="1"/>
  <c r="E8613" i="13" s="1"/>
  <c r="E8614" i="13" s="1"/>
  <c r="E8615" i="13" s="1"/>
  <c r="E8616" i="13" s="1"/>
  <c r="E8617" i="13" s="1"/>
  <c r="E8618" i="13" s="1"/>
  <c r="E8619" i="13" s="1"/>
  <c r="E8620" i="13" s="1"/>
  <c r="E8621" i="13" s="1"/>
  <c r="E8622" i="13" s="1"/>
  <c r="E8623" i="13" s="1"/>
  <c r="E8624" i="13" s="1"/>
  <c r="E8625" i="13" s="1"/>
  <c r="E8626" i="13" s="1"/>
  <c r="E8627" i="13" s="1"/>
  <c r="E8628" i="13" s="1"/>
  <c r="E8629" i="13" s="1"/>
  <c r="E8630" i="13" s="1"/>
  <c r="E8631" i="13" s="1"/>
  <c r="E8632" i="13" s="1"/>
  <c r="E8633" i="13" s="1"/>
  <c r="E8634" i="13" s="1"/>
  <c r="E8635" i="13" s="1"/>
  <c r="E8636" i="13" s="1"/>
  <c r="E8637" i="13" s="1"/>
  <c r="E8638" i="13" s="1"/>
  <c r="E8639" i="13" s="1"/>
  <c r="E8640" i="13" s="1"/>
  <c r="E8641" i="13" s="1"/>
  <c r="E8642" i="13" s="1"/>
  <c r="E8643" i="13" s="1"/>
  <c r="E8644" i="13" s="1"/>
  <c r="E8645" i="13" s="1"/>
  <c r="E8646" i="13" s="1"/>
  <c r="E8647" i="13" s="1"/>
  <c r="E8648" i="13" s="1"/>
  <c r="E8649" i="13" s="1"/>
  <c r="E8650" i="13" s="1"/>
  <c r="E8651" i="13" s="1"/>
  <c r="E8652" i="13" s="1"/>
  <c r="E8653" i="13" s="1"/>
  <c r="E8654" i="13" s="1"/>
  <c r="E8655" i="13" s="1"/>
  <c r="E8656" i="13" s="1"/>
  <c r="E8657" i="13" s="1"/>
  <c r="E8658" i="13" s="1"/>
  <c r="E8659" i="13" s="1"/>
  <c r="E8660" i="13" s="1"/>
  <c r="E8661" i="13" s="1"/>
  <c r="E8662" i="13" s="1"/>
  <c r="E8663" i="13" s="1"/>
  <c r="E8664" i="13" s="1"/>
  <c r="E8665" i="13" s="1"/>
  <c r="E8666" i="13" s="1"/>
  <c r="E8667" i="13" s="1"/>
  <c r="E8668" i="13" s="1"/>
  <c r="E8669" i="13" s="1"/>
  <c r="E8670" i="13" s="1"/>
  <c r="E8671" i="13" s="1"/>
  <c r="E8672" i="13" s="1"/>
  <c r="E8673" i="13" s="1"/>
  <c r="E8674" i="13" s="1"/>
  <c r="E8675" i="13" s="1"/>
  <c r="E8676" i="13" s="1"/>
  <c r="E8677" i="13" s="1"/>
  <c r="E8678" i="13" s="1"/>
  <c r="E8679" i="13" s="1"/>
  <c r="E8680" i="13" s="1"/>
  <c r="E8681" i="13" s="1"/>
  <c r="E8682" i="13" s="1"/>
  <c r="E8683" i="13" s="1"/>
  <c r="E8684" i="13" s="1"/>
  <c r="E8685" i="13" s="1"/>
  <c r="E8686" i="13" s="1"/>
  <c r="E8687" i="13" s="1"/>
  <c r="E8688" i="13" s="1"/>
  <c r="E8689" i="13" s="1"/>
  <c r="E8690" i="13" s="1"/>
  <c r="E8691" i="13" s="1"/>
  <c r="E8692" i="13" s="1"/>
  <c r="E8693" i="13" s="1"/>
  <c r="E8694" i="13" s="1"/>
  <c r="E8695" i="13" s="1"/>
  <c r="E8696" i="13" s="1"/>
  <c r="E8697" i="13" s="1"/>
  <c r="E8698" i="13" s="1"/>
  <c r="E8699" i="13" s="1"/>
  <c r="E8700" i="13" s="1"/>
  <c r="E8701" i="13" s="1"/>
  <c r="E8702" i="13" s="1"/>
  <c r="E8703" i="13" s="1"/>
  <c r="E8704" i="13" s="1"/>
  <c r="E8705" i="13" s="1"/>
  <c r="E8706" i="13" s="1"/>
  <c r="E8707" i="13" s="1"/>
  <c r="E8708" i="13" s="1"/>
  <c r="E8709" i="13" s="1"/>
  <c r="E8710" i="13" s="1"/>
  <c r="E8711" i="13" s="1"/>
  <c r="E8712" i="13" s="1"/>
  <c r="E8713" i="13" s="1"/>
  <c r="E8714" i="13" s="1"/>
  <c r="E8715" i="13" s="1"/>
  <c r="E8716" i="13" s="1"/>
  <c r="E8717" i="13" s="1"/>
  <c r="E8718" i="13" s="1"/>
  <c r="E8719" i="13" s="1"/>
  <c r="E8720" i="13" s="1"/>
  <c r="E8721" i="13" s="1"/>
  <c r="E8722" i="13" s="1"/>
  <c r="E8723" i="13" s="1"/>
  <c r="E8724" i="13" s="1"/>
  <c r="E8725" i="13" s="1"/>
  <c r="E8726" i="13" s="1"/>
  <c r="E8727" i="13" s="1"/>
  <c r="E8728" i="13" s="1"/>
  <c r="E8729" i="13" s="1"/>
  <c r="E8730" i="13" s="1"/>
  <c r="E8731" i="13" s="1"/>
  <c r="E8732" i="13" s="1"/>
  <c r="E8733" i="13" s="1"/>
  <c r="E8734" i="13" s="1"/>
  <c r="E8735" i="13" s="1"/>
  <c r="E8736" i="13" s="1"/>
  <c r="E8737" i="13" s="1"/>
  <c r="E8738" i="13" s="1"/>
  <c r="E8739" i="13" s="1"/>
  <c r="E8740" i="13" s="1"/>
  <c r="E8741" i="13" s="1"/>
  <c r="E8742" i="13" s="1"/>
  <c r="E8743" i="13" s="1"/>
  <c r="E8744" i="13" s="1"/>
  <c r="E8745" i="13" s="1"/>
  <c r="E8746" i="13" s="1"/>
  <c r="E8747" i="13" s="1"/>
  <c r="E8748" i="13" s="1"/>
  <c r="E8749" i="13" s="1"/>
  <c r="E8750" i="13" s="1"/>
  <c r="E8751" i="13" s="1"/>
  <c r="E8752" i="13" s="1"/>
  <c r="E8753" i="13" s="1"/>
  <c r="E8754" i="13" s="1"/>
  <c r="E8755" i="13" s="1"/>
  <c r="E8756" i="13" s="1"/>
  <c r="E8757" i="13" s="1"/>
  <c r="E8758" i="13" s="1"/>
  <c r="E8759" i="13" s="1"/>
  <c r="E8760" i="13" s="1"/>
  <c r="E8761" i="13" s="1"/>
  <c r="E8762" i="13" s="1"/>
  <c r="E8763" i="13" s="1"/>
  <c r="E8764" i="13" s="1"/>
  <c r="E8765" i="13" s="1"/>
  <c r="E8766" i="13" s="1"/>
  <c r="E8767" i="13" s="1"/>
  <c r="E8768" i="13" s="1"/>
  <c r="E8769" i="13" s="1"/>
  <c r="E8770" i="13" s="1"/>
  <c r="E8771" i="13" s="1"/>
  <c r="E8772" i="13" s="1"/>
  <c r="E8773" i="13" s="1"/>
  <c r="E8774" i="13" s="1"/>
  <c r="E8775" i="13" s="1"/>
  <c r="E8776" i="13" s="1"/>
  <c r="E8777" i="13" s="1"/>
  <c r="E8778" i="13" s="1"/>
  <c r="E8779" i="13" s="1"/>
  <c r="E8780" i="13" s="1"/>
  <c r="E8781" i="13" s="1"/>
  <c r="E8782" i="13" s="1"/>
  <c r="E8783" i="13" s="1"/>
  <c r="E8784" i="13" s="1"/>
  <c r="E8785" i="13" s="1"/>
  <c r="E8786" i="13" s="1"/>
  <c r="E8787" i="13" s="1"/>
  <c r="E8788" i="13" s="1"/>
  <c r="E8789" i="13" s="1"/>
  <c r="E8790" i="13" s="1"/>
  <c r="E8791" i="13" s="1"/>
  <c r="E8792" i="13" s="1"/>
  <c r="E8793" i="13" s="1"/>
  <c r="E8794" i="13" s="1"/>
  <c r="E8795" i="13" s="1"/>
  <c r="E8796" i="13" s="1"/>
  <c r="E8797" i="13" s="1"/>
  <c r="E8798" i="13" s="1"/>
  <c r="E8799" i="13" s="1"/>
  <c r="E8800" i="13" s="1"/>
  <c r="E8801" i="13" s="1"/>
  <c r="E8802" i="13" s="1"/>
  <c r="E8803" i="13" s="1"/>
  <c r="E8804" i="13" s="1"/>
  <c r="E8805" i="13" s="1"/>
  <c r="E8806" i="13" s="1"/>
  <c r="E8807" i="13" s="1"/>
  <c r="E8808" i="13" s="1"/>
  <c r="E8809" i="13" s="1"/>
  <c r="E8810" i="13" s="1"/>
  <c r="E8811" i="13" s="1"/>
  <c r="E8812" i="13" s="1"/>
  <c r="E8813" i="13" s="1"/>
  <c r="E8814" i="13" s="1"/>
  <c r="E8815" i="13" s="1"/>
  <c r="E8816" i="13" s="1"/>
  <c r="E8817" i="13" s="1"/>
  <c r="E8818" i="13" s="1"/>
  <c r="E8819" i="13" s="1"/>
  <c r="E8820" i="13" s="1"/>
  <c r="E8821" i="13" s="1"/>
  <c r="E8822" i="13" s="1"/>
  <c r="E8823" i="13" s="1"/>
  <c r="E8824" i="13" s="1"/>
  <c r="E8825" i="13" s="1"/>
  <c r="E8826" i="13" s="1"/>
  <c r="E8827" i="13" s="1"/>
  <c r="E8828" i="13" s="1"/>
  <c r="E8829" i="13" s="1"/>
  <c r="E8830" i="13" s="1"/>
  <c r="E8831" i="13" s="1"/>
  <c r="E8832" i="13" s="1"/>
  <c r="E8833" i="13" s="1"/>
  <c r="E8834" i="13" s="1"/>
  <c r="E8835" i="13" s="1"/>
  <c r="E8836" i="13" s="1"/>
  <c r="E8837" i="13" s="1"/>
  <c r="E8838" i="13" s="1"/>
  <c r="E8839" i="13" s="1"/>
  <c r="E8840" i="13" s="1"/>
  <c r="E8841" i="13" s="1"/>
  <c r="E8842" i="13" s="1"/>
  <c r="E8843" i="13" s="1"/>
  <c r="E8844" i="13" s="1"/>
  <c r="E8845" i="13" s="1"/>
  <c r="E8846" i="13" s="1"/>
  <c r="E8847" i="13" s="1"/>
  <c r="E8848" i="13" s="1"/>
  <c r="E8849" i="13" s="1"/>
  <c r="E8850" i="13" s="1"/>
  <c r="E8851" i="13" s="1"/>
  <c r="E8852" i="13" s="1"/>
  <c r="E8853" i="13" s="1"/>
  <c r="E8854" i="13" s="1"/>
  <c r="E8855" i="13" s="1"/>
  <c r="E8856" i="13" s="1"/>
  <c r="E8857" i="13" s="1"/>
  <c r="E8858" i="13" s="1"/>
  <c r="E8859" i="13" s="1"/>
  <c r="E8860" i="13" s="1"/>
  <c r="E8861" i="13" s="1"/>
  <c r="E8862" i="13" s="1"/>
  <c r="E8863" i="13" s="1"/>
  <c r="E8864" i="13" s="1"/>
  <c r="E8865" i="13" s="1"/>
  <c r="E8866" i="13" s="1"/>
  <c r="E8867" i="13" s="1"/>
  <c r="E8868" i="13" s="1"/>
  <c r="E8869" i="13" s="1"/>
  <c r="E8870" i="13" s="1"/>
  <c r="E8871" i="13" s="1"/>
  <c r="E8872" i="13" s="1"/>
  <c r="E8873" i="13" s="1"/>
  <c r="E8874" i="13" s="1"/>
  <c r="E8875" i="13" s="1"/>
  <c r="E8876" i="13" s="1"/>
  <c r="E8877" i="13" s="1"/>
  <c r="E8878" i="13" s="1"/>
  <c r="E8879" i="13" s="1"/>
  <c r="E8880" i="13" s="1"/>
  <c r="E8881" i="13" s="1"/>
  <c r="E8882" i="13" s="1"/>
  <c r="E8883" i="13" s="1"/>
  <c r="E8884" i="13" s="1"/>
  <c r="E8885" i="13" s="1"/>
  <c r="E8886" i="13" s="1"/>
  <c r="E8887" i="13" s="1"/>
  <c r="E8888" i="13" s="1"/>
  <c r="E8889" i="13" s="1"/>
  <c r="E8890" i="13" s="1"/>
  <c r="E8891" i="13" s="1"/>
  <c r="E8892" i="13" s="1"/>
  <c r="E8893" i="13" s="1"/>
  <c r="E8894" i="13" s="1"/>
  <c r="E8895" i="13" s="1"/>
  <c r="E8896" i="13" s="1"/>
  <c r="E8897" i="13" s="1"/>
  <c r="E8898" i="13" s="1"/>
  <c r="E8899" i="13" s="1"/>
  <c r="E8900" i="13" s="1"/>
  <c r="E8901" i="13" s="1"/>
  <c r="E8902" i="13" s="1"/>
  <c r="E8903" i="13" s="1"/>
  <c r="E8904" i="13" s="1"/>
  <c r="E8905" i="13" s="1"/>
  <c r="E8906" i="13" s="1"/>
  <c r="E8907" i="13" s="1"/>
  <c r="E8908" i="13" s="1"/>
  <c r="E8909" i="13" s="1"/>
  <c r="E8910" i="13" s="1"/>
  <c r="E8911" i="13" s="1"/>
  <c r="E8912" i="13" s="1"/>
  <c r="E8913" i="13" s="1"/>
  <c r="E8914" i="13" s="1"/>
  <c r="E8915" i="13" s="1"/>
  <c r="E8916" i="13" s="1"/>
  <c r="E8917" i="13" s="1"/>
  <c r="E8918" i="13" s="1"/>
  <c r="E8919" i="13" s="1"/>
  <c r="E8920" i="13" s="1"/>
  <c r="E8921" i="13" s="1"/>
  <c r="E8922" i="13" s="1"/>
  <c r="E8923" i="13" s="1"/>
  <c r="E8924" i="13" s="1"/>
  <c r="E8925" i="13" s="1"/>
  <c r="E8926" i="13" s="1"/>
  <c r="E8927" i="13" s="1"/>
  <c r="E8928" i="13" s="1"/>
  <c r="E8929" i="13" s="1"/>
  <c r="E8930" i="13" s="1"/>
  <c r="E8931" i="13" s="1"/>
  <c r="E8932" i="13" s="1"/>
  <c r="E8933" i="13" s="1"/>
  <c r="E8934" i="13" s="1"/>
  <c r="E8935" i="13" s="1"/>
  <c r="E8936" i="13" s="1"/>
  <c r="E8937" i="13" s="1"/>
  <c r="E8938" i="13" s="1"/>
  <c r="E8939" i="13" s="1"/>
  <c r="E8940" i="13" s="1"/>
  <c r="E8941" i="13" s="1"/>
  <c r="E8942" i="13" s="1"/>
  <c r="E8943" i="13" s="1"/>
  <c r="E8944" i="13" s="1"/>
  <c r="E8945" i="13" s="1"/>
  <c r="E8946" i="13" s="1"/>
  <c r="E8947" i="13" s="1"/>
  <c r="E8948" i="13" s="1"/>
  <c r="E8949" i="13" s="1"/>
  <c r="E8950" i="13" s="1"/>
  <c r="E8951" i="13" s="1"/>
  <c r="E8952" i="13" s="1"/>
  <c r="E8953" i="13" s="1"/>
  <c r="E8954" i="13" s="1"/>
  <c r="E8955" i="13" s="1"/>
  <c r="E8956" i="13" s="1"/>
  <c r="E8957" i="13" s="1"/>
  <c r="E8958" i="13" s="1"/>
  <c r="E8959" i="13" s="1"/>
  <c r="E8960" i="13" s="1"/>
  <c r="E8961" i="13" s="1"/>
  <c r="E8962" i="13" s="1"/>
  <c r="E8963" i="13" s="1"/>
  <c r="E8964" i="13" s="1"/>
  <c r="E8965" i="13" s="1"/>
  <c r="E8966" i="13" s="1"/>
  <c r="E8967" i="13" s="1"/>
  <c r="E8968" i="13" s="1"/>
  <c r="E8969" i="13" s="1"/>
  <c r="E8970" i="13" s="1"/>
  <c r="E8971" i="13" s="1"/>
  <c r="E8972" i="13" s="1"/>
  <c r="E8973" i="13" s="1"/>
  <c r="E8974" i="13" s="1"/>
  <c r="E8975" i="13" s="1"/>
  <c r="E8976" i="13" s="1"/>
  <c r="E8977" i="13" s="1"/>
  <c r="E8978" i="13" s="1"/>
  <c r="E8979" i="13" s="1"/>
  <c r="E8980" i="13" s="1"/>
  <c r="E8981" i="13" s="1"/>
  <c r="E8982" i="13" s="1"/>
  <c r="E8983" i="13" s="1"/>
  <c r="E8984" i="13" s="1"/>
  <c r="E8985" i="13" s="1"/>
  <c r="E8986" i="13" s="1"/>
  <c r="E8987" i="13" s="1"/>
  <c r="E8988" i="13" s="1"/>
  <c r="E8989" i="13" s="1"/>
  <c r="E8990" i="13" s="1"/>
  <c r="E8991" i="13" s="1"/>
  <c r="E8992" i="13" s="1"/>
  <c r="E8993" i="13" s="1"/>
  <c r="E8994" i="13" s="1"/>
  <c r="E8995" i="13" s="1"/>
  <c r="E8996" i="13" s="1"/>
  <c r="E8997" i="13" s="1"/>
  <c r="E8998" i="13" s="1"/>
  <c r="E8999" i="13" s="1"/>
  <c r="E9000" i="13" s="1"/>
  <c r="E9001" i="13" s="1"/>
  <c r="E9002" i="13" s="1"/>
  <c r="E9003" i="13" s="1"/>
  <c r="E9004" i="13" s="1"/>
  <c r="E9005" i="13" s="1"/>
  <c r="E9006" i="13" s="1"/>
  <c r="E9007" i="13" s="1"/>
  <c r="E9008" i="13" s="1"/>
  <c r="E9009" i="13" s="1"/>
  <c r="E9010" i="13" s="1"/>
  <c r="E9011" i="13" s="1"/>
  <c r="E9012" i="13" s="1"/>
  <c r="E9013" i="13" s="1"/>
  <c r="E9014" i="13" s="1"/>
  <c r="E9015" i="13" s="1"/>
  <c r="E9016" i="13" s="1"/>
  <c r="E9017" i="13" s="1"/>
  <c r="E9018" i="13" s="1"/>
  <c r="E9019" i="13" s="1"/>
  <c r="E9020" i="13" s="1"/>
  <c r="E9021" i="13" s="1"/>
  <c r="E9022" i="13" s="1"/>
  <c r="E9023" i="13" s="1"/>
  <c r="E9024" i="13" s="1"/>
  <c r="E9025" i="13" s="1"/>
  <c r="E9026" i="13" s="1"/>
  <c r="E9027" i="13" s="1"/>
  <c r="E9028" i="13" s="1"/>
  <c r="E9029" i="13" s="1"/>
  <c r="E9030" i="13" s="1"/>
  <c r="E9031" i="13" s="1"/>
  <c r="E9032" i="13" s="1"/>
  <c r="E9033" i="13" s="1"/>
  <c r="E9034" i="13" s="1"/>
  <c r="E9035" i="13" s="1"/>
  <c r="E9036" i="13" s="1"/>
  <c r="E9037" i="13" s="1"/>
  <c r="E9038" i="13" s="1"/>
  <c r="E9039" i="13" s="1"/>
  <c r="E9040" i="13" s="1"/>
  <c r="E9041" i="13" s="1"/>
  <c r="E9042" i="13" s="1"/>
  <c r="E9043" i="13" s="1"/>
  <c r="E9044" i="13" s="1"/>
  <c r="E9045" i="13" s="1"/>
  <c r="E9046" i="13" s="1"/>
  <c r="E9047" i="13" s="1"/>
  <c r="E9048" i="13" s="1"/>
  <c r="E9049" i="13" s="1"/>
  <c r="E9050" i="13" s="1"/>
  <c r="E9051" i="13" s="1"/>
  <c r="E9052" i="13" s="1"/>
  <c r="E9053" i="13" s="1"/>
  <c r="E9054" i="13" s="1"/>
  <c r="E9055" i="13" s="1"/>
  <c r="E9056" i="13" s="1"/>
  <c r="E9057" i="13" s="1"/>
  <c r="E9058" i="13" s="1"/>
  <c r="E9059" i="13" s="1"/>
  <c r="E9060" i="13" s="1"/>
  <c r="E9061" i="13" s="1"/>
  <c r="E9062" i="13" s="1"/>
  <c r="E9063" i="13" s="1"/>
  <c r="E9064" i="13" s="1"/>
  <c r="E9065" i="13" s="1"/>
  <c r="E9066" i="13" s="1"/>
  <c r="E9067" i="13" s="1"/>
  <c r="E9068" i="13" s="1"/>
  <c r="E9069" i="13" s="1"/>
  <c r="E9070" i="13" s="1"/>
  <c r="E9071" i="13" s="1"/>
  <c r="E9072" i="13" s="1"/>
  <c r="E9073" i="13" s="1"/>
  <c r="E9074" i="13" s="1"/>
  <c r="E9075" i="13" s="1"/>
  <c r="E9076" i="13" s="1"/>
  <c r="E9077" i="13" s="1"/>
  <c r="E9078" i="13" s="1"/>
  <c r="E9079" i="13" s="1"/>
  <c r="E9080" i="13" s="1"/>
  <c r="E9081" i="13" s="1"/>
  <c r="E9082" i="13" s="1"/>
  <c r="E9083" i="13" s="1"/>
  <c r="E9084" i="13" s="1"/>
  <c r="E9085" i="13" s="1"/>
  <c r="E9086" i="13" s="1"/>
  <c r="E9087" i="13" s="1"/>
  <c r="E9088" i="13" s="1"/>
  <c r="E9089" i="13" s="1"/>
  <c r="E9090" i="13" s="1"/>
  <c r="E9091" i="13" s="1"/>
  <c r="E9092" i="13" s="1"/>
  <c r="E9093" i="13" s="1"/>
  <c r="E9094" i="13" s="1"/>
  <c r="E9095" i="13" s="1"/>
  <c r="E9096" i="13" s="1"/>
  <c r="E9097" i="13" s="1"/>
  <c r="E9098" i="13" s="1"/>
  <c r="E9099" i="13" s="1"/>
  <c r="E9100" i="13" s="1"/>
  <c r="E9101" i="13" s="1"/>
  <c r="E9102" i="13" s="1"/>
  <c r="E9103" i="13" s="1"/>
  <c r="E9104" i="13" s="1"/>
  <c r="E9105" i="13" s="1"/>
  <c r="E9106" i="13" s="1"/>
  <c r="E9107" i="13" s="1"/>
  <c r="E9108" i="13" s="1"/>
  <c r="E9109" i="13" s="1"/>
  <c r="E9110" i="13" s="1"/>
  <c r="E9111" i="13" s="1"/>
  <c r="E9112" i="13" s="1"/>
  <c r="E9113" i="13" s="1"/>
  <c r="E9114" i="13" s="1"/>
  <c r="E9115" i="13" s="1"/>
  <c r="E9116" i="13" s="1"/>
  <c r="E9117" i="13" s="1"/>
  <c r="E9118" i="13" s="1"/>
  <c r="E9119" i="13" s="1"/>
  <c r="E9120" i="13" s="1"/>
  <c r="E9121" i="13" s="1"/>
  <c r="E9122" i="13" s="1"/>
  <c r="E9123" i="13" s="1"/>
  <c r="E9124" i="13" s="1"/>
  <c r="E9125" i="13" s="1"/>
  <c r="E9126" i="13" s="1"/>
  <c r="E9127" i="13" s="1"/>
  <c r="E9128" i="13" s="1"/>
  <c r="E9129" i="13" s="1"/>
  <c r="E9130" i="13" s="1"/>
  <c r="E9131" i="13" s="1"/>
  <c r="E9132" i="13" s="1"/>
  <c r="E9133" i="13" s="1"/>
  <c r="E9134" i="13" s="1"/>
  <c r="E9135" i="13" s="1"/>
  <c r="E9136" i="13" s="1"/>
  <c r="E9137" i="13" s="1"/>
  <c r="E9138" i="13" s="1"/>
  <c r="E9139" i="13" s="1"/>
  <c r="E9140" i="13" s="1"/>
  <c r="E9141" i="13" s="1"/>
  <c r="E9142" i="13" s="1"/>
  <c r="E9143" i="13" s="1"/>
  <c r="E9144" i="13" s="1"/>
  <c r="E9145" i="13" s="1"/>
  <c r="E9146" i="13" s="1"/>
  <c r="E9147" i="13" s="1"/>
  <c r="E9148" i="13" s="1"/>
  <c r="E9149" i="13" s="1"/>
  <c r="E9150" i="13" s="1"/>
  <c r="E9151" i="13" s="1"/>
  <c r="E9152" i="13" s="1"/>
  <c r="E9153" i="13" s="1"/>
  <c r="E9154" i="13" s="1"/>
  <c r="E9155" i="13" s="1"/>
  <c r="E9156" i="13" s="1"/>
  <c r="E9157" i="13" s="1"/>
  <c r="E9158" i="13" s="1"/>
  <c r="E9159" i="13" s="1"/>
  <c r="E9160" i="13" s="1"/>
  <c r="E9161" i="13" s="1"/>
  <c r="E9162" i="13" s="1"/>
  <c r="E9163" i="13" s="1"/>
  <c r="E9164" i="13" s="1"/>
  <c r="E9165" i="13" s="1"/>
  <c r="E9166" i="13" s="1"/>
  <c r="E9167" i="13" s="1"/>
  <c r="E9168" i="13" s="1"/>
  <c r="E9169" i="13" s="1"/>
  <c r="E9170" i="13" s="1"/>
  <c r="E9171" i="13" s="1"/>
  <c r="E9172" i="13" s="1"/>
  <c r="E9173" i="13" s="1"/>
  <c r="E9174" i="13" s="1"/>
  <c r="E9175" i="13" s="1"/>
  <c r="E9176" i="13" s="1"/>
  <c r="E9177" i="13" s="1"/>
  <c r="E9178" i="13" s="1"/>
  <c r="E9179" i="13" s="1"/>
  <c r="E9180" i="13" s="1"/>
  <c r="E9181" i="13" s="1"/>
  <c r="E9182" i="13" s="1"/>
  <c r="E9183" i="13" s="1"/>
  <c r="E9184" i="13" s="1"/>
  <c r="E9185" i="13" s="1"/>
  <c r="E9186" i="13" s="1"/>
  <c r="E9187" i="13" s="1"/>
  <c r="E9188" i="13" s="1"/>
  <c r="E9189" i="13" s="1"/>
  <c r="E9190" i="13" s="1"/>
  <c r="E9191" i="13" s="1"/>
  <c r="E9192" i="13" s="1"/>
  <c r="E9193" i="13" s="1"/>
  <c r="E9194" i="13" s="1"/>
  <c r="E9195" i="13" s="1"/>
  <c r="E9196" i="13" s="1"/>
  <c r="E9197" i="13" s="1"/>
  <c r="E9198" i="13" s="1"/>
  <c r="E9199" i="13" s="1"/>
  <c r="E9200" i="13" s="1"/>
  <c r="E9201" i="13" s="1"/>
  <c r="E9202" i="13" s="1"/>
  <c r="E9203" i="13" s="1"/>
  <c r="E9204" i="13" s="1"/>
  <c r="E9205" i="13" s="1"/>
  <c r="E9206" i="13" s="1"/>
  <c r="E9207" i="13" s="1"/>
  <c r="E9208" i="13" s="1"/>
  <c r="E9209" i="13" s="1"/>
  <c r="E9210" i="13" s="1"/>
  <c r="E9211" i="13" s="1"/>
  <c r="E9212" i="13" s="1"/>
  <c r="E9213" i="13" s="1"/>
  <c r="E9214" i="13" s="1"/>
  <c r="E9215" i="13" s="1"/>
  <c r="E9216" i="13" s="1"/>
  <c r="E9217" i="13" s="1"/>
  <c r="E9218" i="13" s="1"/>
  <c r="E9219" i="13" s="1"/>
  <c r="E9220" i="13" s="1"/>
  <c r="E9221" i="13" s="1"/>
  <c r="E9222" i="13" s="1"/>
  <c r="E9223" i="13" s="1"/>
  <c r="E9224" i="13" s="1"/>
  <c r="E9225" i="13" s="1"/>
  <c r="E9226" i="13" s="1"/>
  <c r="E9227" i="13" s="1"/>
  <c r="E9228" i="13" s="1"/>
  <c r="E9229" i="13" s="1"/>
  <c r="E9230" i="13" s="1"/>
  <c r="E9231" i="13" s="1"/>
  <c r="E9232" i="13" s="1"/>
  <c r="E9233" i="13" s="1"/>
  <c r="E9234" i="13" s="1"/>
  <c r="E9235" i="13" s="1"/>
  <c r="E9236" i="13" s="1"/>
  <c r="E9237" i="13" s="1"/>
  <c r="E9238" i="13" s="1"/>
  <c r="E9239" i="13" s="1"/>
  <c r="E9240" i="13" s="1"/>
  <c r="E9241" i="13" s="1"/>
  <c r="E9242" i="13" s="1"/>
  <c r="E9243" i="13" s="1"/>
  <c r="E9244" i="13" s="1"/>
  <c r="E9245" i="13" s="1"/>
  <c r="E9246" i="13" s="1"/>
  <c r="E9247" i="13" s="1"/>
  <c r="E9248" i="13" s="1"/>
  <c r="E9249" i="13" s="1"/>
  <c r="E9250" i="13" s="1"/>
  <c r="E9251" i="13" s="1"/>
  <c r="E9252" i="13" s="1"/>
  <c r="E9253" i="13" s="1"/>
  <c r="E9254" i="13" s="1"/>
  <c r="E9255" i="13" s="1"/>
  <c r="E9256" i="13" s="1"/>
  <c r="E9257" i="13" s="1"/>
  <c r="E9258" i="13" s="1"/>
  <c r="E9259" i="13" s="1"/>
  <c r="E9260" i="13" s="1"/>
  <c r="E9261" i="13" s="1"/>
  <c r="E9262" i="13" s="1"/>
  <c r="E9263" i="13" s="1"/>
  <c r="E9264" i="13" s="1"/>
  <c r="E9265" i="13" s="1"/>
  <c r="E9266" i="13" s="1"/>
  <c r="E9267" i="13" s="1"/>
  <c r="E9268" i="13" s="1"/>
  <c r="E9269" i="13" s="1"/>
  <c r="E9270" i="13" s="1"/>
  <c r="E9271" i="13" s="1"/>
  <c r="E9272" i="13" s="1"/>
  <c r="E9273" i="13" s="1"/>
  <c r="E9274" i="13" s="1"/>
  <c r="E9275" i="13" s="1"/>
  <c r="E9276" i="13" s="1"/>
  <c r="E9277" i="13" s="1"/>
  <c r="E9278" i="13" s="1"/>
  <c r="E9279" i="13" s="1"/>
  <c r="E9280" i="13" s="1"/>
  <c r="E9281" i="13" s="1"/>
  <c r="E9282" i="13" s="1"/>
  <c r="E9283" i="13" s="1"/>
  <c r="E9284" i="13" s="1"/>
  <c r="E9285" i="13" s="1"/>
  <c r="E9286" i="13" s="1"/>
  <c r="E9287" i="13" s="1"/>
  <c r="E9288" i="13" s="1"/>
  <c r="E9289" i="13" s="1"/>
  <c r="E9290" i="13" s="1"/>
  <c r="E9291" i="13" s="1"/>
  <c r="E9292" i="13" s="1"/>
  <c r="E9293" i="13" s="1"/>
  <c r="E9294" i="13" s="1"/>
  <c r="E9295" i="13" s="1"/>
  <c r="E9296" i="13" s="1"/>
  <c r="E9297" i="13" s="1"/>
  <c r="E9298" i="13" s="1"/>
  <c r="E9299" i="13" s="1"/>
  <c r="E9300" i="13" s="1"/>
  <c r="E9301" i="13" s="1"/>
  <c r="E9302" i="13" s="1"/>
  <c r="E9303" i="13" s="1"/>
  <c r="E9304" i="13" s="1"/>
  <c r="E9305" i="13" s="1"/>
  <c r="E9306" i="13" s="1"/>
  <c r="E9307" i="13" s="1"/>
  <c r="E9308" i="13" s="1"/>
  <c r="E9309" i="13" s="1"/>
  <c r="E9310" i="13" s="1"/>
  <c r="E9311" i="13" s="1"/>
  <c r="E9312" i="13" s="1"/>
  <c r="E9313" i="13" s="1"/>
  <c r="E9314" i="13" s="1"/>
  <c r="E9315" i="13" s="1"/>
  <c r="E9316" i="13" s="1"/>
  <c r="E9317" i="13" s="1"/>
  <c r="E9318" i="13" s="1"/>
  <c r="E9319" i="13" s="1"/>
  <c r="E9320" i="13" s="1"/>
  <c r="E9321" i="13" s="1"/>
  <c r="E9322" i="13" s="1"/>
  <c r="E9323" i="13" s="1"/>
  <c r="E9324" i="13" s="1"/>
  <c r="E9325" i="13" s="1"/>
  <c r="E9326" i="13" s="1"/>
  <c r="E9327" i="13" s="1"/>
  <c r="E9328" i="13" s="1"/>
  <c r="E9329" i="13" s="1"/>
  <c r="E9330" i="13" s="1"/>
  <c r="E9331" i="13" s="1"/>
  <c r="E9332" i="13" s="1"/>
  <c r="E9333" i="13" s="1"/>
  <c r="E9334" i="13" s="1"/>
  <c r="E9335" i="13" s="1"/>
  <c r="E9336" i="13" s="1"/>
  <c r="E9337" i="13" s="1"/>
  <c r="E9338" i="13" s="1"/>
  <c r="E9339" i="13" s="1"/>
  <c r="E9340" i="13" s="1"/>
  <c r="E9341" i="13" s="1"/>
  <c r="E9342" i="13" s="1"/>
  <c r="E9343" i="13" s="1"/>
  <c r="E9344" i="13" s="1"/>
  <c r="E9345" i="13" s="1"/>
  <c r="E9346" i="13" s="1"/>
  <c r="E9347" i="13" s="1"/>
  <c r="E9348" i="13" s="1"/>
  <c r="E9349" i="13" s="1"/>
  <c r="E9350" i="13" s="1"/>
  <c r="E9351" i="13" s="1"/>
  <c r="E9352" i="13" s="1"/>
  <c r="E9353" i="13" s="1"/>
  <c r="E9354" i="13" s="1"/>
  <c r="E9355" i="13" s="1"/>
  <c r="E9356" i="13" s="1"/>
  <c r="E9357" i="13" s="1"/>
  <c r="E9358" i="13" s="1"/>
  <c r="E9359" i="13" s="1"/>
  <c r="E9360" i="13" s="1"/>
  <c r="E9361" i="13" s="1"/>
  <c r="E9362" i="13" s="1"/>
  <c r="E9363" i="13" s="1"/>
  <c r="E9364" i="13" s="1"/>
  <c r="E9365" i="13" s="1"/>
  <c r="E9366" i="13" s="1"/>
  <c r="E9367" i="13" s="1"/>
  <c r="E9368" i="13" s="1"/>
  <c r="E9369" i="13" s="1"/>
  <c r="E9370" i="13" s="1"/>
  <c r="E9371" i="13" s="1"/>
  <c r="E9372" i="13" s="1"/>
  <c r="E9373" i="13" s="1"/>
  <c r="E9374" i="13" s="1"/>
  <c r="E9375" i="13" s="1"/>
  <c r="E9376" i="13" s="1"/>
  <c r="E9377" i="13" s="1"/>
  <c r="E9378" i="13" s="1"/>
  <c r="E9379" i="13" s="1"/>
  <c r="E9380" i="13" s="1"/>
  <c r="E9381" i="13" s="1"/>
  <c r="E9382" i="13" s="1"/>
  <c r="E9383" i="13" s="1"/>
  <c r="E9384" i="13" s="1"/>
  <c r="E9385" i="13" s="1"/>
  <c r="E9386" i="13" s="1"/>
  <c r="E9387" i="13" s="1"/>
  <c r="E9388" i="13" s="1"/>
  <c r="E9389" i="13" s="1"/>
  <c r="E9390" i="13" s="1"/>
  <c r="E9391" i="13" s="1"/>
  <c r="E9392" i="13" s="1"/>
  <c r="E9393" i="13" s="1"/>
  <c r="E9394" i="13" s="1"/>
  <c r="E9395" i="13" s="1"/>
  <c r="E9396" i="13" s="1"/>
  <c r="E9397" i="13" s="1"/>
  <c r="E9398" i="13" s="1"/>
  <c r="E9399" i="13" s="1"/>
  <c r="E9400" i="13" s="1"/>
  <c r="E9401" i="13" s="1"/>
  <c r="E9402" i="13" s="1"/>
  <c r="E9403" i="13" s="1"/>
  <c r="E9404" i="13" s="1"/>
  <c r="E9405" i="13" s="1"/>
  <c r="E9406" i="13" s="1"/>
  <c r="E9407" i="13" s="1"/>
  <c r="E9408" i="13" s="1"/>
  <c r="E9409" i="13" s="1"/>
  <c r="E9410" i="13" s="1"/>
  <c r="E9411" i="13" s="1"/>
  <c r="E9412" i="13" s="1"/>
  <c r="E9413" i="13" s="1"/>
  <c r="E9414" i="13" s="1"/>
  <c r="E9415" i="13" s="1"/>
  <c r="E9416" i="13" s="1"/>
  <c r="E9417" i="13" s="1"/>
  <c r="E9418" i="13" s="1"/>
  <c r="E9419" i="13" s="1"/>
  <c r="E9420" i="13" s="1"/>
  <c r="E9421" i="13" s="1"/>
  <c r="E9422" i="13" s="1"/>
  <c r="E9423" i="13" s="1"/>
  <c r="E9424" i="13" s="1"/>
  <c r="E9425" i="13" s="1"/>
  <c r="E9426" i="13" s="1"/>
  <c r="E9427" i="13" s="1"/>
  <c r="E9428" i="13" s="1"/>
  <c r="E9429" i="13" s="1"/>
  <c r="E9430" i="13" s="1"/>
  <c r="E9431" i="13" s="1"/>
  <c r="E9432" i="13" s="1"/>
  <c r="E9433" i="13" s="1"/>
  <c r="E9434" i="13" s="1"/>
  <c r="E9435" i="13" s="1"/>
  <c r="E9436" i="13" s="1"/>
  <c r="E9437" i="13" s="1"/>
  <c r="E9438" i="13" s="1"/>
  <c r="E9439" i="13" s="1"/>
  <c r="E9440" i="13" s="1"/>
  <c r="E9441" i="13" s="1"/>
  <c r="E9442" i="13" s="1"/>
  <c r="E9443" i="13" s="1"/>
  <c r="E9444" i="13" s="1"/>
  <c r="E9445" i="13" s="1"/>
  <c r="E9446" i="13" s="1"/>
  <c r="E9447" i="13" s="1"/>
  <c r="E9448" i="13" s="1"/>
  <c r="E9449" i="13" s="1"/>
  <c r="E9450" i="13" s="1"/>
  <c r="E9451" i="13" s="1"/>
  <c r="E9452" i="13" s="1"/>
  <c r="E9453" i="13" s="1"/>
  <c r="E9454" i="13" s="1"/>
  <c r="E9455" i="13" s="1"/>
  <c r="E9456" i="13" s="1"/>
  <c r="E9457" i="13" s="1"/>
  <c r="E9458" i="13" s="1"/>
  <c r="E9459" i="13" s="1"/>
  <c r="E9460" i="13" s="1"/>
  <c r="E9461" i="13" s="1"/>
  <c r="E9462" i="13" s="1"/>
  <c r="E9463" i="13" s="1"/>
  <c r="E9464" i="13" s="1"/>
  <c r="E9465" i="13" s="1"/>
  <c r="E9466" i="13" s="1"/>
  <c r="E9467" i="13" s="1"/>
  <c r="E9468" i="13" s="1"/>
  <c r="E9469" i="13" s="1"/>
  <c r="E9470" i="13" s="1"/>
  <c r="E9471" i="13" s="1"/>
  <c r="E9472" i="13" s="1"/>
  <c r="E9473" i="13" s="1"/>
  <c r="E9474" i="13" s="1"/>
  <c r="E9475" i="13" s="1"/>
  <c r="E9476" i="13" s="1"/>
  <c r="E9477" i="13" s="1"/>
  <c r="E9478" i="13" s="1"/>
  <c r="E9479" i="13" s="1"/>
  <c r="E9480" i="13" s="1"/>
  <c r="E9481" i="13" s="1"/>
  <c r="E9482" i="13" s="1"/>
  <c r="E9483" i="13" s="1"/>
  <c r="E9484" i="13" s="1"/>
  <c r="E9485" i="13" s="1"/>
  <c r="E9486" i="13" s="1"/>
  <c r="E9487" i="13" s="1"/>
  <c r="E9488" i="13" s="1"/>
  <c r="E9489" i="13" s="1"/>
  <c r="E9490" i="13" s="1"/>
  <c r="E9491" i="13" s="1"/>
  <c r="E9492" i="13" s="1"/>
  <c r="E9493" i="13" s="1"/>
  <c r="E9494" i="13" s="1"/>
  <c r="E9495" i="13" s="1"/>
  <c r="E9496" i="13" s="1"/>
  <c r="E9497" i="13" s="1"/>
  <c r="E9498" i="13" s="1"/>
  <c r="E9499" i="13" s="1"/>
  <c r="E9500" i="13" s="1"/>
  <c r="E9501" i="13" s="1"/>
  <c r="E9502" i="13" s="1"/>
  <c r="E9503" i="13" s="1"/>
  <c r="E9504" i="13" s="1"/>
  <c r="E9505" i="13" s="1"/>
  <c r="E9506" i="13" s="1"/>
  <c r="E9507" i="13" s="1"/>
  <c r="E9508" i="13" s="1"/>
  <c r="E9509" i="13" s="1"/>
  <c r="E9510" i="13" s="1"/>
  <c r="E9511" i="13" s="1"/>
  <c r="E9512" i="13" s="1"/>
  <c r="E9513" i="13" s="1"/>
  <c r="E9514" i="13" s="1"/>
  <c r="E9515" i="13" s="1"/>
  <c r="E9516" i="13" s="1"/>
  <c r="E9517" i="13" s="1"/>
  <c r="E9518" i="13" s="1"/>
  <c r="E9519" i="13" s="1"/>
  <c r="E9520" i="13" s="1"/>
  <c r="E9521" i="13" s="1"/>
  <c r="E9522" i="13" s="1"/>
  <c r="E9523" i="13" s="1"/>
  <c r="E9524" i="13" s="1"/>
  <c r="E9525" i="13" s="1"/>
  <c r="E9526" i="13" s="1"/>
  <c r="E9527" i="13" s="1"/>
  <c r="E9528" i="13" s="1"/>
  <c r="E9529" i="13" s="1"/>
  <c r="E9530" i="13" s="1"/>
  <c r="E9531" i="13" s="1"/>
  <c r="E9532" i="13" s="1"/>
  <c r="E9533" i="13" s="1"/>
  <c r="E9534" i="13" s="1"/>
  <c r="E9535" i="13" s="1"/>
  <c r="E9536" i="13" s="1"/>
  <c r="E9537" i="13" s="1"/>
  <c r="E9538" i="13" s="1"/>
  <c r="E9539" i="13" s="1"/>
  <c r="E9540" i="13" s="1"/>
  <c r="E9541" i="13" s="1"/>
  <c r="E9542" i="13" s="1"/>
  <c r="E9543" i="13" s="1"/>
  <c r="E9544" i="13" s="1"/>
  <c r="E9545" i="13" s="1"/>
  <c r="E9546" i="13" s="1"/>
  <c r="E9547" i="13" s="1"/>
  <c r="E9548" i="13" s="1"/>
  <c r="E9549" i="13" s="1"/>
  <c r="E9550" i="13" s="1"/>
  <c r="E9551" i="13" s="1"/>
  <c r="E9552" i="13" s="1"/>
  <c r="E9553" i="13" s="1"/>
  <c r="E9554" i="13" s="1"/>
  <c r="E9555" i="13" s="1"/>
  <c r="E9556" i="13" s="1"/>
  <c r="E9557" i="13" s="1"/>
  <c r="E9558" i="13" s="1"/>
  <c r="E9559" i="13" s="1"/>
  <c r="E9560" i="13" s="1"/>
  <c r="E9561" i="13" s="1"/>
  <c r="E9562" i="13" s="1"/>
  <c r="E9563" i="13" s="1"/>
  <c r="E9564" i="13" s="1"/>
  <c r="E9565" i="13" s="1"/>
  <c r="E9566" i="13" s="1"/>
  <c r="E9567" i="13" s="1"/>
  <c r="E9568" i="13" s="1"/>
  <c r="E9569" i="13" s="1"/>
  <c r="E9570" i="13" s="1"/>
  <c r="E9571" i="13" s="1"/>
  <c r="E9572" i="13" s="1"/>
  <c r="E9573" i="13" s="1"/>
  <c r="E9574" i="13" s="1"/>
  <c r="E9575" i="13" s="1"/>
  <c r="E9576" i="13" s="1"/>
  <c r="E9577" i="13" s="1"/>
  <c r="E9578" i="13" s="1"/>
  <c r="E9579" i="13" s="1"/>
  <c r="E9580" i="13" s="1"/>
  <c r="E9581" i="13" s="1"/>
  <c r="E9582" i="13" s="1"/>
  <c r="E9583" i="13" s="1"/>
  <c r="E9584" i="13" s="1"/>
  <c r="E9585" i="13" s="1"/>
  <c r="E9586" i="13" s="1"/>
  <c r="E9587" i="13" s="1"/>
  <c r="E9588" i="13" s="1"/>
  <c r="E9589" i="13" s="1"/>
  <c r="E9590" i="13" s="1"/>
  <c r="E9591" i="13" s="1"/>
  <c r="E9592" i="13" s="1"/>
  <c r="E9593" i="13" s="1"/>
  <c r="E9594" i="13" s="1"/>
  <c r="E9595" i="13" s="1"/>
  <c r="E9596" i="13" s="1"/>
  <c r="E9597" i="13" s="1"/>
  <c r="E9598" i="13" s="1"/>
  <c r="E9599" i="13" s="1"/>
  <c r="E9600" i="13" s="1"/>
  <c r="E9601" i="13" s="1"/>
  <c r="E9602" i="13" s="1"/>
  <c r="E9603" i="13" s="1"/>
  <c r="E9604" i="13" s="1"/>
  <c r="E9605" i="13" s="1"/>
  <c r="E9606" i="13" s="1"/>
  <c r="E9607" i="13" s="1"/>
  <c r="E9608" i="13" s="1"/>
  <c r="E9609" i="13" s="1"/>
  <c r="E9610" i="13" s="1"/>
  <c r="E9611" i="13" s="1"/>
  <c r="E9612" i="13" s="1"/>
  <c r="E9613" i="13" s="1"/>
  <c r="E9614" i="13" s="1"/>
  <c r="E9615" i="13" s="1"/>
  <c r="E9616" i="13" s="1"/>
  <c r="E9617" i="13" s="1"/>
  <c r="E9618" i="13" s="1"/>
  <c r="E9619" i="13" s="1"/>
  <c r="E9620" i="13" s="1"/>
  <c r="E9621" i="13" s="1"/>
  <c r="E9622" i="13" s="1"/>
  <c r="E9623" i="13" s="1"/>
  <c r="E9624" i="13" s="1"/>
  <c r="E9625" i="13" s="1"/>
  <c r="E9626" i="13" s="1"/>
  <c r="E9627" i="13" s="1"/>
  <c r="E9628" i="13" s="1"/>
  <c r="E9629" i="13" s="1"/>
  <c r="E9630" i="13" s="1"/>
  <c r="E9631" i="13" s="1"/>
  <c r="E9632" i="13" s="1"/>
  <c r="E9633" i="13" s="1"/>
  <c r="E9634" i="13" s="1"/>
  <c r="E9635" i="13" s="1"/>
  <c r="E9636" i="13" s="1"/>
  <c r="E9637" i="13" s="1"/>
  <c r="E9638" i="13" s="1"/>
  <c r="E9639" i="13" s="1"/>
  <c r="E9640" i="13" s="1"/>
  <c r="E9641" i="13" s="1"/>
  <c r="E9642" i="13" s="1"/>
  <c r="E9643" i="13" s="1"/>
  <c r="E9644" i="13" s="1"/>
  <c r="E9645" i="13" s="1"/>
  <c r="E9646" i="13" s="1"/>
  <c r="E9647" i="13" s="1"/>
  <c r="E9648" i="13" s="1"/>
  <c r="E9649" i="13" s="1"/>
  <c r="E9650" i="13" s="1"/>
  <c r="E9651" i="13" s="1"/>
  <c r="E9652" i="13" s="1"/>
  <c r="E9653" i="13" s="1"/>
  <c r="E9654" i="13" s="1"/>
  <c r="E9655" i="13" s="1"/>
  <c r="E9656" i="13" s="1"/>
  <c r="E9657" i="13" s="1"/>
  <c r="E9658" i="13" s="1"/>
  <c r="E9659" i="13" s="1"/>
  <c r="E9660" i="13" s="1"/>
  <c r="E9661" i="13" s="1"/>
  <c r="E9662" i="13" s="1"/>
  <c r="E9663" i="13" s="1"/>
  <c r="E9664" i="13" s="1"/>
  <c r="E9665" i="13" s="1"/>
  <c r="E9666" i="13" s="1"/>
  <c r="E9667" i="13" s="1"/>
  <c r="E9668" i="13" s="1"/>
  <c r="E9669" i="13" s="1"/>
  <c r="E9670" i="13" s="1"/>
  <c r="E9671" i="13" s="1"/>
  <c r="E9672" i="13" s="1"/>
  <c r="E9673" i="13" s="1"/>
  <c r="E9674" i="13" s="1"/>
  <c r="E9675" i="13" s="1"/>
  <c r="E9676" i="13" s="1"/>
  <c r="E9677" i="13" s="1"/>
  <c r="E9678" i="13" s="1"/>
  <c r="E9679" i="13" s="1"/>
  <c r="E9680" i="13" s="1"/>
  <c r="E9681" i="13" s="1"/>
  <c r="E9682" i="13" s="1"/>
  <c r="E9683" i="13" s="1"/>
  <c r="E9684" i="13" s="1"/>
  <c r="E9685" i="13" s="1"/>
  <c r="E9686" i="13" s="1"/>
  <c r="E9687" i="13" s="1"/>
  <c r="E9688" i="13" s="1"/>
  <c r="E9689" i="13" s="1"/>
  <c r="E9690" i="13" s="1"/>
  <c r="E9691" i="13" s="1"/>
  <c r="E9692" i="13" s="1"/>
  <c r="E9693" i="13" s="1"/>
  <c r="E9694" i="13" s="1"/>
  <c r="E9695" i="13" s="1"/>
  <c r="E9696" i="13" s="1"/>
  <c r="E9697" i="13" s="1"/>
  <c r="E9698" i="13" s="1"/>
  <c r="E9699" i="13" s="1"/>
  <c r="E9700" i="13" s="1"/>
  <c r="E9701" i="13" s="1"/>
  <c r="E9702" i="13" s="1"/>
  <c r="E9703" i="13" s="1"/>
  <c r="E9704" i="13" s="1"/>
  <c r="E9705" i="13" s="1"/>
  <c r="E9706" i="13" s="1"/>
  <c r="E9707" i="13" s="1"/>
  <c r="E9708" i="13" s="1"/>
  <c r="E9709" i="13" s="1"/>
  <c r="E9710" i="13" s="1"/>
  <c r="E9711" i="13" s="1"/>
  <c r="E9712" i="13" s="1"/>
  <c r="E9713" i="13" s="1"/>
  <c r="E9714" i="13" s="1"/>
  <c r="E9715" i="13" s="1"/>
  <c r="E9716" i="13" s="1"/>
  <c r="E9717" i="13" s="1"/>
  <c r="E9718" i="13" s="1"/>
  <c r="E9719" i="13" s="1"/>
  <c r="E9720" i="13" s="1"/>
  <c r="E9721" i="13" s="1"/>
  <c r="E9722" i="13" s="1"/>
  <c r="E9723" i="13" s="1"/>
  <c r="E9724" i="13" s="1"/>
  <c r="E9725" i="13" s="1"/>
  <c r="E9726" i="13" s="1"/>
  <c r="E9727" i="13" s="1"/>
  <c r="E9728" i="13" s="1"/>
  <c r="E9729" i="13" s="1"/>
  <c r="E9730" i="13" s="1"/>
  <c r="E9731" i="13" s="1"/>
  <c r="E9732" i="13" s="1"/>
  <c r="E9733" i="13" s="1"/>
  <c r="E9734" i="13" s="1"/>
  <c r="E9735" i="13" s="1"/>
  <c r="E9736" i="13" s="1"/>
  <c r="E9737" i="13" s="1"/>
  <c r="E9738" i="13" s="1"/>
  <c r="E9739" i="13" s="1"/>
  <c r="E9740" i="13" s="1"/>
  <c r="E9741" i="13" s="1"/>
  <c r="E9742" i="13" s="1"/>
  <c r="E9743" i="13" s="1"/>
  <c r="E9744" i="13" s="1"/>
  <c r="E9745" i="13" s="1"/>
  <c r="E9746" i="13" s="1"/>
  <c r="E9747" i="13" s="1"/>
  <c r="E9748" i="13" s="1"/>
  <c r="E9749" i="13" s="1"/>
  <c r="E9750" i="13" s="1"/>
  <c r="E9751" i="13" s="1"/>
  <c r="E9752" i="13" s="1"/>
  <c r="E9753" i="13" s="1"/>
  <c r="E9754" i="13" s="1"/>
  <c r="E9755" i="13" s="1"/>
  <c r="E9756" i="13" s="1"/>
  <c r="E9757" i="13" s="1"/>
  <c r="E9758" i="13" s="1"/>
  <c r="E9759" i="13" s="1"/>
  <c r="E9760" i="13" s="1"/>
  <c r="E9761" i="13" s="1"/>
  <c r="E9762" i="13" s="1"/>
  <c r="E9763" i="13" s="1"/>
  <c r="E9764" i="13" s="1"/>
  <c r="E9765" i="13" s="1"/>
  <c r="E9766" i="13" s="1"/>
  <c r="E9767" i="13" s="1"/>
  <c r="E9768" i="13" s="1"/>
  <c r="E9769" i="13" s="1"/>
  <c r="E9770" i="13" s="1"/>
  <c r="E9771" i="13" s="1"/>
  <c r="E9772" i="13" s="1"/>
  <c r="E9773" i="13" s="1"/>
  <c r="E9774" i="13" s="1"/>
  <c r="E9775" i="13" s="1"/>
  <c r="E9776" i="13" s="1"/>
  <c r="E9777" i="13" s="1"/>
  <c r="E9778" i="13" s="1"/>
  <c r="E9779" i="13" s="1"/>
  <c r="E9780" i="13" s="1"/>
  <c r="E9781" i="13" s="1"/>
  <c r="E9782" i="13" s="1"/>
  <c r="E9783" i="13" s="1"/>
  <c r="E9784" i="13" s="1"/>
  <c r="E9785" i="13" s="1"/>
  <c r="E9786" i="13" s="1"/>
  <c r="E9787" i="13" s="1"/>
  <c r="E9788" i="13" s="1"/>
  <c r="E9789" i="13" s="1"/>
  <c r="E9790" i="13" s="1"/>
  <c r="E9791" i="13" s="1"/>
  <c r="E9792" i="13" s="1"/>
  <c r="E9793" i="13" s="1"/>
  <c r="E9794" i="13" s="1"/>
  <c r="E9795" i="13" s="1"/>
  <c r="E9796" i="13" s="1"/>
  <c r="E9797" i="13" s="1"/>
  <c r="E9798" i="13" s="1"/>
  <c r="E9799" i="13" s="1"/>
  <c r="E9800" i="13" s="1"/>
  <c r="E9801" i="13" s="1"/>
  <c r="E9802" i="13" s="1"/>
  <c r="E9803" i="13" s="1"/>
  <c r="E9804" i="13" s="1"/>
  <c r="E9805" i="13" s="1"/>
  <c r="E9806" i="13" s="1"/>
  <c r="E9807" i="13" s="1"/>
  <c r="E9808" i="13" s="1"/>
  <c r="E9809" i="13" s="1"/>
  <c r="E9810" i="13" s="1"/>
  <c r="E9811" i="13" s="1"/>
  <c r="E9812" i="13" s="1"/>
  <c r="E9813" i="13" s="1"/>
  <c r="E9814" i="13" s="1"/>
  <c r="E9815" i="13" s="1"/>
  <c r="E9816" i="13" s="1"/>
  <c r="E9817" i="13" s="1"/>
  <c r="E9818" i="13" s="1"/>
  <c r="E9819" i="13" s="1"/>
  <c r="E9820" i="13" s="1"/>
  <c r="E9821" i="13" s="1"/>
  <c r="E9822" i="13" s="1"/>
  <c r="E9823" i="13" s="1"/>
  <c r="E9824" i="13" s="1"/>
  <c r="E9825" i="13" s="1"/>
  <c r="E9826" i="13" s="1"/>
  <c r="E9827" i="13" s="1"/>
  <c r="E9828" i="13" s="1"/>
  <c r="E9829" i="13" s="1"/>
  <c r="E9830" i="13" s="1"/>
  <c r="E9831" i="13" s="1"/>
  <c r="E9832" i="13" s="1"/>
  <c r="E9833" i="13" s="1"/>
  <c r="E9834" i="13" s="1"/>
  <c r="E9835" i="13" s="1"/>
  <c r="E9836" i="13" s="1"/>
  <c r="E9837" i="13" s="1"/>
  <c r="E9838" i="13" s="1"/>
  <c r="E9839" i="13" s="1"/>
  <c r="E9840" i="13" s="1"/>
  <c r="E9841" i="13" s="1"/>
  <c r="E9842" i="13" s="1"/>
  <c r="E9843" i="13" s="1"/>
  <c r="E9844" i="13" s="1"/>
  <c r="E9845" i="13" s="1"/>
  <c r="E9846" i="13" s="1"/>
  <c r="E9847" i="13" s="1"/>
  <c r="E9848" i="13" s="1"/>
  <c r="E9849" i="13" s="1"/>
  <c r="E9850" i="13" s="1"/>
  <c r="E9851" i="13" s="1"/>
  <c r="E9852" i="13" s="1"/>
  <c r="E9853" i="13" s="1"/>
  <c r="E9854" i="13" s="1"/>
  <c r="E9855" i="13" s="1"/>
  <c r="E9856" i="13" s="1"/>
  <c r="E9857" i="13" s="1"/>
  <c r="E9858" i="13" s="1"/>
  <c r="E9859" i="13" s="1"/>
  <c r="E9860" i="13" s="1"/>
  <c r="E9861" i="13" s="1"/>
  <c r="E9862" i="13" s="1"/>
  <c r="E9863" i="13" s="1"/>
  <c r="E9864" i="13" s="1"/>
  <c r="E9865" i="13" s="1"/>
  <c r="E9866" i="13" s="1"/>
  <c r="E9867" i="13" s="1"/>
  <c r="E9868" i="13" s="1"/>
  <c r="E9869" i="13" s="1"/>
  <c r="E9870" i="13" s="1"/>
  <c r="E9871" i="13" s="1"/>
  <c r="E9872" i="13" s="1"/>
  <c r="E9873" i="13" s="1"/>
  <c r="E9874" i="13" s="1"/>
  <c r="E9875" i="13" s="1"/>
  <c r="E9876" i="13" s="1"/>
  <c r="E9877" i="13" s="1"/>
  <c r="E9878" i="13" s="1"/>
  <c r="E9879" i="13" s="1"/>
  <c r="E9880" i="13" s="1"/>
  <c r="E9881" i="13" s="1"/>
  <c r="E9882" i="13" s="1"/>
  <c r="E9883" i="13" s="1"/>
  <c r="E9884" i="13" s="1"/>
  <c r="E9885" i="13" s="1"/>
  <c r="E9886" i="13" s="1"/>
  <c r="E9887" i="13" s="1"/>
  <c r="E9888" i="13" s="1"/>
  <c r="E9889" i="13" s="1"/>
  <c r="E9890" i="13" s="1"/>
  <c r="E9891" i="13" s="1"/>
  <c r="E9892" i="13" s="1"/>
  <c r="E9893" i="13" s="1"/>
  <c r="E9894" i="13" s="1"/>
  <c r="E9895" i="13" s="1"/>
  <c r="E9896" i="13" s="1"/>
  <c r="E9897" i="13" s="1"/>
  <c r="E9898" i="13" s="1"/>
  <c r="E9899" i="13" s="1"/>
  <c r="E9900" i="13" s="1"/>
  <c r="E9901" i="13" s="1"/>
  <c r="E9902" i="13" s="1"/>
  <c r="E9903" i="13" s="1"/>
  <c r="E9904" i="13" s="1"/>
  <c r="E9905" i="13" s="1"/>
  <c r="E9906" i="13" s="1"/>
  <c r="E9907" i="13" s="1"/>
  <c r="E9908" i="13" s="1"/>
  <c r="E9909" i="13" s="1"/>
  <c r="E9910" i="13" s="1"/>
  <c r="E9911" i="13" s="1"/>
  <c r="E9912" i="13" s="1"/>
  <c r="E9913" i="13" s="1"/>
  <c r="E9914" i="13" s="1"/>
  <c r="E9915" i="13" s="1"/>
  <c r="E9916" i="13" s="1"/>
  <c r="E9917" i="13" s="1"/>
  <c r="E9918" i="13" s="1"/>
  <c r="E9919" i="13" s="1"/>
  <c r="E9920" i="13" s="1"/>
  <c r="E9921" i="13" s="1"/>
  <c r="E9922" i="13" s="1"/>
  <c r="E9923" i="13" s="1"/>
  <c r="E9924" i="13" s="1"/>
  <c r="E9925" i="13" s="1"/>
  <c r="E9926" i="13" s="1"/>
  <c r="E9927" i="13" s="1"/>
  <c r="E9928" i="13" s="1"/>
  <c r="E9929" i="13" s="1"/>
  <c r="E9930" i="13" s="1"/>
  <c r="E9931" i="13" s="1"/>
  <c r="E9932" i="13" s="1"/>
  <c r="E9933" i="13" s="1"/>
  <c r="E9934" i="13" s="1"/>
  <c r="E9935" i="13" s="1"/>
  <c r="E9936" i="13" s="1"/>
  <c r="E9937" i="13" s="1"/>
  <c r="E9938" i="13" s="1"/>
  <c r="E9939" i="13" s="1"/>
  <c r="E9940" i="13" s="1"/>
  <c r="E9941" i="13" s="1"/>
  <c r="E9942" i="13" s="1"/>
  <c r="E9943" i="13" s="1"/>
  <c r="E9944" i="13" s="1"/>
  <c r="E9945" i="13" s="1"/>
  <c r="E9946" i="13" s="1"/>
  <c r="E9947" i="13" s="1"/>
  <c r="E9948" i="13" s="1"/>
  <c r="E9949" i="13" s="1"/>
  <c r="E9950" i="13" s="1"/>
  <c r="E9951" i="13" s="1"/>
  <c r="E9952" i="13" s="1"/>
  <c r="E9953" i="13" s="1"/>
  <c r="E9954" i="13" s="1"/>
  <c r="E9955" i="13" s="1"/>
  <c r="E9956" i="13" s="1"/>
  <c r="E9957" i="13" s="1"/>
  <c r="E9958" i="13" s="1"/>
  <c r="E9959" i="13" s="1"/>
  <c r="E9960" i="13" s="1"/>
  <c r="E9961" i="13" s="1"/>
  <c r="E9962" i="13" s="1"/>
  <c r="E9963" i="13" s="1"/>
  <c r="E9964" i="13" s="1"/>
  <c r="E9965" i="13" s="1"/>
  <c r="E9966" i="13" s="1"/>
  <c r="E9967" i="13" s="1"/>
  <c r="E9968" i="13" s="1"/>
  <c r="E9969" i="13" s="1"/>
  <c r="E9970" i="13" s="1"/>
  <c r="E9971" i="13" s="1"/>
  <c r="E9972" i="13" s="1"/>
  <c r="E9973" i="13" s="1"/>
  <c r="E9974" i="13" s="1"/>
  <c r="E9975" i="13" s="1"/>
  <c r="E9976" i="13" s="1"/>
  <c r="E9977" i="13" s="1"/>
  <c r="E9978" i="13" s="1"/>
  <c r="E9979" i="13" s="1"/>
  <c r="E9980" i="13" s="1"/>
  <c r="E9981" i="13" s="1"/>
  <c r="E9982" i="13" s="1"/>
  <c r="E9983" i="13" s="1"/>
  <c r="E9984" i="13" s="1"/>
  <c r="E9985" i="13" s="1"/>
  <c r="E9986" i="13" s="1"/>
  <c r="E9987" i="13" s="1"/>
  <c r="E9988" i="13" s="1"/>
  <c r="E9989" i="13" s="1"/>
  <c r="E9990" i="13" s="1"/>
  <c r="E9991" i="13" s="1"/>
  <c r="E9992" i="13" s="1"/>
  <c r="E9993" i="13" s="1"/>
  <c r="E9994" i="13" s="1"/>
  <c r="E9995" i="13" s="1"/>
  <c r="E9996" i="13" s="1"/>
  <c r="E9997" i="13" s="1"/>
  <c r="E9998" i="13" s="1"/>
  <c r="E9999" i="13" s="1"/>
  <c r="E10000" i="13" s="1"/>
  <c r="E10001" i="13" s="1"/>
  <c r="E10002" i="13" s="1"/>
  <c r="E10003" i="13" s="1"/>
  <c r="E10004" i="13" s="1"/>
  <c r="E10005" i="13" s="1"/>
  <c r="E10006" i="13" s="1"/>
  <c r="E10007" i="13" s="1"/>
  <c r="E10008" i="13" s="1"/>
  <c r="E10009" i="13" s="1"/>
  <c r="E10010" i="13" s="1"/>
  <c r="E10011" i="13" s="1"/>
  <c r="E10012" i="13" s="1"/>
  <c r="E10013" i="13" s="1"/>
  <c r="E10014" i="13" s="1"/>
  <c r="E10015" i="13" s="1"/>
  <c r="E10016" i="13" s="1"/>
  <c r="E10017" i="13" s="1"/>
  <c r="E10018" i="13" s="1"/>
  <c r="E10019" i="13" s="1"/>
  <c r="E10020" i="13" s="1"/>
  <c r="E10021" i="13" s="1"/>
  <c r="E10022" i="13" s="1"/>
  <c r="E10023" i="13" s="1"/>
  <c r="E10024" i="13" s="1"/>
  <c r="E10025" i="13" s="1"/>
  <c r="E10026" i="13" s="1"/>
  <c r="E10027" i="13" s="1"/>
  <c r="E10028" i="13" s="1"/>
  <c r="E10029" i="13" s="1"/>
  <c r="E10030" i="13" s="1"/>
  <c r="E10031" i="13" s="1"/>
  <c r="E10032" i="13" s="1"/>
  <c r="E10033" i="13" s="1"/>
  <c r="E10034" i="13" s="1"/>
  <c r="E10035" i="13" s="1"/>
  <c r="E10036" i="13" s="1"/>
  <c r="E10037" i="13" s="1"/>
  <c r="E10038" i="13" s="1"/>
  <c r="E10039" i="13" s="1"/>
  <c r="E10040" i="13" s="1"/>
  <c r="E10041" i="13" s="1"/>
  <c r="E10042" i="13" s="1"/>
  <c r="E10043" i="13" s="1"/>
  <c r="E10044" i="13" s="1"/>
  <c r="E10045" i="13" s="1"/>
  <c r="E10046" i="13" s="1"/>
  <c r="E10047" i="13" s="1"/>
  <c r="E10048" i="13" s="1"/>
  <c r="E10049" i="13" s="1"/>
  <c r="E10050" i="13" s="1"/>
  <c r="E10051" i="13" s="1"/>
  <c r="E10052" i="13" s="1"/>
  <c r="E10053" i="13" s="1"/>
  <c r="E10054" i="13" s="1"/>
  <c r="E10055" i="13" s="1"/>
  <c r="E10056" i="13" s="1"/>
  <c r="E10057" i="13" s="1"/>
  <c r="E10058" i="13" s="1"/>
  <c r="E10059" i="13" s="1"/>
  <c r="E10060" i="13" s="1"/>
  <c r="E10061" i="13" s="1"/>
  <c r="E10062" i="13" s="1"/>
  <c r="E10063" i="13" s="1"/>
  <c r="E10064" i="13" s="1"/>
  <c r="E10065" i="13" s="1"/>
  <c r="E10066" i="13" s="1"/>
  <c r="E10067" i="13" s="1"/>
  <c r="E10068" i="13" s="1"/>
  <c r="E10069" i="13" s="1"/>
  <c r="E10070" i="13" s="1"/>
  <c r="E10071" i="13" s="1"/>
  <c r="E10072" i="13" s="1"/>
  <c r="E10073" i="13" s="1"/>
  <c r="E10074" i="13" s="1"/>
  <c r="E10075" i="13" s="1"/>
  <c r="E10076" i="13" s="1"/>
  <c r="E10077" i="13" s="1"/>
  <c r="E10078" i="13" s="1"/>
  <c r="E10079" i="13" s="1"/>
  <c r="E10080" i="13" s="1"/>
  <c r="E10081" i="13" s="1"/>
  <c r="E10082" i="13" s="1"/>
  <c r="E10083" i="13" s="1"/>
  <c r="E10084" i="13" s="1"/>
  <c r="E10085" i="13" s="1"/>
  <c r="E10086" i="13" s="1"/>
  <c r="E10087" i="13" s="1"/>
  <c r="E10088" i="13" s="1"/>
  <c r="E10089" i="13" s="1"/>
  <c r="E10090" i="13" s="1"/>
  <c r="E10091" i="13" s="1"/>
  <c r="E10092" i="13" s="1"/>
  <c r="E10093" i="13" s="1"/>
  <c r="E10094" i="13" s="1"/>
  <c r="E10095" i="13" s="1"/>
  <c r="E10096" i="13" s="1"/>
  <c r="E10097" i="13" s="1"/>
  <c r="E10098" i="13" s="1"/>
  <c r="E10099" i="13" s="1"/>
  <c r="E10100" i="13" s="1"/>
  <c r="E10101" i="13" s="1"/>
  <c r="E10102" i="13" s="1"/>
  <c r="E10103" i="13" s="1"/>
  <c r="E10104" i="13" s="1"/>
  <c r="E10105" i="13" s="1"/>
  <c r="E10106" i="13" s="1"/>
  <c r="E10107" i="13" s="1"/>
  <c r="E10108" i="13" s="1"/>
  <c r="E10109" i="13" s="1"/>
  <c r="E10110" i="13" s="1"/>
  <c r="E10111" i="13" s="1"/>
  <c r="E10112" i="13" s="1"/>
  <c r="E10113" i="13" s="1"/>
  <c r="E10114" i="13" s="1"/>
  <c r="E10115" i="13" s="1"/>
  <c r="E10116" i="13" s="1"/>
  <c r="E10117" i="13" s="1"/>
  <c r="E10118" i="13" s="1"/>
  <c r="E10119" i="13" s="1"/>
  <c r="E10120" i="13" s="1"/>
  <c r="E10121" i="13" s="1"/>
  <c r="E10122" i="13" s="1"/>
  <c r="E10123" i="13" s="1"/>
  <c r="E10124" i="13" s="1"/>
  <c r="E10125" i="13" s="1"/>
  <c r="E10126" i="13" s="1"/>
  <c r="E10127" i="13" s="1"/>
  <c r="E10128" i="13" s="1"/>
  <c r="E10129" i="13" s="1"/>
  <c r="E10130" i="13" s="1"/>
  <c r="E10131" i="13" s="1"/>
  <c r="E10132" i="13" s="1"/>
  <c r="E10133" i="13" s="1"/>
  <c r="E10134" i="13" s="1"/>
  <c r="E10135" i="13" s="1"/>
  <c r="E10136" i="13" s="1"/>
  <c r="E10137" i="13" s="1"/>
  <c r="E10138" i="13" s="1"/>
  <c r="E10139" i="13" s="1"/>
  <c r="E10140" i="13" s="1"/>
  <c r="E10141" i="13" s="1"/>
  <c r="E10142" i="13" s="1"/>
  <c r="E10143" i="13" s="1"/>
  <c r="E10144" i="13" s="1"/>
  <c r="E10145" i="13" s="1"/>
  <c r="E10146" i="13" s="1"/>
  <c r="E10147" i="13" s="1"/>
  <c r="E10148" i="13" s="1"/>
  <c r="E10149" i="13" s="1"/>
  <c r="E10150" i="13" s="1"/>
  <c r="E10151" i="13" s="1"/>
  <c r="E10152" i="13" s="1"/>
  <c r="E10153" i="13" s="1"/>
  <c r="E10154" i="13" s="1"/>
  <c r="E10155" i="13" s="1"/>
  <c r="E10156" i="13" s="1"/>
  <c r="E10157" i="13" s="1"/>
  <c r="E10158" i="13" s="1"/>
  <c r="E10159" i="13" s="1"/>
  <c r="E10160" i="13" s="1"/>
  <c r="E10161" i="13" s="1"/>
  <c r="E10162" i="13" s="1"/>
  <c r="E10163" i="13" s="1"/>
  <c r="E10164" i="13" s="1"/>
  <c r="E10165" i="13" s="1"/>
  <c r="E10166" i="13" s="1"/>
  <c r="E10167" i="13" s="1"/>
  <c r="E10168" i="13" s="1"/>
  <c r="E10169" i="13" s="1"/>
  <c r="E10170" i="13" s="1"/>
  <c r="E10171" i="13" s="1"/>
  <c r="E10172" i="13" s="1"/>
  <c r="E10173" i="13" s="1"/>
  <c r="E10174" i="13" s="1"/>
  <c r="E10175" i="13" s="1"/>
  <c r="E10176" i="13" s="1"/>
  <c r="E10177" i="13" s="1"/>
  <c r="E10178" i="13" s="1"/>
  <c r="E10179" i="13" s="1"/>
  <c r="E10180" i="13" s="1"/>
  <c r="E10181" i="13" s="1"/>
  <c r="E10182" i="13" s="1"/>
  <c r="E10183" i="13" s="1"/>
  <c r="E10184" i="13" s="1"/>
  <c r="E10185" i="13" s="1"/>
  <c r="E10186" i="13" s="1"/>
  <c r="E10187" i="13" s="1"/>
  <c r="E10188" i="13" s="1"/>
  <c r="E10189" i="13" s="1"/>
  <c r="E10190" i="13" s="1"/>
  <c r="E10191" i="13" s="1"/>
  <c r="E10192" i="13" s="1"/>
  <c r="E10193" i="13" s="1"/>
  <c r="E10194" i="13" s="1"/>
  <c r="E10195" i="13" s="1"/>
  <c r="E10196" i="13" s="1"/>
  <c r="E10197" i="13" s="1"/>
  <c r="E10198" i="13" s="1"/>
  <c r="E10199" i="13" s="1"/>
  <c r="E10200" i="13" s="1"/>
  <c r="E10201" i="13" s="1"/>
  <c r="E10202" i="13" s="1"/>
  <c r="E10203" i="13" s="1"/>
  <c r="E10204" i="13" s="1"/>
  <c r="E10205" i="13" s="1"/>
  <c r="E10206" i="13" s="1"/>
  <c r="E10207" i="13" s="1"/>
  <c r="E10208" i="13" s="1"/>
  <c r="E10209" i="13" s="1"/>
  <c r="E10210" i="13" s="1"/>
  <c r="E10211" i="13" s="1"/>
  <c r="E10212" i="13" s="1"/>
  <c r="E10213" i="13" s="1"/>
  <c r="E10214" i="13" s="1"/>
  <c r="E10215" i="13" s="1"/>
  <c r="E10216" i="13" s="1"/>
  <c r="E10217" i="13" s="1"/>
  <c r="E10218" i="13" s="1"/>
  <c r="E10219" i="13" s="1"/>
  <c r="E10220" i="13" s="1"/>
  <c r="E10221" i="13" s="1"/>
  <c r="E10222" i="13" s="1"/>
  <c r="E10223" i="13" s="1"/>
  <c r="E10224" i="13" s="1"/>
  <c r="E10225" i="13" s="1"/>
  <c r="E10226" i="13" s="1"/>
  <c r="E10227" i="13" s="1"/>
  <c r="E10228" i="13" s="1"/>
  <c r="E10229" i="13" s="1"/>
  <c r="E10230" i="13" s="1"/>
  <c r="E10231" i="13" s="1"/>
  <c r="E10232" i="13" s="1"/>
  <c r="E10233" i="13" s="1"/>
  <c r="E10234" i="13" s="1"/>
  <c r="E10235" i="13" s="1"/>
  <c r="E10236" i="13" s="1"/>
  <c r="E10237" i="13" s="1"/>
  <c r="E10238" i="13" s="1"/>
  <c r="E10239" i="13" s="1"/>
  <c r="E10240" i="13" s="1"/>
  <c r="E10241" i="13" s="1"/>
  <c r="E10242" i="13" s="1"/>
  <c r="E10243" i="13" s="1"/>
  <c r="E10244" i="13" s="1"/>
  <c r="E10245" i="13" s="1"/>
  <c r="E10246" i="13" s="1"/>
  <c r="E10247" i="13" s="1"/>
  <c r="E10248" i="13" s="1"/>
  <c r="E10249" i="13" s="1"/>
  <c r="E10250" i="13" s="1"/>
  <c r="E10251" i="13" s="1"/>
  <c r="E10252" i="13" s="1"/>
  <c r="E10253" i="13" s="1"/>
  <c r="E10254" i="13" s="1"/>
  <c r="E10255" i="13" s="1"/>
  <c r="E10256" i="13" s="1"/>
  <c r="E10257" i="13" s="1"/>
  <c r="E10258" i="13" s="1"/>
  <c r="E10259" i="13" s="1"/>
  <c r="E10260" i="13" s="1"/>
  <c r="E10261" i="13" s="1"/>
  <c r="E10262" i="13" s="1"/>
  <c r="E10263" i="13" s="1"/>
  <c r="E10264" i="13" s="1"/>
  <c r="E10265" i="13" s="1"/>
  <c r="E10266" i="13" s="1"/>
  <c r="E10267" i="13" s="1"/>
  <c r="E10268" i="13" s="1"/>
  <c r="E10269" i="13" s="1"/>
  <c r="E10270" i="13" s="1"/>
  <c r="E10271" i="13" s="1"/>
  <c r="E10272" i="13" s="1"/>
  <c r="E10273" i="13" s="1"/>
  <c r="E10274" i="13" s="1"/>
  <c r="E10275" i="13" s="1"/>
  <c r="E10276" i="13" s="1"/>
  <c r="E10277" i="13" s="1"/>
  <c r="E10278" i="13" s="1"/>
  <c r="E10279" i="13" s="1"/>
  <c r="E10280" i="13" s="1"/>
  <c r="E10281" i="13" s="1"/>
  <c r="E10282" i="13" s="1"/>
  <c r="E10283" i="13" s="1"/>
  <c r="E10284" i="13" s="1"/>
  <c r="E10285" i="13" s="1"/>
  <c r="E10286" i="13" s="1"/>
  <c r="E10287" i="13" s="1"/>
  <c r="E10288" i="13" s="1"/>
  <c r="E10289" i="13" s="1"/>
  <c r="E10290" i="13" s="1"/>
  <c r="E10291" i="13" s="1"/>
  <c r="E10292" i="13" s="1"/>
  <c r="E10293" i="13" s="1"/>
  <c r="E10294" i="13" s="1"/>
  <c r="E10295" i="13" s="1"/>
  <c r="E10296" i="13" s="1"/>
  <c r="E10297" i="13" s="1"/>
  <c r="E10298" i="13" s="1"/>
  <c r="E10299" i="13" s="1"/>
  <c r="E10300" i="13" s="1"/>
  <c r="E10301" i="13" s="1"/>
  <c r="E10302" i="13" s="1"/>
  <c r="E10303" i="13" s="1"/>
  <c r="E10304" i="13" s="1"/>
  <c r="E10305" i="13" s="1"/>
  <c r="E10306" i="13" s="1"/>
  <c r="E10307" i="13" s="1"/>
  <c r="E10308" i="13" s="1"/>
  <c r="E10309" i="13" s="1"/>
  <c r="E10310" i="13" s="1"/>
  <c r="E10311" i="13" s="1"/>
  <c r="E10312" i="13" s="1"/>
  <c r="E10313" i="13" s="1"/>
  <c r="E10314" i="13" s="1"/>
  <c r="E10315" i="13" s="1"/>
  <c r="E10316" i="13" s="1"/>
  <c r="E10317" i="13" s="1"/>
  <c r="E10318" i="13" s="1"/>
  <c r="E10319" i="13" s="1"/>
  <c r="E10320" i="13" s="1"/>
  <c r="E10321" i="13" s="1"/>
  <c r="E10322" i="13" s="1"/>
  <c r="E10323" i="13" s="1"/>
  <c r="E10324" i="13" s="1"/>
  <c r="E10325" i="13" s="1"/>
  <c r="E10326" i="13" s="1"/>
  <c r="E10327" i="13" s="1"/>
  <c r="E10328" i="13" s="1"/>
  <c r="E10329" i="13" s="1"/>
  <c r="E10330" i="13" s="1"/>
  <c r="E10331" i="13" s="1"/>
  <c r="E10332" i="13" s="1"/>
  <c r="E10333" i="13" s="1"/>
  <c r="E10334" i="13" s="1"/>
  <c r="E10335" i="13" s="1"/>
  <c r="E10336" i="13" s="1"/>
  <c r="E10337" i="13" s="1"/>
  <c r="E10338" i="13" s="1"/>
  <c r="E10339" i="13" s="1"/>
  <c r="E10340" i="13" s="1"/>
  <c r="E10341" i="13" s="1"/>
  <c r="E10342" i="13" s="1"/>
  <c r="E10343" i="13" s="1"/>
  <c r="E10344" i="13" s="1"/>
  <c r="E10345" i="13" s="1"/>
  <c r="E10346" i="13" s="1"/>
  <c r="E10347" i="13" s="1"/>
  <c r="E10348" i="13" s="1"/>
  <c r="E10349" i="13" s="1"/>
  <c r="E10350" i="13" s="1"/>
  <c r="E10351" i="13" s="1"/>
  <c r="E10352" i="13" s="1"/>
  <c r="E10353" i="13" s="1"/>
  <c r="E10354" i="13" s="1"/>
  <c r="E10355" i="13" s="1"/>
  <c r="E10356" i="13" s="1"/>
  <c r="E10357" i="13" s="1"/>
  <c r="E10358" i="13" s="1"/>
  <c r="E10359" i="13" s="1"/>
  <c r="E10360" i="13" s="1"/>
  <c r="E10361" i="13" s="1"/>
  <c r="E10362" i="13" s="1"/>
  <c r="E10363" i="13" s="1"/>
  <c r="E10364" i="13" s="1"/>
  <c r="E10365" i="13" s="1"/>
  <c r="E10366" i="13" s="1"/>
  <c r="E10367" i="13" s="1"/>
  <c r="E10368" i="13" s="1"/>
  <c r="E10369" i="13" s="1"/>
  <c r="E10370" i="13" s="1"/>
  <c r="E10371" i="13" s="1"/>
  <c r="E10372" i="13" s="1"/>
  <c r="E10373" i="13" s="1"/>
  <c r="E10374" i="13" s="1"/>
  <c r="E10375" i="13" s="1"/>
  <c r="E10376" i="13" s="1"/>
  <c r="E10377" i="13" s="1"/>
  <c r="E10378" i="13" s="1"/>
  <c r="E10379" i="13" s="1"/>
  <c r="E10380" i="13" s="1"/>
  <c r="E10381" i="13" s="1"/>
  <c r="E10382" i="13" s="1"/>
  <c r="E10383" i="13" s="1"/>
  <c r="E10384" i="13" s="1"/>
  <c r="E10385" i="13" s="1"/>
  <c r="E10386" i="13" s="1"/>
  <c r="E10387" i="13" s="1"/>
  <c r="E10388" i="13" s="1"/>
  <c r="E10389" i="13" s="1"/>
  <c r="E10390" i="13" s="1"/>
  <c r="E10391" i="13" s="1"/>
  <c r="E10392" i="13" s="1"/>
  <c r="E10393" i="13" s="1"/>
  <c r="E10394" i="13" s="1"/>
  <c r="E10395" i="13" s="1"/>
  <c r="E10396" i="13" s="1"/>
  <c r="E10397" i="13" s="1"/>
  <c r="E10398" i="13" s="1"/>
  <c r="E10399" i="13" s="1"/>
  <c r="E10400" i="13" s="1"/>
  <c r="E10401" i="13" s="1"/>
  <c r="E10402" i="13" s="1"/>
  <c r="E10403" i="13" s="1"/>
  <c r="E10404" i="13" s="1"/>
  <c r="E10405" i="13" s="1"/>
  <c r="E10406" i="13" s="1"/>
  <c r="E10407" i="13" s="1"/>
  <c r="E10408" i="13" s="1"/>
  <c r="E10409" i="13" s="1"/>
  <c r="E10410" i="13" s="1"/>
  <c r="E10411" i="13" s="1"/>
  <c r="E10412" i="13" s="1"/>
  <c r="E10413" i="13" s="1"/>
  <c r="E10414" i="13" s="1"/>
  <c r="E10415" i="13" s="1"/>
  <c r="E6000" i="13"/>
  <c r="E6001" i="13" s="1"/>
  <c r="E6002" i="13" s="1"/>
  <c r="E6003" i="13" s="1"/>
  <c r="E6004" i="13" s="1"/>
  <c r="E6005" i="13" s="1"/>
  <c r="E6006" i="13" s="1"/>
  <c r="E6007" i="13" s="1"/>
  <c r="E6008" i="13" s="1"/>
  <c r="E6009" i="13" s="1"/>
  <c r="E6010" i="13" s="1"/>
  <c r="E6011" i="13" s="1"/>
  <c r="E6012" i="13" s="1"/>
  <c r="E6013" i="13" s="1"/>
  <c r="E6014" i="13" s="1"/>
  <c r="E6015" i="13" s="1"/>
  <c r="E6016" i="13" s="1"/>
  <c r="E6017" i="13" s="1"/>
  <c r="E6018" i="13" s="1"/>
  <c r="E6019" i="13" s="1"/>
  <c r="E6020" i="13" s="1"/>
  <c r="E6021" i="13" s="1"/>
  <c r="E6022" i="13" s="1"/>
  <c r="E6023" i="13" s="1"/>
  <c r="E6024" i="13" s="1"/>
  <c r="E6025" i="13" s="1"/>
  <c r="E6026" i="13" s="1"/>
  <c r="E6027" i="13" s="1"/>
  <c r="E6028" i="13" s="1"/>
  <c r="E6029" i="13" s="1"/>
  <c r="E5970" i="13"/>
  <c r="E5971" i="13" s="1"/>
  <c r="E5972" i="13" s="1"/>
  <c r="E5973" i="13" s="1"/>
  <c r="E5974" i="13" s="1"/>
  <c r="E5975" i="13" s="1"/>
  <c r="E5976" i="13" s="1"/>
  <c r="E5977" i="13" s="1"/>
  <c r="E5978" i="13" s="1"/>
  <c r="E5979" i="13" s="1"/>
  <c r="E5980" i="13" s="1"/>
  <c r="E5981" i="13" s="1"/>
  <c r="E5982" i="13" s="1"/>
  <c r="E5983" i="13" s="1"/>
  <c r="E5984" i="13" s="1"/>
  <c r="E5985" i="13" s="1"/>
  <c r="E5986" i="13" s="1"/>
  <c r="E5987" i="13" s="1"/>
  <c r="E5988" i="13" s="1"/>
  <c r="E5989" i="13" s="1"/>
  <c r="E5990" i="13" s="1"/>
  <c r="E5991" i="13" s="1"/>
  <c r="E5992" i="13" s="1"/>
  <c r="E5993" i="13" s="1"/>
  <c r="E5994" i="13" s="1"/>
  <c r="E5995" i="13" s="1"/>
  <c r="E5996" i="13" s="1"/>
  <c r="E5997" i="13" s="1"/>
  <c r="E5998" i="13" s="1"/>
  <c r="E5939" i="13"/>
  <c r="E5940" i="13" s="1"/>
  <c r="E5941" i="13" s="1"/>
  <c r="E5942" i="13" s="1"/>
  <c r="E5943" i="13" s="1"/>
  <c r="E5944" i="13" s="1"/>
  <c r="E5945" i="13" s="1"/>
  <c r="E5946" i="13" s="1"/>
  <c r="E5947" i="13" s="1"/>
  <c r="E5948" i="13" s="1"/>
  <c r="E5949" i="13" s="1"/>
  <c r="E5950" i="13" s="1"/>
  <c r="E5951" i="13" s="1"/>
  <c r="E5952" i="13" s="1"/>
  <c r="E5953" i="13" s="1"/>
  <c r="E5954" i="13" s="1"/>
  <c r="E5955" i="13" s="1"/>
  <c r="E5956" i="13" s="1"/>
  <c r="E5957" i="13" s="1"/>
  <c r="E5958" i="13" s="1"/>
  <c r="E5959" i="13" s="1"/>
  <c r="E5960" i="13" s="1"/>
  <c r="E5961" i="13" s="1"/>
  <c r="E5962" i="13" s="1"/>
  <c r="E5963" i="13" s="1"/>
  <c r="E5964" i="13" s="1"/>
  <c r="E5965" i="13" s="1"/>
  <c r="E5966" i="13" s="1"/>
  <c r="E5967" i="13" s="1"/>
  <c r="E5968" i="13" s="1"/>
  <c r="E5909" i="13"/>
  <c r="E5910" i="13" s="1"/>
  <c r="E5911" i="13" s="1"/>
  <c r="E5912" i="13" s="1"/>
  <c r="E5913" i="13" s="1"/>
  <c r="E5914" i="13" s="1"/>
  <c r="E5915" i="13" s="1"/>
  <c r="E5916" i="13" s="1"/>
  <c r="E5917" i="13" s="1"/>
  <c r="E5918" i="13" s="1"/>
  <c r="E5919" i="13" s="1"/>
  <c r="E5920" i="13" s="1"/>
  <c r="E5921" i="13" s="1"/>
  <c r="E5922" i="13" s="1"/>
  <c r="E5923" i="13" s="1"/>
  <c r="E5924" i="13" s="1"/>
  <c r="E5925" i="13" s="1"/>
  <c r="E5926" i="13" s="1"/>
  <c r="E5927" i="13" s="1"/>
  <c r="E5928" i="13" s="1"/>
  <c r="E5929" i="13" s="1"/>
  <c r="E5930" i="13" s="1"/>
  <c r="E5931" i="13" s="1"/>
  <c r="E5932" i="13" s="1"/>
  <c r="E5933" i="13" s="1"/>
  <c r="E5934" i="13" s="1"/>
  <c r="E5935" i="13" s="1"/>
  <c r="E5936" i="13" s="1"/>
  <c r="E5937" i="13" s="1"/>
  <c r="E5878" i="13"/>
  <c r="E5879" i="13" s="1"/>
  <c r="E5880" i="13" s="1"/>
  <c r="E5881" i="13" s="1"/>
  <c r="E5882" i="13" s="1"/>
  <c r="E5883" i="13" s="1"/>
  <c r="E5884" i="13" s="1"/>
  <c r="E5885" i="13" s="1"/>
  <c r="E5886" i="13" s="1"/>
  <c r="E5887" i="13" s="1"/>
  <c r="E5888" i="13" s="1"/>
  <c r="E5889" i="13" s="1"/>
  <c r="E5890" i="13" s="1"/>
  <c r="E5891" i="13" s="1"/>
  <c r="E5892" i="13" s="1"/>
  <c r="E5893" i="13" s="1"/>
  <c r="E5894" i="13" s="1"/>
  <c r="E5895" i="13" s="1"/>
  <c r="E5896" i="13" s="1"/>
  <c r="E5897" i="13" s="1"/>
  <c r="E5898" i="13" s="1"/>
  <c r="E5899" i="13" s="1"/>
  <c r="E5900" i="13" s="1"/>
  <c r="E5901" i="13" s="1"/>
  <c r="E5902" i="13" s="1"/>
  <c r="E5903" i="13" s="1"/>
  <c r="E5904" i="13" s="1"/>
  <c r="E5905" i="13" s="1"/>
  <c r="E5906" i="13" s="1"/>
  <c r="E5907" i="13" s="1"/>
  <c r="E5847" i="13"/>
  <c r="E5848" i="13" s="1"/>
  <c r="E5849" i="13" s="1"/>
  <c r="E5850" i="13" s="1"/>
  <c r="E5851" i="13" s="1"/>
  <c r="E5852" i="13" s="1"/>
  <c r="E5853" i="13" s="1"/>
  <c r="E5854" i="13" s="1"/>
  <c r="E5855" i="13" s="1"/>
  <c r="E5856" i="13" s="1"/>
  <c r="E5857" i="13" s="1"/>
  <c r="E5858" i="13" s="1"/>
  <c r="E5859" i="13" s="1"/>
  <c r="E5860" i="13" s="1"/>
  <c r="E5861" i="13" s="1"/>
  <c r="E5862" i="13" s="1"/>
  <c r="E5863" i="13" s="1"/>
  <c r="E5864" i="13" s="1"/>
  <c r="E5865" i="13" s="1"/>
  <c r="E5866" i="13" s="1"/>
  <c r="E5867" i="13" s="1"/>
  <c r="E5868" i="13" s="1"/>
  <c r="E5869" i="13" s="1"/>
  <c r="E5870" i="13" s="1"/>
  <c r="E5871" i="13" s="1"/>
  <c r="E5872" i="13" s="1"/>
  <c r="E5873" i="13" s="1"/>
  <c r="E5874" i="13" s="1"/>
  <c r="E5875" i="13" s="1"/>
  <c r="E5876" i="13" s="1"/>
  <c r="E5786" i="13"/>
  <c r="E5787" i="13" s="1"/>
  <c r="E5788" i="13" s="1"/>
  <c r="E5789" i="13" s="1"/>
  <c r="E5790" i="13" s="1"/>
  <c r="E5791" i="13" s="1"/>
  <c r="E5792" i="13" s="1"/>
  <c r="E5793" i="13" s="1"/>
  <c r="E5794" i="13" s="1"/>
  <c r="E5795" i="13" s="1"/>
  <c r="E5796" i="13" s="1"/>
  <c r="E5797" i="13" s="1"/>
  <c r="E5798" i="13" s="1"/>
  <c r="E5799" i="13" s="1"/>
  <c r="E5800" i="13" s="1"/>
  <c r="E5801" i="13" s="1"/>
  <c r="E5802" i="13" s="1"/>
  <c r="E5803" i="13" s="1"/>
  <c r="E5804" i="13" s="1"/>
  <c r="E5805" i="13" s="1"/>
  <c r="E5806" i="13" s="1"/>
  <c r="E5807" i="13" s="1"/>
  <c r="E5808" i="13" s="1"/>
  <c r="E5809" i="13" s="1"/>
  <c r="E5810" i="13" s="1"/>
  <c r="E5811" i="13" s="1"/>
  <c r="E5812" i="13" s="1"/>
  <c r="E5813" i="13" s="1"/>
  <c r="E5814" i="13" s="1"/>
  <c r="E5815" i="13" s="1"/>
  <c r="E5765" i="13"/>
  <c r="E5766" i="13"/>
  <c r="E5767" i="13" s="1"/>
  <c r="E5768" i="13" s="1"/>
  <c r="E5769" i="13" s="1"/>
  <c r="E5770" i="13" s="1"/>
  <c r="E5771" i="13" s="1"/>
  <c r="E5772" i="13" s="1"/>
  <c r="E5773" i="13" s="1"/>
  <c r="E5774" i="13" s="1"/>
  <c r="E5775" i="13" s="1"/>
  <c r="E5776" i="13" s="1"/>
  <c r="E5777" i="13" s="1"/>
  <c r="E5778" i="13" s="1"/>
  <c r="E5779" i="13" s="1"/>
  <c r="E5780" i="13" s="1"/>
  <c r="E5781" i="13" s="1"/>
  <c r="E5782" i="13" s="1"/>
  <c r="E5783" i="13" s="1"/>
  <c r="E5784" i="13" s="1"/>
  <c r="E5764" i="13"/>
  <c r="E5189" i="13"/>
  <c r="E5190" i="13" s="1"/>
  <c r="E5191" i="13" s="1"/>
  <c r="E5192" i="13" s="1"/>
  <c r="E5193" i="13" s="1"/>
  <c r="E5194" i="13" s="1"/>
  <c r="E5195" i="13" s="1"/>
  <c r="E5196" i="13" s="1"/>
  <c r="E5197" i="13" s="1"/>
  <c r="E5198" i="13" s="1"/>
  <c r="E5199" i="13" s="1"/>
  <c r="E5200" i="13" s="1"/>
  <c r="E5201" i="13" s="1"/>
  <c r="E5202" i="13" s="1"/>
  <c r="E5203" i="13" s="1"/>
  <c r="E5204" i="13" s="1"/>
  <c r="E5205" i="13" s="1"/>
  <c r="E5206" i="13" s="1"/>
  <c r="E5207" i="13" s="1"/>
  <c r="E5208" i="13" s="1"/>
  <c r="E5209" i="13" s="1"/>
  <c r="E5210" i="13" s="1"/>
  <c r="E5211" i="13" s="1"/>
  <c r="E5212" i="13" s="1"/>
  <c r="E5213" i="13" s="1"/>
  <c r="E5214" i="13" s="1"/>
  <c r="E5215" i="13" s="1"/>
  <c r="E5216" i="13" s="1"/>
  <c r="E5217" i="13" s="1"/>
  <c r="E5218" i="13" s="1"/>
  <c r="E5219" i="13" s="1"/>
  <c r="E5220" i="13" s="1"/>
  <c r="E5221" i="13" s="1"/>
  <c r="E5222" i="13" s="1"/>
  <c r="E5223" i="13" s="1"/>
  <c r="E5224" i="13" s="1"/>
  <c r="E5225" i="13" s="1"/>
  <c r="E5226" i="13" s="1"/>
  <c r="E5227" i="13" s="1"/>
  <c r="E5228" i="13" s="1"/>
  <c r="E5229" i="13" s="1"/>
  <c r="E5230" i="13" s="1"/>
  <c r="E5231" i="13" s="1"/>
  <c r="E5232" i="13" s="1"/>
  <c r="E5233" i="13" s="1"/>
  <c r="E5234" i="13" s="1"/>
  <c r="E5235" i="13" s="1"/>
  <c r="E5236" i="13" s="1"/>
  <c r="E5237" i="13" s="1"/>
  <c r="E5238" i="13" s="1"/>
  <c r="E5239" i="13" s="1"/>
  <c r="E5240" i="13" s="1"/>
  <c r="E5241" i="13" s="1"/>
  <c r="E5242" i="13" s="1"/>
  <c r="E5243" i="13" s="1"/>
  <c r="E5244" i="13" s="1"/>
  <c r="E5245" i="13" s="1"/>
  <c r="E5246" i="13" s="1"/>
  <c r="E5247" i="13" s="1"/>
  <c r="E5248" i="13" s="1"/>
  <c r="E5249" i="13" s="1"/>
  <c r="E5250" i="13" s="1"/>
  <c r="E5251" i="13" s="1"/>
  <c r="E5252" i="13" s="1"/>
  <c r="E5253" i="13" s="1"/>
  <c r="E5254" i="13" s="1"/>
  <c r="E5255" i="13" s="1"/>
  <c r="E5256" i="13" s="1"/>
  <c r="E5257" i="13" s="1"/>
  <c r="E5258" i="13" s="1"/>
  <c r="E5259" i="13" s="1"/>
  <c r="E5260" i="13" s="1"/>
  <c r="E5261" i="13" s="1"/>
  <c r="E5262" i="13" s="1"/>
  <c r="E5263" i="13" s="1"/>
  <c r="E5264" i="13" s="1"/>
  <c r="E5265" i="13" s="1"/>
  <c r="E5266" i="13" s="1"/>
  <c r="E5267" i="13" s="1"/>
  <c r="E5268" i="13" s="1"/>
  <c r="E5269" i="13" s="1"/>
  <c r="E5270" i="13" s="1"/>
  <c r="E5271" i="13" s="1"/>
  <c r="E5272" i="13" s="1"/>
  <c r="E5273" i="13" s="1"/>
  <c r="E5274" i="13" s="1"/>
  <c r="E5275" i="13" s="1"/>
  <c r="E5276" i="13" s="1"/>
  <c r="E5277" i="13" s="1"/>
  <c r="E5278" i="13" s="1"/>
  <c r="E5279" i="13" s="1"/>
  <c r="E5280" i="13" s="1"/>
  <c r="E5281" i="13" s="1"/>
  <c r="E5282" i="13" s="1"/>
  <c r="E5283" i="13" s="1"/>
  <c r="E5284" i="13" s="1"/>
  <c r="E5285" i="13" s="1"/>
  <c r="E5286" i="13" s="1"/>
  <c r="E5287" i="13" s="1"/>
  <c r="E5288" i="13" s="1"/>
  <c r="E5289" i="13" s="1"/>
  <c r="E5290" i="13" s="1"/>
  <c r="E5291" i="13" s="1"/>
  <c r="E5292" i="13" s="1"/>
  <c r="E5293" i="13" s="1"/>
  <c r="E5294" i="13" s="1"/>
  <c r="E5295" i="13" s="1"/>
  <c r="E5296" i="13" s="1"/>
  <c r="E5297" i="13" s="1"/>
  <c r="E5298" i="13" s="1"/>
  <c r="E5299" i="13" s="1"/>
  <c r="E5300" i="13" s="1"/>
  <c r="E5301" i="13" s="1"/>
  <c r="E5302" i="13" s="1"/>
  <c r="E5303" i="13" s="1"/>
  <c r="E5304" i="13" s="1"/>
  <c r="E5305" i="13" s="1"/>
  <c r="E5306" i="13" s="1"/>
  <c r="E5307" i="13" s="1"/>
  <c r="E5308" i="13" s="1"/>
  <c r="E5309" i="13" s="1"/>
  <c r="E5310" i="13" s="1"/>
  <c r="E5311" i="13" s="1"/>
  <c r="E5312" i="13" s="1"/>
  <c r="E5313" i="13" s="1"/>
  <c r="E5314" i="13" s="1"/>
  <c r="E5315" i="13" s="1"/>
  <c r="E5316" i="13" s="1"/>
  <c r="E5317" i="13" s="1"/>
  <c r="E5318" i="13" s="1"/>
  <c r="E5319" i="13" s="1"/>
  <c r="E5320" i="13" s="1"/>
  <c r="E5321" i="13" s="1"/>
  <c r="E5322" i="13" s="1"/>
  <c r="E5323" i="13" s="1"/>
  <c r="E5324" i="13" s="1"/>
  <c r="E5325" i="13" s="1"/>
  <c r="E5326" i="13" s="1"/>
  <c r="E5327" i="13" s="1"/>
  <c r="E5328" i="13" s="1"/>
  <c r="E5329" i="13" s="1"/>
  <c r="E5330" i="13" s="1"/>
  <c r="E5331" i="13" s="1"/>
  <c r="E5332" i="13" s="1"/>
  <c r="E5333" i="13" s="1"/>
  <c r="E5334" i="13" s="1"/>
  <c r="E5335" i="13" s="1"/>
  <c r="E5336" i="13" s="1"/>
  <c r="E5337" i="13" s="1"/>
  <c r="E5338" i="13" s="1"/>
  <c r="E5339" i="13" s="1"/>
  <c r="E5340" i="13" s="1"/>
  <c r="E5341" i="13" s="1"/>
  <c r="E5342" i="13" s="1"/>
  <c r="E5343" i="13" s="1"/>
  <c r="E5344" i="13" s="1"/>
  <c r="E5345" i="13" s="1"/>
  <c r="E5346" i="13" s="1"/>
  <c r="E5347" i="13" s="1"/>
  <c r="E5348" i="13" s="1"/>
  <c r="E5349" i="13" s="1"/>
  <c r="E5350" i="13" s="1"/>
  <c r="E5351" i="13" s="1"/>
  <c r="E5352" i="13" s="1"/>
  <c r="E5353" i="13" s="1"/>
  <c r="E5354" i="13" s="1"/>
  <c r="E5355" i="13" s="1"/>
  <c r="E5356" i="13" s="1"/>
  <c r="E5357" i="13" s="1"/>
  <c r="E5358" i="13" s="1"/>
  <c r="E5359" i="13" s="1"/>
  <c r="E5360" i="13" s="1"/>
  <c r="E5361" i="13" s="1"/>
  <c r="E5362" i="13" s="1"/>
  <c r="E5363" i="13" s="1"/>
  <c r="E5364" i="13" s="1"/>
  <c r="E5365" i="13" s="1"/>
  <c r="E5366" i="13" s="1"/>
  <c r="E5367" i="13" s="1"/>
  <c r="E5368" i="13" s="1"/>
  <c r="E5369" i="13" s="1"/>
  <c r="E5370" i="13" s="1"/>
  <c r="E5371" i="13" s="1"/>
  <c r="E5372" i="13" s="1"/>
  <c r="E5373" i="13" s="1"/>
  <c r="E5374" i="13" s="1"/>
  <c r="E5375" i="13" s="1"/>
  <c r="E5376" i="13" s="1"/>
  <c r="E5377" i="13" s="1"/>
  <c r="E5378" i="13" s="1"/>
  <c r="E5379" i="13" s="1"/>
  <c r="E5380" i="13" s="1"/>
  <c r="E5381" i="13" s="1"/>
  <c r="E5382" i="13" s="1"/>
  <c r="E5383" i="13" s="1"/>
  <c r="E5384" i="13" s="1"/>
  <c r="E5385" i="13" s="1"/>
  <c r="E5386" i="13" s="1"/>
  <c r="E5387" i="13" s="1"/>
  <c r="E5388" i="13" s="1"/>
  <c r="E5389" i="13" s="1"/>
  <c r="E5390" i="13" s="1"/>
  <c r="E5391" i="13" s="1"/>
  <c r="E5392" i="13" s="1"/>
  <c r="E5393" i="13" s="1"/>
  <c r="E5394" i="13" s="1"/>
  <c r="E5395" i="13" s="1"/>
  <c r="E5396" i="13" s="1"/>
  <c r="E5397" i="13" s="1"/>
  <c r="E5398" i="13" s="1"/>
  <c r="E5399" i="13" s="1"/>
  <c r="E5400" i="13" s="1"/>
  <c r="E5401" i="13" s="1"/>
  <c r="E5402" i="13" s="1"/>
  <c r="E5403" i="13" s="1"/>
  <c r="E5404" i="13" s="1"/>
  <c r="E5405" i="13" s="1"/>
  <c r="E5406" i="13" s="1"/>
  <c r="E5407" i="13" s="1"/>
  <c r="E5408" i="13" s="1"/>
  <c r="E5409" i="13" s="1"/>
  <c r="E5410" i="13" s="1"/>
  <c r="E5411" i="13" s="1"/>
  <c r="E5412" i="13" s="1"/>
  <c r="E5413" i="13" s="1"/>
  <c r="E5414" i="13" s="1"/>
  <c r="E5415" i="13" s="1"/>
  <c r="E5416" i="13" s="1"/>
  <c r="E5417" i="13" s="1"/>
  <c r="E5418" i="13" s="1"/>
  <c r="E5419" i="13" s="1"/>
  <c r="E5420" i="13" s="1"/>
  <c r="E5421" i="13" s="1"/>
  <c r="E5422" i="13" s="1"/>
  <c r="E5423" i="13" s="1"/>
  <c r="E5424" i="13" s="1"/>
  <c r="E5425" i="13" s="1"/>
  <c r="E5426" i="13" s="1"/>
  <c r="E5427" i="13" s="1"/>
  <c r="E5428" i="13" s="1"/>
  <c r="E5429" i="13" s="1"/>
  <c r="E5430" i="13" s="1"/>
  <c r="E5431" i="13" s="1"/>
  <c r="E5432" i="13" s="1"/>
  <c r="E5433" i="13" s="1"/>
  <c r="E5434" i="13" s="1"/>
  <c r="E5435" i="13" s="1"/>
  <c r="E5436" i="13" s="1"/>
  <c r="E5437" i="13" s="1"/>
  <c r="E5438" i="13" s="1"/>
  <c r="E5439" i="13" s="1"/>
  <c r="E5440" i="13" s="1"/>
  <c r="E5441" i="13" s="1"/>
  <c r="E5442" i="13" s="1"/>
  <c r="E5443" i="13" s="1"/>
  <c r="E5444" i="13" s="1"/>
  <c r="E5445" i="13" s="1"/>
  <c r="E5446" i="13" s="1"/>
  <c r="E5447" i="13" s="1"/>
  <c r="E5448" i="13" s="1"/>
  <c r="E5449" i="13" s="1"/>
  <c r="E5450" i="13" s="1"/>
  <c r="E5451" i="13" s="1"/>
  <c r="E5452" i="13" s="1"/>
  <c r="E5453" i="13" s="1"/>
  <c r="E5454" i="13" s="1"/>
  <c r="E5455" i="13" s="1"/>
  <c r="E5456" i="13" s="1"/>
  <c r="E5457" i="13" s="1"/>
  <c r="E5458" i="13" s="1"/>
  <c r="E5459" i="13" s="1"/>
  <c r="E5460" i="13" s="1"/>
  <c r="E5461" i="13" s="1"/>
  <c r="E5462" i="13" s="1"/>
  <c r="E5463" i="13" s="1"/>
  <c r="E5464" i="13" s="1"/>
  <c r="E5465" i="13" s="1"/>
  <c r="E5466" i="13" s="1"/>
  <c r="E5467" i="13" s="1"/>
  <c r="E5468" i="13" s="1"/>
  <c r="E5469" i="13" s="1"/>
  <c r="E5470" i="13" s="1"/>
  <c r="E5471" i="13" s="1"/>
  <c r="E5472" i="13" s="1"/>
  <c r="E5473" i="13" s="1"/>
  <c r="E5474" i="13" s="1"/>
  <c r="E5475" i="13" s="1"/>
  <c r="E5476" i="13" s="1"/>
  <c r="E5477" i="13" s="1"/>
  <c r="E5478" i="13" s="1"/>
  <c r="E5479" i="13" s="1"/>
  <c r="E5480" i="13" s="1"/>
  <c r="E5481" i="13" s="1"/>
  <c r="E5482" i="13" s="1"/>
  <c r="E5483" i="13" s="1"/>
  <c r="E5484" i="13" s="1"/>
  <c r="E5485" i="13" s="1"/>
  <c r="E5486" i="13" s="1"/>
  <c r="E5487" i="13" s="1"/>
  <c r="E5488" i="13" s="1"/>
  <c r="E5489" i="13" s="1"/>
  <c r="E5490" i="13" s="1"/>
  <c r="E5491" i="13" s="1"/>
  <c r="E5492" i="13" s="1"/>
  <c r="E5493" i="13" s="1"/>
  <c r="E5494" i="13" s="1"/>
  <c r="E5495" i="13" s="1"/>
  <c r="E5496" i="13" s="1"/>
  <c r="E5497" i="13" s="1"/>
  <c r="E5498" i="13" s="1"/>
  <c r="E5499" i="13" s="1"/>
  <c r="E5500" i="13" s="1"/>
  <c r="E5501" i="13" s="1"/>
  <c r="E5502" i="13" s="1"/>
  <c r="E5503" i="13" s="1"/>
  <c r="E5504" i="13" s="1"/>
  <c r="E5505" i="13" s="1"/>
  <c r="E5506" i="13" s="1"/>
  <c r="E5507" i="13" s="1"/>
  <c r="E5508" i="13" s="1"/>
  <c r="E5509" i="13" s="1"/>
  <c r="E5510" i="13" s="1"/>
  <c r="E5511" i="13" s="1"/>
  <c r="E5512" i="13" s="1"/>
  <c r="E5513" i="13" s="1"/>
  <c r="E5514" i="13" s="1"/>
  <c r="E5515" i="13" s="1"/>
  <c r="E5516" i="13" s="1"/>
  <c r="E5517" i="13" s="1"/>
  <c r="E5518" i="13" s="1"/>
  <c r="E5519" i="13" s="1"/>
  <c r="E5520" i="13" s="1"/>
  <c r="E5521" i="13" s="1"/>
  <c r="E5522" i="13" s="1"/>
  <c r="E5523" i="13" s="1"/>
  <c r="E5524" i="13" s="1"/>
  <c r="E5525" i="13" s="1"/>
  <c r="E5526" i="13" s="1"/>
  <c r="E5527" i="13" s="1"/>
  <c r="E5528" i="13" s="1"/>
  <c r="E5529" i="13" s="1"/>
  <c r="E5530" i="13" s="1"/>
  <c r="E5531" i="13" s="1"/>
  <c r="E5532" i="13" s="1"/>
  <c r="E5533" i="13" s="1"/>
  <c r="E5534" i="13" s="1"/>
  <c r="E5535" i="13" s="1"/>
  <c r="E5536" i="13" s="1"/>
  <c r="E5537" i="13" s="1"/>
  <c r="E5538" i="13" s="1"/>
  <c r="E5539" i="13" s="1"/>
  <c r="E5540" i="13" s="1"/>
  <c r="E5541" i="13" s="1"/>
  <c r="E5542" i="13" s="1"/>
  <c r="E5543" i="13" s="1"/>
  <c r="E5544" i="13" s="1"/>
  <c r="E5545" i="13" s="1"/>
  <c r="E5546" i="13" s="1"/>
  <c r="E5547" i="13" s="1"/>
  <c r="E5548" i="13" s="1"/>
  <c r="E5549" i="13" s="1"/>
  <c r="E5550" i="13" s="1"/>
  <c r="E5551" i="13" s="1"/>
  <c r="E5552" i="13" s="1"/>
  <c r="E5553" i="13" s="1"/>
  <c r="E5554" i="13" s="1"/>
  <c r="E5555" i="13" s="1"/>
  <c r="E5556" i="13" s="1"/>
  <c r="E5557" i="13" s="1"/>
  <c r="E5558" i="13" s="1"/>
  <c r="E5559" i="13" s="1"/>
  <c r="E5560" i="13" s="1"/>
  <c r="E5561" i="13" s="1"/>
  <c r="E5562" i="13" s="1"/>
  <c r="E5563" i="13" s="1"/>
  <c r="E5564" i="13" s="1"/>
  <c r="E5565" i="13" s="1"/>
  <c r="E5566" i="13" s="1"/>
  <c r="E5567" i="13" s="1"/>
  <c r="E5568" i="13" s="1"/>
  <c r="E5569" i="13" s="1"/>
  <c r="E5570" i="13" s="1"/>
  <c r="E5571" i="13" s="1"/>
  <c r="E5572" i="13" s="1"/>
  <c r="E5573" i="13" s="1"/>
  <c r="E5574" i="13" s="1"/>
  <c r="E5575" i="13" s="1"/>
  <c r="E5576" i="13" s="1"/>
  <c r="E5577" i="13" s="1"/>
  <c r="E5578" i="13" s="1"/>
  <c r="E5579" i="13" s="1"/>
  <c r="E5580" i="13" s="1"/>
  <c r="E5581" i="13" s="1"/>
  <c r="E5582" i="13" s="1"/>
  <c r="E5583" i="13" s="1"/>
  <c r="E5584" i="13" s="1"/>
  <c r="E5585" i="13" s="1"/>
  <c r="E5586" i="13" s="1"/>
  <c r="E5587" i="13" s="1"/>
  <c r="E5588" i="13" s="1"/>
  <c r="E5589" i="13" s="1"/>
  <c r="E5590" i="13" s="1"/>
  <c r="E5591" i="13" s="1"/>
  <c r="E5592" i="13" s="1"/>
  <c r="E5593" i="13" s="1"/>
  <c r="E5594" i="13" s="1"/>
  <c r="E5595" i="13" s="1"/>
  <c r="E5596" i="13" s="1"/>
  <c r="E5597" i="13" s="1"/>
  <c r="E5598" i="13" s="1"/>
  <c r="E5599" i="13" s="1"/>
  <c r="E5600" i="13" s="1"/>
  <c r="E5601" i="13" s="1"/>
  <c r="E5602" i="13" s="1"/>
  <c r="E5603" i="13" s="1"/>
  <c r="E5604" i="13" s="1"/>
  <c r="E5605" i="13" s="1"/>
  <c r="E5606" i="13" s="1"/>
  <c r="E5607" i="13" s="1"/>
  <c r="E5608" i="13" s="1"/>
  <c r="E5609" i="13" s="1"/>
  <c r="E5610" i="13" s="1"/>
  <c r="E5611" i="13" s="1"/>
  <c r="E5612" i="13" s="1"/>
  <c r="E5613" i="13" s="1"/>
  <c r="E5614" i="13" s="1"/>
  <c r="E5615" i="13" s="1"/>
  <c r="E5616" i="13" s="1"/>
  <c r="E5617" i="13" s="1"/>
  <c r="E5618" i="13" s="1"/>
  <c r="E5619" i="13" s="1"/>
  <c r="E5620" i="13" s="1"/>
  <c r="E5621" i="13" s="1"/>
  <c r="E5622" i="13" s="1"/>
  <c r="E5623" i="13" s="1"/>
  <c r="E5624" i="13" s="1"/>
  <c r="E5625" i="13" s="1"/>
  <c r="E5626" i="13" s="1"/>
  <c r="E5627" i="13" s="1"/>
  <c r="E5628" i="13" s="1"/>
  <c r="E5629" i="13" s="1"/>
  <c r="E5630" i="13" s="1"/>
  <c r="E5631" i="13" s="1"/>
  <c r="E5632" i="13" s="1"/>
  <c r="E5633" i="13" s="1"/>
  <c r="E5634" i="13" s="1"/>
  <c r="E5635" i="13" s="1"/>
  <c r="E5636" i="13" s="1"/>
  <c r="E5637" i="13" s="1"/>
  <c r="E5638" i="13" s="1"/>
  <c r="E5639" i="13" s="1"/>
  <c r="E5640" i="13" s="1"/>
  <c r="E5641" i="13" s="1"/>
  <c r="E5642" i="13" s="1"/>
  <c r="E5643" i="13" s="1"/>
  <c r="E5644" i="13" s="1"/>
  <c r="E5645" i="13" s="1"/>
  <c r="E5646" i="13" s="1"/>
  <c r="E5647" i="13" s="1"/>
  <c r="E5648" i="13" s="1"/>
  <c r="E5649" i="13" s="1"/>
  <c r="E5650" i="13" s="1"/>
  <c r="E5651" i="13" s="1"/>
  <c r="E5652" i="13" s="1"/>
  <c r="E5653" i="13" s="1"/>
  <c r="E5654" i="13" s="1"/>
  <c r="E5655" i="13" s="1"/>
  <c r="E5656" i="13" s="1"/>
  <c r="E5657" i="13" s="1"/>
  <c r="E5658" i="13" s="1"/>
  <c r="E5659" i="13" s="1"/>
  <c r="E5660" i="13" s="1"/>
  <c r="E5661" i="13" s="1"/>
  <c r="E5662" i="13" s="1"/>
  <c r="E5663" i="13" s="1"/>
  <c r="E5664" i="13" s="1"/>
  <c r="E5665" i="13" s="1"/>
  <c r="E5666" i="13" s="1"/>
  <c r="E5667" i="13" s="1"/>
  <c r="E5668" i="13" s="1"/>
  <c r="E5669" i="13" s="1"/>
  <c r="E5670" i="13" s="1"/>
  <c r="E5671" i="13" s="1"/>
  <c r="E5672" i="13" s="1"/>
  <c r="E5673" i="13" s="1"/>
  <c r="E5674" i="13" s="1"/>
  <c r="E5675" i="13" s="1"/>
  <c r="E5676" i="13" s="1"/>
  <c r="E5677" i="13" s="1"/>
  <c r="E5678" i="13" s="1"/>
  <c r="E5679" i="13" s="1"/>
  <c r="E5680" i="13" s="1"/>
  <c r="E5681" i="13" s="1"/>
  <c r="E5682" i="13" s="1"/>
  <c r="E5683" i="13" s="1"/>
  <c r="E5684" i="13" s="1"/>
  <c r="E5685" i="13" s="1"/>
  <c r="E5686" i="13" s="1"/>
  <c r="E5687" i="13" s="1"/>
  <c r="E5688" i="13" s="1"/>
  <c r="E5689" i="13" s="1"/>
  <c r="E5690" i="13" s="1"/>
  <c r="E5691" i="13" s="1"/>
  <c r="E5692" i="13" s="1"/>
  <c r="E5693" i="13" s="1"/>
  <c r="E5694" i="13" s="1"/>
  <c r="E5695" i="13" s="1"/>
  <c r="E5696" i="13" s="1"/>
  <c r="E5697" i="13" s="1"/>
  <c r="E5698" i="13" s="1"/>
  <c r="E5699" i="13" s="1"/>
  <c r="E5700" i="13" s="1"/>
  <c r="E5701" i="13" s="1"/>
  <c r="E5702" i="13" s="1"/>
  <c r="E5703" i="13" s="1"/>
  <c r="E5704" i="13" s="1"/>
  <c r="E5705" i="13" s="1"/>
  <c r="E5706" i="13" s="1"/>
  <c r="E5707" i="13" s="1"/>
  <c r="E5708" i="13" s="1"/>
  <c r="E5709" i="13" s="1"/>
  <c r="E5710" i="13" s="1"/>
  <c r="E5711" i="13" s="1"/>
  <c r="E5712" i="13" s="1"/>
  <c r="E5713" i="13" s="1"/>
  <c r="E5714" i="13" s="1"/>
  <c r="E5715" i="13" s="1"/>
  <c r="E5716" i="13" s="1"/>
  <c r="E5717" i="13" s="1"/>
  <c r="E5718" i="13" s="1"/>
  <c r="E5719" i="13" s="1"/>
  <c r="E5720" i="13" s="1"/>
  <c r="E5721" i="13" s="1"/>
  <c r="E5722" i="13" s="1"/>
  <c r="E5723" i="13" s="1"/>
  <c r="E5724" i="13" s="1"/>
  <c r="E5725" i="13" s="1"/>
  <c r="E5726" i="13" s="1"/>
  <c r="E5727" i="13" s="1"/>
  <c r="E5728" i="13" s="1"/>
  <c r="E5729" i="13" s="1"/>
  <c r="E5730" i="13" s="1"/>
  <c r="E5731" i="13" s="1"/>
  <c r="E5732" i="13" s="1"/>
  <c r="E5733" i="13" s="1"/>
  <c r="E5734" i="13" s="1"/>
  <c r="E5735" i="13" s="1"/>
  <c r="E5736" i="13" s="1"/>
  <c r="E5737" i="13" s="1"/>
  <c r="E5738" i="13" s="1"/>
  <c r="E5739" i="13" s="1"/>
  <c r="E5740" i="13" s="1"/>
  <c r="E5741" i="13" s="1"/>
  <c r="E5742" i="13" s="1"/>
  <c r="E5743" i="13" s="1"/>
  <c r="E5744" i="13" s="1"/>
  <c r="E5745" i="13" s="1"/>
  <c r="E5746" i="13" s="1"/>
  <c r="E5747" i="13" s="1"/>
  <c r="E5748" i="13" s="1"/>
  <c r="E5749" i="13" s="1"/>
  <c r="E5750" i="13" s="1"/>
  <c r="E5751" i="13" s="1"/>
  <c r="E5752" i="13" s="1"/>
  <c r="E5753" i="13" s="1"/>
  <c r="E5754" i="13" s="1"/>
  <c r="E5755" i="13" s="1"/>
  <c r="E5756" i="13" s="1"/>
  <c r="E5757" i="13" s="1"/>
  <c r="E5758" i="13" s="1"/>
  <c r="E5759" i="13" s="1"/>
  <c r="E5760" i="13" s="1"/>
  <c r="E5761" i="13" s="1"/>
  <c r="E5762" i="13" s="1"/>
  <c r="E5186" i="13"/>
  <c r="E5187" i="13" s="1"/>
  <c r="E5174" i="13"/>
  <c r="E5175" i="13" s="1"/>
  <c r="E5176" i="13" s="1"/>
  <c r="E5177" i="13" s="1"/>
  <c r="E5178" i="13" s="1"/>
  <c r="E5179" i="13" s="1"/>
  <c r="E5180" i="13" s="1"/>
  <c r="E5181" i="13" s="1"/>
  <c r="E5182" i="13" s="1"/>
  <c r="E5183" i="13" s="1"/>
  <c r="E5184" i="13" s="1"/>
  <c r="E658" i="13"/>
  <c r="E659" i="13" s="1"/>
  <c r="E660" i="13" s="1"/>
  <c r="E661" i="13" s="1"/>
  <c r="E662" i="13" s="1"/>
  <c r="E663" i="13" s="1"/>
  <c r="E664" i="13" s="1"/>
  <c r="E665" i="13" s="1"/>
  <c r="E666" i="13" s="1"/>
  <c r="E667" i="13" s="1"/>
  <c r="E668" i="13" s="1"/>
  <c r="E669" i="13" s="1"/>
  <c r="E670" i="13" s="1"/>
  <c r="E671" i="13" s="1"/>
  <c r="E672" i="13" s="1"/>
  <c r="E673" i="13" s="1"/>
  <c r="E674" i="13" s="1"/>
  <c r="E675" i="13" s="1"/>
  <c r="E676" i="13" s="1"/>
  <c r="E677" i="13" s="1"/>
  <c r="E678" i="13" s="1"/>
  <c r="E679" i="13" s="1"/>
  <c r="E680" i="13" s="1"/>
  <c r="E681" i="13" s="1"/>
  <c r="E682" i="13" s="1"/>
  <c r="E683" i="13" s="1"/>
  <c r="E684" i="13" s="1"/>
  <c r="E685" i="13" s="1"/>
  <c r="E686" i="13" s="1"/>
  <c r="E687" i="13" s="1"/>
  <c r="E688" i="13" s="1"/>
  <c r="E689" i="13" s="1"/>
  <c r="E690" i="13" s="1"/>
  <c r="E691" i="13" s="1"/>
  <c r="E692" i="13" s="1"/>
  <c r="E693" i="13" s="1"/>
  <c r="E694" i="13" s="1"/>
  <c r="E695" i="13" s="1"/>
  <c r="E696" i="13" s="1"/>
  <c r="E697" i="13" s="1"/>
  <c r="E698" i="13" s="1"/>
  <c r="E699" i="13" s="1"/>
  <c r="E700" i="13" s="1"/>
  <c r="E701" i="13" s="1"/>
  <c r="E702" i="13" s="1"/>
  <c r="E703" i="13" s="1"/>
  <c r="E704" i="13" s="1"/>
  <c r="E705" i="13" s="1"/>
  <c r="E706" i="13" s="1"/>
  <c r="E707" i="13" s="1"/>
  <c r="E708" i="13" s="1"/>
  <c r="E709" i="13" s="1"/>
  <c r="E710" i="13" s="1"/>
  <c r="E711" i="13" s="1"/>
  <c r="E712" i="13" s="1"/>
  <c r="E713" i="13" s="1"/>
  <c r="E714" i="13" s="1"/>
  <c r="E715" i="13" s="1"/>
  <c r="E716" i="13" s="1"/>
  <c r="E717" i="13" s="1"/>
  <c r="E718" i="13" s="1"/>
  <c r="E719" i="13" s="1"/>
  <c r="E720" i="13" s="1"/>
  <c r="E721" i="13" s="1"/>
  <c r="E722" i="13" s="1"/>
  <c r="E723" i="13" s="1"/>
  <c r="E724" i="13" s="1"/>
  <c r="E725" i="13" s="1"/>
  <c r="E726" i="13" s="1"/>
  <c r="E727" i="13" s="1"/>
  <c r="E728" i="13" s="1"/>
  <c r="E729" i="13" s="1"/>
  <c r="E730" i="13" s="1"/>
  <c r="E731" i="13" s="1"/>
  <c r="E732" i="13" s="1"/>
  <c r="E733" i="13" s="1"/>
  <c r="E734" i="13" s="1"/>
  <c r="E735" i="13" s="1"/>
  <c r="E736" i="13" s="1"/>
  <c r="E737" i="13" s="1"/>
  <c r="E738" i="13" s="1"/>
  <c r="E739" i="13" s="1"/>
  <c r="E740" i="13" s="1"/>
  <c r="E741" i="13" s="1"/>
  <c r="E742" i="13" s="1"/>
  <c r="E743" i="13" s="1"/>
  <c r="E744" i="13" s="1"/>
  <c r="E745" i="13" s="1"/>
  <c r="E746" i="13" s="1"/>
  <c r="E747" i="13" s="1"/>
  <c r="E748" i="13" s="1"/>
  <c r="E749" i="13" s="1"/>
  <c r="E750" i="13" s="1"/>
  <c r="E751" i="13" s="1"/>
  <c r="E752" i="13" s="1"/>
  <c r="E753" i="13" s="1"/>
  <c r="E754" i="13" s="1"/>
  <c r="E755" i="13" s="1"/>
  <c r="E756" i="13" s="1"/>
  <c r="E757" i="13" s="1"/>
  <c r="E758" i="13" s="1"/>
  <c r="E759" i="13" s="1"/>
  <c r="E760" i="13" s="1"/>
  <c r="E761" i="13" s="1"/>
  <c r="E762" i="13" s="1"/>
  <c r="E763" i="13" s="1"/>
  <c r="E764" i="13" s="1"/>
  <c r="E765" i="13" s="1"/>
  <c r="E766" i="13" s="1"/>
  <c r="E767" i="13" s="1"/>
  <c r="E768" i="13" s="1"/>
  <c r="E769" i="13" s="1"/>
  <c r="E770" i="13" s="1"/>
  <c r="E771" i="13" s="1"/>
  <c r="E772" i="13" s="1"/>
  <c r="E773" i="13" s="1"/>
  <c r="E774" i="13" s="1"/>
  <c r="E775" i="13" s="1"/>
  <c r="E776" i="13" s="1"/>
  <c r="E777" i="13" s="1"/>
  <c r="E778" i="13" s="1"/>
  <c r="E779" i="13" s="1"/>
  <c r="E780" i="13" s="1"/>
  <c r="E781" i="13" s="1"/>
  <c r="E782" i="13" s="1"/>
  <c r="E783" i="13" s="1"/>
  <c r="E784" i="13" s="1"/>
  <c r="E785" i="13" s="1"/>
  <c r="E786" i="13" s="1"/>
  <c r="E787" i="13" s="1"/>
  <c r="E788" i="13" s="1"/>
  <c r="E789" i="13" s="1"/>
  <c r="E790" i="13" s="1"/>
  <c r="E791" i="13" s="1"/>
  <c r="E792" i="13" s="1"/>
  <c r="E793" i="13" s="1"/>
  <c r="E794" i="13" s="1"/>
  <c r="E795" i="13" s="1"/>
  <c r="E796" i="13" s="1"/>
  <c r="E797" i="13" s="1"/>
  <c r="E798" i="13" s="1"/>
  <c r="E799" i="13" s="1"/>
  <c r="E800" i="13" s="1"/>
  <c r="E801" i="13" s="1"/>
  <c r="E802" i="13" s="1"/>
  <c r="E803" i="13" s="1"/>
  <c r="E804" i="13" s="1"/>
  <c r="E805" i="13" s="1"/>
  <c r="E806" i="13" s="1"/>
  <c r="E807" i="13" s="1"/>
  <c r="E808" i="13" s="1"/>
  <c r="E809" i="13" s="1"/>
  <c r="E810" i="13" s="1"/>
  <c r="E811" i="13" s="1"/>
  <c r="E812" i="13" s="1"/>
  <c r="E813" i="13" s="1"/>
  <c r="E814" i="13" s="1"/>
  <c r="E815" i="13" s="1"/>
  <c r="E816" i="13" s="1"/>
  <c r="E817" i="13" s="1"/>
  <c r="E818" i="13" s="1"/>
  <c r="E819" i="13" s="1"/>
  <c r="E820" i="13" s="1"/>
  <c r="E821" i="13" s="1"/>
  <c r="E822" i="13" s="1"/>
  <c r="E823" i="13" s="1"/>
  <c r="E824" i="13" s="1"/>
  <c r="E825" i="13" s="1"/>
  <c r="E826" i="13" s="1"/>
  <c r="E827" i="13" s="1"/>
  <c r="E828" i="13" s="1"/>
  <c r="E829" i="13" s="1"/>
  <c r="E830" i="13" s="1"/>
  <c r="E831" i="13" s="1"/>
  <c r="E832" i="13" s="1"/>
  <c r="E833" i="13" s="1"/>
  <c r="E834" i="13" s="1"/>
  <c r="E835" i="13" s="1"/>
  <c r="E836" i="13" s="1"/>
  <c r="E837" i="13" s="1"/>
  <c r="E838" i="13" s="1"/>
  <c r="E839" i="13" s="1"/>
  <c r="E840" i="13" s="1"/>
  <c r="E841" i="13" s="1"/>
  <c r="E842" i="13" s="1"/>
  <c r="E843" i="13" s="1"/>
  <c r="E844" i="13" s="1"/>
  <c r="E845" i="13" s="1"/>
  <c r="E846" i="13" s="1"/>
  <c r="E847" i="13" s="1"/>
  <c r="E848" i="13" s="1"/>
  <c r="E849" i="13" s="1"/>
  <c r="E850" i="13" s="1"/>
  <c r="E851" i="13" s="1"/>
  <c r="E852" i="13" s="1"/>
  <c r="E853" i="13" s="1"/>
  <c r="E854" i="13" s="1"/>
  <c r="E855" i="13" s="1"/>
  <c r="E856" i="13" s="1"/>
  <c r="E857" i="13" s="1"/>
  <c r="E858" i="13" s="1"/>
  <c r="E859" i="13" s="1"/>
  <c r="E860" i="13" s="1"/>
  <c r="E861" i="13" s="1"/>
  <c r="E862" i="13" s="1"/>
  <c r="E863" i="13" s="1"/>
  <c r="E864" i="13" s="1"/>
  <c r="E865" i="13" s="1"/>
  <c r="E866" i="13" s="1"/>
  <c r="E867" i="13" s="1"/>
  <c r="E868" i="13" s="1"/>
  <c r="E869" i="13" s="1"/>
  <c r="E870" i="13" s="1"/>
  <c r="E871" i="13" s="1"/>
  <c r="E872" i="13" s="1"/>
  <c r="E873" i="13" s="1"/>
  <c r="E874" i="13" s="1"/>
  <c r="E875" i="13" s="1"/>
  <c r="E876" i="13" s="1"/>
  <c r="E877" i="13" s="1"/>
  <c r="E878" i="13" s="1"/>
  <c r="E879" i="13" s="1"/>
  <c r="E880" i="13" s="1"/>
  <c r="E881" i="13" s="1"/>
  <c r="E882" i="13" s="1"/>
  <c r="E883" i="13" s="1"/>
  <c r="E884" i="13" s="1"/>
  <c r="E885" i="13" s="1"/>
  <c r="E886" i="13" s="1"/>
  <c r="E887" i="13" s="1"/>
  <c r="E888" i="13" s="1"/>
  <c r="E889" i="13" s="1"/>
  <c r="E890" i="13" s="1"/>
  <c r="E891" i="13" s="1"/>
  <c r="E892" i="13" s="1"/>
  <c r="E893" i="13" s="1"/>
  <c r="E894" i="13" s="1"/>
  <c r="E895" i="13" s="1"/>
  <c r="E896" i="13" s="1"/>
  <c r="E897" i="13" s="1"/>
  <c r="E898" i="13" s="1"/>
  <c r="E899" i="13" s="1"/>
  <c r="E900" i="13" s="1"/>
  <c r="E901" i="13" s="1"/>
  <c r="E902" i="13" s="1"/>
  <c r="E903" i="13" s="1"/>
  <c r="E904" i="13" s="1"/>
  <c r="E905" i="13" s="1"/>
  <c r="E906" i="13" s="1"/>
  <c r="E907" i="13" s="1"/>
  <c r="E908" i="13" s="1"/>
  <c r="E909" i="13" s="1"/>
  <c r="E910" i="13" s="1"/>
  <c r="E911" i="13" s="1"/>
  <c r="E912" i="13" s="1"/>
  <c r="E913" i="13" s="1"/>
  <c r="E914" i="13" s="1"/>
  <c r="E915" i="13" s="1"/>
  <c r="E916" i="13" s="1"/>
  <c r="E917" i="13" s="1"/>
  <c r="E918" i="13" s="1"/>
  <c r="E919" i="13" s="1"/>
  <c r="E920" i="13" s="1"/>
  <c r="E921" i="13" s="1"/>
  <c r="E922" i="13" s="1"/>
  <c r="E923" i="13" s="1"/>
  <c r="E924" i="13" s="1"/>
  <c r="E925" i="13" s="1"/>
  <c r="E926" i="13" s="1"/>
  <c r="E927" i="13" s="1"/>
  <c r="E928" i="13" s="1"/>
  <c r="E929" i="13" s="1"/>
  <c r="E930" i="13" s="1"/>
  <c r="E931" i="13" s="1"/>
  <c r="E932" i="13" s="1"/>
  <c r="E933" i="13" s="1"/>
  <c r="E934" i="13" s="1"/>
  <c r="E935" i="13" s="1"/>
  <c r="E936" i="13" s="1"/>
  <c r="E937" i="13" s="1"/>
  <c r="E938" i="13" s="1"/>
  <c r="E939" i="13" s="1"/>
  <c r="E940" i="13" s="1"/>
  <c r="E941" i="13" s="1"/>
  <c r="E942" i="13" s="1"/>
  <c r="E943" i="13" s="1"/>
  <c r="E944" i="13" s="1"/>
  <c r="E945" i="13" s="1"/>
  <c r="E946" i="13" s="1"/>
  <c r="E947" i="13" s="1"/>
  <c r="E948" i="13" s="1"/>
  <c r="E949" i="13" s="1"/>
  <c r="E950" i="13" s="1"/>
  <c r="E951" i="13" s="1"/>
  <c r="E952" i="13" s="1"/>
  <c r="E953" i="13" s="1"/>
  <c r="E954" i="13" s="1"/>
  <c r="E955" i="13" s="1"/>
  <c r="E956" i="13" s="1"/>
  <c r="E957" i="13" s="1"/>
  <c r="E958" i="13" s="1"/>
  <c r="E959" i="13" s="1"/>
  <c r="E960" i="13" s="1"/>
  <c r="E961" i="13" s="1"/>
  <c r="E962" i="13" s="1"/>
  <c r="E963" i="13" s="1"/>
  <c r="E964" i="13" s="1"/>
  <c r="E965" i="13" s="1"/>
  <c r="E966" i="13" s="1"/>
  <c r="E967" i="13" s="1"/>
  <c r="E968" i="13" s="1"/>
  <c r="E969" i="13" s="1"/>
  <c r="E970" i="13" s="1"/>
  <c r="E971" i="13" s="1"/>
  <c r="E972" i="13" s="1"/>
  <c r="E973" i="13" s="1"/>
  <c r="E974" i="13" s="1"/>
  <c r="E975" i="13" s="1"/>
  <c r="E976" i="13" s="1"/>
  <c r="E977" i="13" s="1"/>
  <c r="E978" i="13" s="1"/>
  <c r="E979" i="13" s="1"/>
  <c r="E980" i="13" s="1"/>
  <c r="E981" i="13" s="1"/>
  <c r="E982" i="13" s="1"/>
  <c r="E983" i="13" s="1"/>
  <c r="E984" i="13" s="1"/>
  <c r="E985" i="13" s="1"/>
  <c r="E986" i="13" s="1"/>
  <c r="E987" i="13" s="1"/>
  <c r="E988" i="13" s="1"/>
  <c r="E989" i="13" s="1"/>
  <c r="E990" i="13" s="1"/>
  <c r="E991" i="13" s="1"/>
  <c r="E992" i="13" s="1"/>
  <c r="E993" i="13" s="1"/>
  <c r="E994" i="13" s="1"/>
  <c r="E995" i="13" s="1"/>
  <c r="E996" i="13" s="1"/>
  <c r="E997" i="13" s="1"/>
  <c r="E998" i="13" s="1"/>
  <c r="E999" i="13" s="1"/>
  <c r="E1000" i="13" s="1"/>
  <c r="E1001" i="13" s="1"/>
  <c r="E1002" i="13" s="1"/>
  <c r="E1003" i="13" s="1"/>
  <c r="E1004" i="13" s="1"/>
  <c r="E1005" i="13" s="1"/>
  <c r="E1006" i="13" s="1"/>
  <c r="E1007" i="13" s="1"/>
  <c r="E1008" i="13" s="1"/>
  <c r="E1009" i="13" s="1"/>
  <c r="E1010" i="13" s="1"/>
  <c r="E1011" i="13" s="1"/>
  <c r="E1012" i="13" s="1"/>
  <c r="E1013" i="13" s="1"/>
  <c r="E1014" i="13" s="1"/>
  <c r="E1015" i="13" s="1"/>
  <c r="E1016" i="13" s="1"/>
  <c r="E1017" i="13" s="1"/>
  <c r="E1018" i="13" s="1"/>
  <c r="E1019" i="13" s="1"/>
  <c r="E1020" i="13" s="1"/>
  <c r="E1021" i="13" s="1"/>
  <c r="E1022" i="13" s="1"/>
  <c r="E1023" i="13" s="1"/>
  <c r="E1024" i="13" s="1"/>
  <c r="E1025" i="13" s="1"/>
  <c r="E1026" i="13" s="1"/>
  <c r="E1027" i="13" s="1"/>
  <c r="E1028" i="13" s="1"/>
  <c r="E1029" i="13" s="1"/>
  <c r="E1030" i="13" s="1"/>
  <c r="E1031" i="13" s="1"/>
  <c r="E1032" i="13" s="1"/>
  <c r="E1033" i="13" s="1"/>
  <c r="E1034" i="13" s="1"/>
  <c r="E1035" i="13" s="1"/>
  <c r="E1036" i="13" s="1"/>
  <c r="E1037" i="13" s="1"/>
  <c r="E1038" i="13" s="1"/>
  <c r="E1039" i="13" s="1"/>
  <c r="E1040" i="13" s="1"/>
  <c r="E1041" i="13" s="1"/>
  <c r="E1042" i="13" s="1"/>
  <c r="E1043" i="13" s="1"/>
  <c r="E1044" i="13" s="1"/>
  <c r="E1045" i="13" s="1"/>
  <c r="E1046" i="13" s="1"/>
  <c r="E1047" i="13" s="1"/>
  <c r="E1048" i="13" s="1"/>
  <c r="E1049" i="13" s="1"/>
  <c r="E1050" i="13" s="1"/>
  <c r="E1051" i="13" s="1"/>
  <c r="E1052" i="13" s="1"/>
  <c r="E1053" i="13" s="1"/>
  <c r="E1054" i="13" s="1"/>
  <c r="E1055" i="13" s="1"/>
  <c r="E1056" i="13" s="1"/>
  <c r="E1057" i="13" s="1"/>
  <c r="E1058" i="13" s="1"/>
  <c r="E1059" i="13" s="1"/>
  <c r="E1060" i="13" s="1"/>
  <c r="E1061" i="13" s="1"/>
  <c r="E1062" i="13" s="1"/>
  <c r="E1063" i="13" s="1"/>
  <c r="E1064" i="13" s="1"/>
  <c r="E1065" i="13" s="1"/>
  <c r="E1066" i="13" s="1"/>
  <c r="E1067" i="13" s="1"/>
  <c r="E1068" i="13" s="1"/>
  <c r="E1069" i="13" s="1"/>
  <c r="E1070" i="13" s="1"/>
  <c r="E1071" i="13" s="1"/>
  <c r="E1072" i="13" s="1"/>
  <c r="E1073" i="13" s="1"/>
  <c r="E1074" i="13" s="1"/>
  <c r="E1075" i="13" s="1"/>
  <c r="E1076" i="13" s="1"/>
  <c r="E1077" i="13" s="1"/>
  <c r="E1078" i="13" s="1"/>
  <c r="E1079" i="13" s="1"/>
  <c r="E1080" i="13" s="1"/>
  <c r="E1081" i="13" s="1"/>
  <c r="E1082" i="13" s="1"/>
  <c r="E1083" i="13" s="1"/>
  <c r="E1084" i="13" s="1"/>
  <c r="E1085" i="13" s="1"/>
  <c r="E1086" i="13" s="1"/>
  <c r="E1087" i="13" s="1"/>
  <c r="E1088" i="13" s="1"/>
  <c r="E1089" i="13" s="1"/>
  <c r="E1090" i="13" s="1"/>
  <c r="E1091" i="13" s="1"/>
  <c r="E1092" i="13" s="1"/>
  <c r="E1093" i="13" s="1"/>
  <c r="E1094" i="13" s="1"/>
  <c r="E1095" i="13" s="1"/>
  <c r="E1096" i="13" s="1"/>
  <c r="E1097" i="13" s="1"/>
  <c r="E1098" i="13" s="1"/>
  <c r="E1099" i="13" s="1"/>
  <c r="E1100" i="13" s="1"/>
  <c r="E1101" i="13" s="1"/>
  <c r="E1102" i="13" s="1"/>
  <c r="E1103" i="13" s="1"/>
  <c r="E1104" i="13" s="1"/>
  <c r="E1105" i="13" s="1"/>
  <c r="E1106" i="13" s="1"/>
  <c r="E1107" i="13" s="1"/>
  <c r="E1108" i="13" s="1"/>
  <c r="E1109" i="13" s="1"/>
  <c r="E1110" i="13" s="1"/>
  <c r="E1111" i="13" s="1"/>
  <c r="E1112" i="13" s="1"/>
  <c r="E1113" i="13" s="1"/>
  <c r="E1114" i="13" s="1"/>
  <c r="E1115" i="13" s="1"/>
  <c r="E1116" i="13" s="1"/>
  <c r="E1117" i="13" s="1"/>
  <c r="E1118" i="13" s="1"/>
  <c r="E1119" i="13" s="1"/>
  <c r="E1120" i="13" s="1"/>
  <c r="E1121" i="13" s="1"/>
  <c r="E1122" i="13" s="1"/>
  <c r="E1123" i="13" s="1"/>
  <c r="E1124" i="13" s="1"/>
  <c r="E1125" i="13" s="1"/>
  <c r="E1126" i="13" s="1"/>
  <c r="E1127" i="13" s="1"/>
  <c r="E1128" i="13" s="1"/>
  <c r="E1129" i="13" s="1"/>
  <c r="E1130" i="13" s="1"/>
  <c r="E1131" i="13" s="1"/>
  <c r="E1132" i="13" s="1"/>
  <c r="E1133" i="13" s="1"/>
  <c r="E1134" i="13" s="1"/>
  <c r="E1135" i="13" s="1"/>
  <c r="E1136" i="13" s="1"/>
  <c r="E1137" i="13" s="1"/>
  <c r="E1138" i="13" s="1"/>
  <c r="E1139" i="13" s="1"/>
  <c r="E1140" i="13" s="1"/>
  <c r="E1141" i="13" s="1"/>
  <c r="E1142" i="13" s="1"/>
  <c r="E1143" i="13" s="1"/>
  <c r="E1144" i="13" s="1"/>
  <c r="E1145" i="13" s="1"/>
  <c r="E1146" i="13" s="1"/>
  <c r="E1147" i="13" s="1"/>
  <c r="E1148" i="13" s="1"/>
  <c r="E1149" i="13" s="1"/>
  <c r="E1150" i="13" s="1"/>
  <c r="E1151" i="13" s="1"/>
  <c r="E1152" i="13" s="1"/>
  <c r="E1153" i="13" s="1"/>
  <c r="E1154" i="13" s="1"/>
  <c r="E1155" i="13" s="1"/>
  <c r="E1156" i="13" s="1"/>
  <c r="E1157" i="13" s="1"/>
  <c r="E1158" i="13" s="1"/>
  <c r="E1159" i="13" s="1"/>
  <c r="E1160" i="13" s="1"/>
  <c r="E1161" i="13" s="1"/>
  <c r="E1162" i="13" s="1"/>
  <c r="E1163" i="13" s="1"/>
  <c r="E1164" i="13" s="1"/>
  <c r="E1165" i="13" s="1"/>
  <c r="E1166" i="13" s="1"/>
  <c r="E1167" i="13" s="1"/>
  <c r="E1168" i="13" s="1"/>
  <c r="E1169" i="13" s="1"/>
  <c r="E1170" i="13" s="1"/>
  <c r="E1171" i="13" s="1"/>
  <c r="E1172" i="13" s="1"/>
  <c r="E1173" i="13" s="1"/>
  <c r="E1174" i="13" s="1"/>
  <c r="E1175" i="13" s="1"/>
  <c r="E1176" i="13" s="1"/>
  <c r="E1177" i="13" s="1"/>
  <c r="E1178" i="13" s="1"/>
  <c r="E1179" i="13" s="1"/>
  <c r="E1180" i="13" s="1"/>
  <c r="E1181" i="13" s="1"/>
  <c r="E1182" i="13" s="1"/>
  <c r="E1183" i="13" s="1"/>
  <c r="E1184" i="13" s="1"/>
  <c r="E1185" i="13" s="1"/>
  <c r="E1186" i="13" s="1"/>
  <c r="E1187" i="13" s="1"/>
  <c r="E1188" i="13" s="1"/>
  <c r="E1189" i="13" s="1"/>
  <c r="E1190" i="13" s="1"/>
  <c r="E1191" i="13" s="1"/>
  <c r="E1192" i="13" s="1"/>
  <c r="E1193" i="13" s="1"/>
  <c r="E1194" i="13" s="1"/>
  <c r="E1195" i="13" s="1"/>
  <c r="E1196" i="13" s="1"/>
  <c r="E1197" i="13" s="1"/>
  <c r="E1198" i="13" s="1"/>
  <c r="E1199" i="13" s="1"/>
  <c r="E1200" i="13" s="1"/>
  <c r="E1201" i="13" s="1"/>
  <c r="E1202" i="13" s="1"/>
  <c r="E1203" i="13" s="1"/>
  <c r="E1204" i="13" s="1"/>
  <c r="E1205" i="13" s="1"/>
  <c r="E1206" i="13" s="1"/>
  <c r="E1207" i="13" s="1"/>
  <c r="E1208" i="13" s="1"/>
  <c r="E1209" i="13" s="1"/>
  <c r="E1210" i="13" s="1"/>
  <c r="E1211" i="13" s="1"/>
  <c r="E1212" i="13" s="1"/>
  <c r="E1213" i="13" s="1"/>
  <c r="E1214" i="13" s="1"/>
  <c r="E1215" i="13" s="1"/>
  <c r="E1216" i="13" s="1"/>
  <c r="E1217" i="13" s="1"/>
  <c r="E1218" i="13" s="1"/>
  <c r="E1219" i="13" s="1"/>
  <c r="E1220" i="13" s="1"/>
  <c r="E1221" i="13" s="1"/>
  <c r="E1222" i="13" s="1"/>
  <c r="E1223" i="13" s="1"/>
  <c r="E1224" i="13" s="1"/>
  <c r="E1225" i="13" s="1"/>
  <c r="E1226" i="13" s="1"/>
  <c r="E1227" i="13" s="1"/>
  <c r="E1228" i="13" s="1"/>
  <c r="E1229" i="13" s="1"/>
  <c r="E1230" i="13" s="1"/>
  <c r="E1231" i="13" s="1"/>
  <c r="E1232" i="13" s="1"/>
  <c r="E1233" i="13" s="1"/>
  <c r="E1234" i="13" s="1"/>
  <c r="E1235" i="13" s="1"/>
  <c r="E1236" i="13" s="1"/>
  <c r="E1237" i="13" s="1"/>
  <c r="E1238" i="13" s="1"/>
  <c r="E1239" i="13" s="1"/>
  <c r="E1240" i="13" s="1"/>
  <c r="E1241" i="13" s="1"/>
  <c r="E1242" i="13" s="1"/>
  <c r="E1243" i="13" s="1"/>
  <c r="E1244" i="13" s="1"/>
  <c r="E1245" i="13" s="1"/>
  <c r="E1246" i="13" s="1"/>
  <c r="E1247" i="13" s="1"/>
  <c r="E1248" i="13" s="1"/>
  <c r="E1249" i="13" s="1"/>
  <c r="E1250" i="13" s="1"/>
  <c r="E1251" i="13" s="1"/>
  <c r="E1252" i="13" s="1"/>
  <c r="E1253" i="13" s="1"/>
  <c r="E1254" i="13" s="1"/>
  <c r="E1255" i="13" s="1"/>
  <c r="E1256" i="13" s="1"/>
  <c r="E1257" i="13" s="1"/>
  <c r="E1258" i="13" s="1"/>
  <c r="E1259" i="13" s="1"/>
  <c r="E1260" i="13" s="1"/>
  <c r="E1261" i="13" s="1"/>
  <c r="E1262" i="13" s="1"/>
  <c r="E1263" i="13" s="1"/>
  <c r="E1264" i="13" s="1"/>
  <c r="E1265" i="13" s="1"/>
  <c r="E1266" i="13" s="1"/>
  <c r="E1267" i="13" s="1"/>
  <c r="E1268" i="13" s="1"/>
  <c r="E1269" i="13" s="1"/>
  <c r="E1270" i="13" s="1"/>
  <c r="E1271" i="13" s="1"/>
  <c r="E1272" i="13" s="1"/>
  <c r="E1273" i="13" s="1"/>
  <c r="E1274" i="13" s="1"/>
  <c r="E1275" i="13" s="1"/>
  <c r="E1276" i="13" s="1"/>
  <c r="E1277" i="13" s="1"/>
  <c r="E1278" i="13" s="1"/>
  <c r="E1279" i="13" s="1"/>
  <c r="E1280" i="13" s="1"/>
  <c r="E1281" i="13" s="1"/>
  <c r="E1282" i="13" s="1"/>
  <c r="E1283" i="13" s="1"/>
  <c r="E1284" i="13" s="1"/>
  <c r="E1285" i="13" s="1"/>
  <c r="E1286" i="13" s="1"/>
  <c r="E1287" i="13" s="1"/>
  <c r="E1288" i="13" s="1"/>
  <c r="E1289" i="13" s="1"/>
  <c r="E1290" i="13" s="1"/>
  <c r="E1291" i="13" s="1"/>
  <c r="E1292" i="13" s="1"/>
  <c r="E1293" i="13" s="1"/>
  <c r="E1294" i="13" s="1"/>
  <c r="E1295" i="13" s="1"/>
  <c r="E1296" i="13" s="1"/>
  <c r="E1297" i="13" s="1"/>
  <c r="E1298" i="13" s="1"/>
  <c r="E1299" i="13" s="1"/>
  <c r="E1300" i="13" s="1"/>
  <c r="E1301" i="13" s="1"/>
  <c r="E1302" i="13" s="1"/>
  <c r="E1303" i="13" s="1"/>
  <c r="E1304" i="13" s="1"/>
  <c r="E1305" i="13" s="1"/>
  <c r="E1306" i="13" s="1"/>
  <c r="E1307" i="13" s="1"/>
  <c r="E1308" i="13" s="1"/>
  <c r="E1309" i="13" s="1"/>
  <c r="E1310" i="13" s="1"/>
  <c r="E1311" i="13" s="1"/>
  <c r="E1312" i="13" s="1"/>
  <c r="E1313" i="13" s="1"/>
  <c r="E1314" i="13" s="1"/>
  <c r="E1315" i="13" s="1"/>
  <c r="E1316" i="13" s="1"/>
  <c r="E1317" i="13" s="1"/>
  <c r="E1318" i="13" s="1"/>
  <c r="E1319" i="13" s="1"/>
  <c r="E1320" i="13" s="1"/>
  <c r="E1321" i="13" s="1"/>
  <c r="E1322" i="13" s="1"/>
  <c r="E1323" i="13" s="1"/>
  <c r="E1324" i="13" s="1"/>
  <c r="E1325" i="13" s="1"/>
  <c r="E1326" i="13" s="1"/>
  <c r="E1327" i="13" s="1"/>
  <c r="E1328" i="13" s="1"/>
  <c r="E1329" i="13" s="1"/>
  <c r="E1330" i="13" s="1"/>
  <c r="E1331" i="13" s="1"/>
  <c r="E1332" i="13" s="1"/>
  <c r="E1333" i="13" s="1"/>
  <c r="E1334" i="13" s="1"/>
  <c r="E1335" i="13" s="1"/>
  <c r="E1336" i="13" s="1"/>
  <c r="E1337" i="13" s="1"/>
  <c r="E1338" i="13" s="1"/>
  <c r="E1339" i="13" s="1"/>
  <c r="E1340" i="13" s="1"/>
  <c r="E1341" i="13" s="1"/>
  <c r="E1342" i="13" s="1"/>
  <c r="E1343" i="13" s="1"/>
  <c r="E1344" i="13" s="1"/>
  <c r="E1345" i="13" s="1"/>
  <c r="E1346" i="13" s="1"/>
  <c r="E1347" i="13" s="1"/>
  <c r="E1348" i="13" s="1"/>
  <c r="E1349" i="13" s="1"/>
  <c r="E1350" i="13" s="1"/>
  <c r="E1351" i="13" s="1"/>
  <c r="E1352" i="13" s="1"/>
  <c r="E1353" i="13" s="1"/>
  <c r="E1354" i="13" s="1"/>
  <c r="E1355" i="13" s="1"/>
  <c r="E1356" i="13" s="1"/>
  <c r="E1357" i="13" s="1"/>
  <c r="E1358" i="13" s="1"/>
  <c r="E1359" i="13" s="1"/>
  <c r="E1360" i="13" s="1"/>
  <c r="E1361" i="13" s="1"/>
  <c r="E1362" i="13" s="1"/>
  <c r="E1363" i="13" s="1"/>
  <c r="E1364" i="13" s="1"/>
  <c r="E1365" i="13" s="1"/>
  <c r="E1366" i="13" s="1"/>
  <c r="E1367" i="13" s="1"/>
  <c r="E1368" i="13" s="1"/>
  <c r="E1369" i="13" s="1"/>
  <c r="E1370" i="13" s="1"/>
  <c r="E1371" i="13" s="1"/>
  <c r="E1372" i="13" s="1"/>
  <c r="E1373" i="13" s="1"/>
  <c r="E1374" i="13" s="1"/>
  <c r="E1375" i="13" s="1"/>
  <c r="E1376" i="13" s="1"/>
  <c r="E1377" i="13" s="1"/>
  <c r="E1378" i="13" s="1"/>
  <c r="E1379" i="13" s="1"/>
  <c r="E1380" i="13" s="1"/>
  <c r="E1381" i="13" s="1"/>
  <c r="E1382" i="13" s="1"/>
  <c r="E1383" i="13" s="1"/>
  <c r="E1384" i="13" s="1"/>
  <c r="E1385" i="13" s="1"/>
  <c r="E1386" i="13" s="1"/>
  <c r="E1387" i="13" s="1"/>
  <c r="E1388" i="13" s="1"/>
  <c r="E1389" i="13" s="1"/>
  <c r="E1390" i="13" s="1"/>
  <c r="E1391" i="13" s="1"/>
  <c r="E1392" i="13" s="1"/>
  <c r="E1393" i="13" s="1"/>
  <c r="E1394" i="13" s="1"/>
  <c r="E1395" i="13" s="1"/>
  <c r="E1396" i="13" s="1"/>
  <c r="E1397" i="13" s="1"/>
  <c r="E1398" i="13" s="1"/>
  <c r="E1399" i="13" s="1"/>
  <c r="E1400" i="13" s="1"/>
  <c r="E1401" i="13" s="1"/>
  <c r="E1402" i="13" s="1"/>
  <c r="E1403" i="13" s="1"/>
  <c r="E1404" i="13" s="1"/>
  <c r="E1405" i="13" s="1"/>
  <c r="E1406" i="13" s="1"/>
  <c r="E1407" i="13" s="1"/>
  <c r="E1408" i="13" s="1"/>
  <c r="E1409" i="13" s="1"/>
  <c r="E1410" i="13" s="1"/>
  <c r="E1411" i="13" s="1"/>
  <c r="E1412" i="13" s="1"/>
  <c r="E1413" i="13" s="1"/>
  <c r="E1414" i="13" s="1"/>
  <c r="E1415" i="13" s="1"/>
  <c r="E1416" i="13" s="1"/>
  <c r="E1417" i="13" s="1"/>
  <c r="E1418" i="13" s="1"/>
  <c r="E1419" i="13" s="1"/>
  <c r="E1420" i="13" s="1"/>
  <c r="E1421" i="13" s="1"/>
  <c r="E1422" i="13" s="1"/>
  <c r="E1423" i="13" s="1"/>
  <c r="E1424" i="13" s="1"/>
  <c r="E1425" i="13" s="1"/>
  <c r="E1426" i="13" s="1"/>
  <c r="E1427" i="13" s="1"/>
  <c r="E1428" i="13" s="1"/>
  <c r="E1429" i="13" s="1"/>
  <c r="E1430" i="13" s="1"/>
  <c r="E1431" i="13" s="1"/>
  <c r="E1432" i="13" s="1"/>
  <c r="E1433" i="13" s="1"/>
  <c r="E1434" i="13" s="1"/>
  <c r="E1435" i="13" s="1"/>
  <c r="E1436" i="13" s="1"/>
  <c r="E1437" i="13" s="1"/>
  <c r="E1438" i="13" s="1"/>
  <c r="E1439" i="13" s="1"/>
  <c r="E1440" i="13" s="1"/>
  <c r="E1441" i="13" s="1"/>
  <c r="E1442" i="13" s="1"/>
  <c r="E1443" i="13" s="1"/>
  <c r="E1444" i="13" s="1"/>
  <c r="E1445" i="13" s="1"/>
  <c r="E1446" i="13" s="1"/>
  <c r="E1447" i="13" s="1"/>
  <c r="E1448" i="13" s="1"/>
  <c r="E1449" i="13" s="1"/>
  <c r="E1450" i="13" s="1"/>
  <c r="E1451" i="13" s="1"/>
  <c r="E1452" i="13" s="1"/>
  <c r="E1453" i="13" s="1"/>
  <c r="E1454" i="13" s="1"/>
  <c r="E1455" i="13" s="1"/>
  <c r="E1456" i="13" s="1"/>
  <c r="E1457" i="13" s="1"/>
  <c r="E1458" i="13" s="1"/>
  <c r="E1459" i="13" s="1"/>
  <c r="E1460" i="13" s="1"/>
  <c r="E1461" i="13" s="1"/>
  <c r="E1462" i="13" s="1"/>
  <c r="E1463" i="13" s="1"/>
  <c r="E1464" i="13" s="1"/>
  <c r="E1465" i="13" s="1"/>
  <c r="E1466" i="13" s="1"/>
  <c r="E1467" i="13" s="1"/>
  <c r="E1468" i="13" s="1"/>
  <c r="E1469" i="13" s="1"/>
  <c r="E1470" i="13" s="1"/>
  <c r="E1471" i="13" s="1"/>
  <c r="E1472" i="13" s="1"/>
  <c r="E1473" i="13" s="1"/>
  <c r="E1474" i="13" s="1"/>
  <c r="E1475" i="13" s="1"/>
  <c r="E1476" i="13" s="1"/>
  <c r="E1477" i="13" s="1"/>
  <c r="E1478" i="13" s="1"/>
  <c r="E1479" i="13" s="1"/>
  <c r="E1480" i="13" s="1"/>
  <c r="E1481" i="13" s="1"/>
  <c r="E1482" i="13" s="1"/>
  <c r="E1483" i="13" s="1"/>
  <c r="E1484" i="13" s="1"/>
  <c r="E1485" i="13" s="1"/>
  <c r="E1486" i="13" s="1"/>
  <c r="E1487" i="13" s="1"/>
  <c r="E1488" i="13" s="1"/>
  <c r="E1489" i="13" s="1"/>
  <c r="E1490" i="13" s="1"/>
  <c r="E1491" i="13" s="1"/>
  <c r="E1492" i="13" s="1"/>
  <c r="E1493" i="13" s="1"/>
  <c r="E1494" i="13" s="1"/>
  <c r="E1495" i="13" s="1"/>
  <c r="E1496" i="13" s="1"/>
  <c r="E1497" i="13" s="1"/>
  <c r="E1498" i="13" s="1"/>
  <c r="E1499" i="13" s="1"/>
  <c r="E1500" i="13" s="1"/>
  <c r="E1501" i="13" s="1"/>
  <c r="E1502" i="13" s="1"/>
  <c r="E1503" i="13" s="1"/>
  <c r="E1504" i="13" s="1"/>
  <c r="E1505" i="13" s="1"/>
  <c r="E1506" i="13" s="1"/>
  <c r="E1507" i="13" s="1"/>
  <c r="E1508" i="13" s="1"/>
  <c r="E1509" i="13" s="1"/>
  <c r="E1510" i="13" s="1"/>
  <c r="E1511" i="13" s="1"/>
  <c r="E1512" i="13" s="1"/>
  <c r="E1513" i="13" s="1"/>
  <c r="E1514" i="13" s="1"/>
  <c r="E1515" i="13" s="1"/>
  <c r="E1516" i="13" s="1"/>
  <c r="E1517" i="13" s="1"/>
  <c r="E1518" i="13" s="1"/>
  <c r="E1519" i="13" s="1"/>
  <c r="E1520" i="13" s="1"/>
  <c r="E1521" i="13" s="1"/>
  <c r="E1522" i="13" s="1"/>
  <c r="E1523" i="13" s="1"/>
  <c r="E1524" i="13" s="1"/>
  <c r="E1525" i="13" s="1"/>
  <c r="E1526" i="13" s="1"/>
  <c r="E1527" i="13" s="1"/>
  <c r="E1528" i="13" s="1"/>
  <c r="E1529" i="13" s="1"/>
  <c r="E1530" i="13" s="1"/>
  <c r="E1531" i="13" s="1"/>
  <c r="E1532" i="13" s="1"/>
  <c r="E1533" i="13" s="1"/>
  <c r="E1534" i="13" s="1"/>
  <c r="E1535" i="13" s="1"/>
  <c r="E1536" i="13" s="1"/>
  <c r="E1537" i="13" s="1"/>
  <c r="E1538" i="13" s="1"/>
  <c r="E1539" i="13" s="1"/>
  <c r="E1540" i="13" s="1"/>
  <c r="E1541" i="13" s="1"/>
  <c r="E1542" i="13" s="1"/>
  <c r="E1543" i="13" s="1"/>
  <c r="E1544" i="13" s="1"/>
  <c r="E1545" i="13" s="1"/>
  <c r="E1546" i="13" s="1"/>
  <c r="E1547" i="13" s="1"/>
  <c r="E1548" i="13" s="1"/>
  <c r="E1549" i="13" s="1"/>
  <c r="E1550" i="13" s="1"/>
  <c r="E1551" i="13" s="1"/>
  <c r="E1552" i="13" s="1"/>
  <c r="E1553" i="13" s="1"/>
  <c r="E1554" i="13" s="1"/>
  <c r="E1555" i="13" s="1"/>
  <c r="E1556" i="13" s="1"/>
  <c r="E1557" i="13" s="1"/>
  <c r="E1558" i="13" s="1"/>
  <c r="E1559" i="13" s="1"/>
  <c r="E1560" i="13" s="1"/>
  <c r="E1561" i="13" s="1"/>
  <c r="E1562" i="13" s="1"/>
  <c r="E1563" i="13" s="1"/>
  <c r="E1564" i="13" s="1"/>
  <c r="E1565" i="13" s="1"/>
  <c r="E1566" i="13" s="1"/>
  <c r="E1567" i="13" s="1"/>
  <c r="E1568" i="13" s="1"/>
  <c r="E1569" i="13" s="1"/>
  <c r="E1570" i="13" s="1"/>
  <c r="E1571" i="13" s="1"/>
  <c r="E1572" i="13" s="1"/>
  <c r="E1573" i="13" s="1"/>
  <c r="E1574" i="13" s="1"/>
  <c r="E1575" i="13" s="1"/>
  <c r="E1576" i="13" s="1"/>
  <c r="E1577" i="13" s="1"/>
  <c r="E1578" i="13" s="1"/>
  <c r="E1579" i="13" s="1"/>
  <c r="E1580" i="13" s="1"/>
  <c r="E1581" i="13" s="1"/>
  <c r="E1582" i="13" s="1"/>
  <c r="E1583" i="13" s="1"/>
  <c r="E1584" i="13" s="1"/>
  <c r="E1585" i="13" s="1"/>
  <c r="E1586" i="13" s="1"/>
  <c r="E1587" i="13" s="1"/>
  <c r="E1588" i="13" s="1"/>
  <c r="E1589" i="13" s="1"/>
  <c r="E1590" i="13" s="1"/>
  <c r="E1591" i="13" s="1"/>
  <c r="E1592" i="13" s="1"/>
  <c r="E1593" i="13" s="1"/>
  <c r="E1594" i="13" s="1"/>
  <c r="E1595" i="13" s="1"/>
  <c r="E1596" i="13" s="1"/>
  <c r="E1597" i="13" s="1"/>
  <c r="E1598" i="13" s="1"/>
  <c r="E1599" i="13" s="1"/>
  <c r="E1600" i="13" s="1"/>
  <c r="E1601" i="13" s="1"/>
  <c r="E1602" i="13" s="1"/>
  <c r="E1603" i="13" s="1"/>
  <c r="E1604" i="13" s="1"/>
  <c r="E1605" i="13" s="1"/>
  <c r="E1606" i="13" s="1"/>
  <c r="E1607" i="13" s="1"/>
  <c r="E1608" i="13" s="1"/>
  <c r="E1609" i="13" s="1"/>
  <c r="E1610" i="13" s="1"/>
  <c r="E1611" i="13" s="1"/>
  <c r="E1612" i="13" s="1"/>
  <c r="E1613" i="13" s="1"/>
  <c r="E1614" i="13" s="1"/>
  <c r="E1615" i="13" s="1"/>
  <c r="E1616" i="13" s="1"/>
  <c r="E1617" i="13" s="1"/>
  <c r="E1618" i="13" s="1"/>
  <c r="E1619" i="13" s="1"/>
  <c r="E1620" i="13" s="1"/>
  <c r="E1621" i="13" s="1"/>
  <c r="E1622" i="13" s="1"/>
  <c r="E1623" i="13" s="1"/>
  <c r="E1624" i="13" s="1"/>
  <c r="E1625" i="13" s="1"/>
  <c r="E1626" i="13" s="1"/>
  <c r="E1627" i="13" s="1"/>
  <c r="E1628" i="13" s="1"/>
  <c r="E1629" i="13" s="1"/>
  <c r="E1630" i="13" s="1"/>
  <c r="E1631" i="13" s="1"/>
  <c r="E1632" i="13" s="1"/>
  <c r="E1633" i="13" s="1"/>
  <c r="E1634" i="13" s="1"/>
  <c r="E1635" i="13" s="1"/>
  <c r="E1636" i="13" s="1"/>
  <c r="E1637" i="13" s="1"/>
  <c r="E1638" i="13" s="1"/>
  <c r="E1639" i="13" s="1"/>
  <c r="E1640" i="13" s="1"/>
  <c r="E1641" i="13" s="1"/>
  <c r="E1642" i="13" s="1"/>
  <c r="E1643" i="13" s="1"/>
  <c r="E1644" i="13" s="1"/>
  <c r="E1645" i="13" s="1"/>
  <c r="E1646" i="13" s="1"/>
  <c r="E1647" i="13" s="1"/>
  <c r="E1648" i="13" s="1"/>
  <c r="E1649" i="13" s="1"/>
  <c r="E1650" i="13" s="1"/>
  <c r="E1651" i="13" s="1"/>
  <c r="E1652" i="13" s="1"/>
  <c r="E1653" i="13" s="1"/>
  <c r="E1654" i="13" s="1"/>
  <c r="E1655" i="13" s="1"/>
  <c r="E1656" i="13" s="1"/>
  <c r="E1657" i="13" s="1"/>
  <c r="E1658" i="13" s="1"/>
  <c r="E1659" i="13" s="1"/>
  <c r="E1660" i="13" s="1"/>
  <c r="E1661" i="13" s="1"/>
  <c r="E1662" i="13" s="1"/>
  <c r="E1663" i="13" s="1"/>
  <c r="E1664" i="13" s="1"/>
  <c r="E1665" i="13" s="1"/>
  <c r="E1666" i="13" s="1"/>
  <c r="E1667" i="13" s="1"/>
  <c r="E1668" i="13" s="1"/>
  <c r="E1669" i="13" s="1"/>
  <c r="E1670" i="13" s="1"/>
  <c r="E1671" i="13" s="1"/>
  <c r="E1672" i="13" s="1"/>
  <c r="E1673" i="13" s="1"/>
  <c r="E1674" i="13" s="1"/>
  <c r="E1675" i="13" s="1"/>
  <c r="E1676" i="13" s="1"/>
  <c r="E1677" i="13" s="1"/>
  <c r="E1678" i="13" s="1"/>
  <c r="E1679" i="13" s="1"/>
  <c r="E1680" i="13" s="1"/>
  <c r="E1681" i="13" s="1"/>
  <c r="E1682" i="13" s="1"/>
  <c r="E1683" i="13" s="1"/>
  <c r="E1684" i="13" s="1"/>
  <c r="E1685" i="13" s="1"/>
  <c r="E1686" i="13" s="1"/>
  <c r="E1687" i="13" s="1"/>
  <c r="E1688" i="13" s="1"/>
  <c r="E1689" i="13" s="1"/>
  <c r="E1690" i="13" s="1"/>
  <c r="E1691" i="13" s="1"/>
  <c r="E1692" i="13" s="1"/>
  <c r="E1693" i="13" s="1"/>
  <c r="E1694" i="13" s="1"/>
  <c r="E1695" i="13" s="1"/>
  <c r="E1696" i="13" s="1"/>
  <c r="E1697" i="13" s="1"/>
  <c r="E1698" i="13" s="1"/>
  <c r="E1699" i="13" s="1"/>
  <c r="E1700" i="13" s="1"/>
  <c r="E1701" i="13" s="1"/>
  <c r="E1702" i="13" s="1"/>
  <c r="E1703" i="13" s="1"/>
  <c r="E1704" i="13" s="1"/>
  <c r="E1705" i="13" s="1"/>
  <c r="E1706" i="13" s="1"/>
  <c r="E1707" i="13" s="1"/>
  <c r="E1708" i="13" s="1"/>
  <c r="E1709" i="13" s="1"/>
  <c r="E1710" i="13" s="1"/>
  <c r="E1711" i="13" s="1"/>
  <c r="E1712" i="13" s="1"/>
  <c r="E1713" i="13" s="1"/>
  <c r="E1714" i="13" s="1"/>
  <c r="E1715" i="13" s="1"/>
  <c r="E1716" i="13" s="1"/>
  <c r="E1717" i="13" s="1"/>
  <c r="E1718" i="13" s="1"/>
  <c r="E1719" i="13" s="1"/>
  <c r="E1720" i="13" s="1"/>
  <c r="E1721" i="13" s="1"/>
  <c r="E1722" i="13" s="1"/>
  <c r="E1723" i="13" s="1"/>
  <c r="E1724" i="13" s="1"/>
  <c r="E1725" i="13" s="1"/>
  <c r="E1726" i="13" s="1"/>
  <c r="E1727" i="13" s="1"/>
  <c r="E1728" i="13" s="1"/>
  <c r="E1729" i="13" s="1"/>
  <c r="E1730" i="13" s="1"/>
  <c r="E1731" i="13" s="1"/>
  <c r="E1732" i="13" s="1"/>
  <c r="E1733" i="13" s="1"/>
  <c r="E1734" i="13" s="1"/>
  <c r="E1735" i="13" s="1"/>
  <c r="E1736" i="13" s="1"/>
  <c r="E1737" i="13" s="1"/>
  <c r="E1738" i="13" s="1"/>
  <c r="E1739" i="13" s="1"/>
  <c r="E1740" i="13" s="1"/>
  <c r="E1741" i="13" s="1"/>
  <c r="E1742" i="13" s="1"/>
  <c r="E1743" i="13" s="1"/>
  <c r="E1744" i="13" s="1"/>
  <c r="E1745" i="13" s="1"/>
  <c r="E1746" i="13" s="1"/>
  <c r="E1747" i="13" s="1"/>
  <c r="E1748" i="13" s="1"/>
  <c r="E1749" i="13" s="1"/>
  <c r="E1750" i="13" s="1"/>
  <c r="E1751" i="13" s="1"/>
  <c r="E1752" i="13" s="1"/>
  <c r="E1753" i="13" s="1"/>
  <c r="E1754" i="13" s="1"/>
  <c r="E1755" i="13" s="1"/>
  <c r="E1756" i="13" s="1"/>
  <c r="E1757" i="13" s="1"/>
  <c r="E1758" i="13" s="1"/>
  <c r="E1759" i="13" s="1"/>
  <c r="E1760" i="13" s="1"/>
  <c r="E1761" i="13" s="1"/>
  <c r="E1762" i="13" s="1"/>
  <c r="E1763" i="13" s="1"/>
  <c r="E1764" i="13" s="1"/>
  <c r="E1765" i="13" s="1"/>
  <c r="E1766" i="13" s="1"/>
  <c r="E1767" i="13" s="1"/>
  <c r="E1768" i="13" s="1"/>
  <c r="E1769" i="13" s="1"/>
  <c r="E1770" i="13" s="1"/>
  <c r="E1771" i="13" s="1"/>
  <c r="E1772" i="13" s="1"/>
  <c r="E1773" i="13" s="1"/>
  <c r="E1774" i="13" s="1"/>
  <c r="E1775" i="13" s="1"/>
  <c r="E1776" i="13" s="1"/>
  <c r="E1777" i="13" s="1"/>
  <c r="E1778" i="13" s="1"/>
  <c r="E1779" i="13" s="1"/>
  <c r="E1780" i="13" s="1"/>
  <c r="E1781" i="13" s="1"/>
  <c r="E1782" i="13" s="1"/>
  <c r="E1783" i="13" s="1"/>
  <c r="E1784" i="13" s="1"/>
  <c r="E1785" i="13" s="1"/>
  <c r="E1786" i="13" s="1"/>
  <c r="E1787" i="13" s="1"/>
  <c r="E1788" i="13" s="1"/>
  <c r="E1789" i="13" s="1"/>
  <c r="E1790" i="13" s="1"/>
  <c r="E1791" i="13" s="1"/>
  <c r="E1792" i="13" s="1"/>
  <c r="E1793" i="13" s="1"/>
  <c r="E1794" i="13" s="1"/>
  <c r="E1795" i="13" s="1"/>
  <c r="E1796" i="13" s="1"/>
  <c r="E1797" i="13" s="1"/>
  <c r="E1798" i="13" s="1"/>
  <c r="E1799" i="13" s="1"/>
  <c r="E1800" i="13" s="1"/>
  <c r="E1801" i="13" s="1"/>
  <c r="E1802" i="13" s="1"/>
  <c r="E1803" i="13" s="1"/>
  <c r="E1804" i="13" s="1"/>
  <c r="E1805" i="13" s="1"/>
  <c r="E1806" i="13" s="1"/>
  <c r="E1807" i="13" s="1"/>
  <c r="E1808" i="13" s="1"/>
  <c r="E1809" i="13" s="1"/>
  <c r="E1810" i="13" s="1"/>
  <c r="E1811" i="13" s="1"/>
  <c r="E1812" i="13" s="1"/>
  <c r="E1813" i="13" s="1"/>
  <c r="E1814" i="13" s="1"/>
  <c r="E1815" i="13" s="1"/>
  <c r="E1816" i="13" s="1"/>
  <c r="E1817" i="13" s="1"/>
  <c r="E1818" i="13" s="1"/>
  <c r="E1819" i="13" s="1"/>
  <c r="E1820" i="13" s="1"/>
  <c r="E1821" i="13" s="1"/>
  <c r="E1822" i="13" s="1"/>
  <c r="E1823" i="13" s="1"/>
  <c r="E1824" i="13" s="1"/>
  <c r="E1825" i="13" s="1"/>
  <c r="E1826" i="13" s="1"/>
  <c r="E1827" i="13" s="1"/>
  <c r="E1828" i="13" s="1"/>
  <c r="E1829" i="13" s="1"/>
  <c r="E1830" i="13" s="1"/>
  <c r="E1831" i="13" s="1"/>
  <c r="E1832" i="13" s="1"/>
  <c r="E1833" i="13" s="1"/>
  <c r="E1834" i="13" s="1"/>
  <c r="E1835" i="13" s="1"/>
  <c r="E1836" i="13" s="1"/>
  <c r="E1837" i="13" s="1"/>
  <c r="E1838" i="13" s="1"/>
  <c r="E1839" i="13" s="1"/>
  <c r="E1840" i="13" s="1"/>
  <c r="E1841" i="13" s="1"/>
  <c r="E1842" i="13" s="1"/>
  <c r="E1843" i="13" s="1"/>
  <c r="E1844" i="13" s="1"/>
  <c r="E1845" i="13" s="1"/>
  <c r="E1846" i="13" s="1"/>
  <c r="E1847" i="13" s="1"/>
  <c r="E1848" i="13" s="1"/>
  <c r="E1849" i="13" s="1"/>
  <c r="E1850" i="13" s="1"/>
  <c r="E1851" i="13" s="1"/>
  <c r="E1852" i="13" s="1"/>
  <c r="E1853" i="13" s="1"/>
  <c r="E1854" i="13" s="1"/>
  <c r="E1855" i="13" s="1"/>
  <c r="E1856" i="13" s="1"/>
  <c r="E1857" i="13" s="1"/>
  <c r="E1858" i="13" s="1"/>
  <c r="E1859" i="13" s="1"/>
  <c r="E1860" i="13" s="1"/>
  <c r="E1861" i="13" s="1"/>
  <c r="E1862" i="13" s="1"/>
  <c r="E1863" i="13" s="1"/>
  <c r="E1864" i="13" s="1"/>
  <c r="E1865" i="13" s="1"/>
  <c r="E1866" i="13" s="1"/>
  <c r="E1867" i="13" s="1"/>
  <c r="E1868" i="13" s="1"/>
  <c r="E1869" i="13" s="1"/>
  <c r="E1870" i="13" s="1"/>
  <c r="E1871" i="13" s="1"/>
  <c r="E1872" i="13" s="1"/>
  <c r="E1873" i="13" s="1"/>
  <c r="E1874" i="13" s="1"/>
  <c r="E1875" i="13" s="1"/>
  <c r="E1876" i="13" s="1"/>
  <c r="E1877" i="13" s="1"/>
  <c r="E1878" i="13" s="1"/>
  <c r="E1879" i="13" s="1"/>
  <c r="E1880" i="13" s="1"/>
  <c r="E1881" i="13" s="1"/>
  <c r="E1882" i="13" s="1"/>
  <c r="E1883" i="13" s="1"/>
  <c r="E1884" i="13" s="1"/>
  <c r="E1885" i="13" s="1"/>
  <c r="E1886" i="13" s="1"/>
  <c r="E1887" i="13" s="1"/>
  <c r="E1888" i="13" s="1"/>
  <c r="E1889" i="13" s="1"/>
  <c r="E1890" i="13" s="1"/>
  <c r="E1891" i="13" s="1"/>
  <c r="E1892" i="13" s="1"/>
  <c r="E1893" i="13" s="1"/>
  <c r="E1894" i="13" s="1"/>
  <c r="E1895" i="13" s="1"/>
  <c r="E1896" i="13" s="1"/>
  <c r="E1897" i="13" s="1"/>
  <c r="E1898" i="13" s="1"/>
  <c r="E1899" i="13" s="1"/>
  <c r="E1900" i="13" s="1"/>
  <c r="E1901" i="13" s="1"/>
  <c r="E1902" i="13" s="1"/>
  <c r="E1903" i="13" s="1"/>
  <c r="E1904" i="13" s="1"/>
  <c r="E1905" i="13" s="1"/>
  <c r="E1906" i="13" s="1"/>
  <c r="E1907" i="13" s="1"/>
  <c r="E1908" i="13" s="1"/>
  <c r="E1909" i="13" s="1"/>
  <c r="E1910" i="13" s="1"/>
  <c r="E1911" i="13" s="1"/>
  <c r="E1912" i="13" s="1"/>
  <c r="E1913" i="13" s="1"/>
  <c r="E1914" i="13" s="1"/>
  <c r="E1915" i="13" s="1"/>
  <c r="E1916" i="13" s="1"/>
  <c r="E1917" i="13" s="1"/>
  <c r="E1918" i="13" s="1"/>
  <c r="E1919" i="13" s="1"/>
  <c r="E1920" i="13" s="1"/>
  <c r="E1921" i="13" s="1"/>
  <c r="E1922" i="13" s="1"/>
  <c r="E1923" i="13" s="1"/>
  <c r="E1924" i="13" s="1"/>
  <c r="E1925" i="13" s="1"/>
  <c r="E1926" i="13" s="1"/>
  <c r="E1927" i="13" s="1"/>
  <c r="E1928" i="13" s="1"/>
  <c r="E1929" i="13" s="1"/>
  <c r="E1930" i="13" s="1"/>
  <c r="E1931" i="13" s="1"/>
  <c r="E1932" i="13" s="1"/>
  <c r="E1933" i="13" s="1"/>
  <c r="E1934" i="13" s="1"/>
  <c r="E1935" i="13" s="1"/>
  <c r="E1936" i="13" s="1"/>
  <c r="E1937" i="13" s="1"/>
  <c r="E1938" i="13" s="1"/>
  <c r="E1939" i="13" s="1"/>
  <c r="E1940" i="13" s="1"/>
  <c r="E1941" i="13" s="1"/>
  <c r="E1942" i="13" s="1"/>
  <c r="E1943" i="13" s="1"/>
  <c r="E1944" i="13" s="1"/>
  <c r="E1945" i="13" s="1"/>
  <c r="E1946" i="13" s="1"/>
  <c r="E1947" i="13" s="1"/>
  <c r="E1948" i="13" s="1"/>
  <c r="E1949" i="13" s="1"/>
  <c r="E1950" i="13" s="1"/>
  <c r="E1951" i="13" s="1"/>
  <c r="E1952" i="13" s="1"/>
  <c r="E1953" i="13" s="1"/>
  <c r="E1954" i="13" s="1"/>
  <c r="E1955" i="13" s="1"/>
  <c r="E1956" i="13" s="1"/>
  <c r="E1957" i="13" s="1"/>
  <c r="E1958" i="13" s="1"/>
  <c r="E1959" i="13" s="1"/>
  <c r="E1960" i="13" s="1"/>
  <c r="E1961" i="13" s="1"/>
  <c r="E1962" i="13" s="1"/>
  <c r="E1963" i="13" s="1"/>
  <c r="E1964" i="13" s="1"/>
  <c r="E1965" i="13" s="1"/>
  <c r="E1966" i="13" s="1"/>
  <c r="E1967" i="13" s="1"/>
  <c r="E1968" i="13" s="1"/>
  <c r="E1969" i="13" s="1"/>
  <c r="E1970" i="13" s="1"/>
  <c r="E1971" i="13" s="1"/>
  <c r="E1972" i="13" s="1"/>
  <c r="E1973" i="13" s="1"/>
  <c r="E1974" i="13" s="1"/>
  <c r="E1975" i="13" s="1"/>
  <c r="E1976" i="13" s="1"/>
  <c r="E1977" i="13" s="1"/>
  <c r="E1978" i="13" s="1"/>
  <c r="E1979" i="13" s="1"/>
  <c r="E1980" i="13" s="1"/>
  <c r="E1981" i="13" s="1"/>
  <c r="E1982" i="13" s="1"/>
  <c r="E1983" i="13" s="1"/>
  <c r="E1984" i="13" s="1"/>
  <c r="E1985" i="13" s="1"/>
  <c r="E1986" i="13" s="1"/>
  <c r="E1987" i="13" s="1"/>
  <c r="E1988" i="13" s="1"/>
  <c r="E1989" i="13" s="1"/>
  <c r="E1990" i="13" s="1"/>
  <c r="E1991" i="13" s="1"/>
  <c r="E1992" i="13" s="1"/>
  <c r="E1993" i="13" s="1"/>
  <c r="E1994" i="13" s="1"/>
  <c r="E1995" i="13" s="1"/>
  <c r="E1996" i="13" s="1"/>
  <c r="E1997" i="13" s="1"/>
  <c r="E1998" i="13" s="1"/>
  <c r="E1999" i="13" s="1"/>
  <c r="E2000" i="13" s="1"/>
  <c r="E2001" i="13" s="1"/>
  <c r="E2002" i="13" s="1"/>
  <c r="E2003" i="13" s="1"/>
  <c r="E2004" i="13" s="1"/>
  <c r="E2005" i="13" s="1"/>
  <c r="E2006" i="13" s="1"/>
  <c r="E2007" i="13" s="1"/>
  <c r="E2008" i="13" s="1"/>
  <c r="E2009" i="13" s="1"/>
  <c r="E2010" i="13" s="1"/>
  <c r="E2011" i="13" s="1"/>
  <c r="E2012" i="13" s="1"/>
  <c r="E2013" i="13" s="1"/>
  <c r="E2014" i="13" s="1"/>
  <c r="E2015" i="13" s="1"/>
  <c r="E2016" i="13" s="1"/>
  <c r="E2017" i="13" s="1"/>
  <c r="E2018" i="13" s="1"/>
  <c r="E2019" i="13" s="1"/>
  <c r="E2020" i="13" s="1"/>
  <c r="E2021" i="13" s="1"/>
  <c r="E2022" i="13" s="1"/>
  <c r="E2023" i="13" s="1"/>
  <c r="E2024" i="13" s="1"/>
  <c r="E2025" i="13" s="1"/>
  <c r="E2026" i="13" s="1"/>
  <c r="E2027" i="13" s="1"/>
  <c r="E2028" i="13" s="1"/>
  <c r="E2029" i="13" s="1"/>
  <c r="E2030" i="13" s="1"/>
  <c r="E2031" i="13" s="1"/>
  <c r="E2032" i="13" s="1"/>
  <c r="E2033" i="13" s="1"/>
  <c r="E2034" i="13" s="1"/>
  <c r="E2035" i="13" s="1"/>
  <c r="E2036" i="13" s="1"/>
  <c r="E2037" i="13" s="1"/>
  <c r="E2038" i="13" s="1"/>
  <c r="E2039" i="13" s="1"/>
  <c r="E2040" i="13" s="1"/>
  <c r="E2041" i="13" s="1"/>
  <c r="E2042" i="13" s="1"/>
  <c r="E2043" i="13" s="1"/>
  <c r="E2044" i="13" s="1"/>
  <c r="E2045" i="13" s="1"/>
  <c r="E2046" i="13" s="1"/>
  <c r="E2047" i="13" s="1"/>
  <c r="E2048" i="13" s="1"/>
  <c r="E2049" i="13" s="1"/>
  <c r="E2050" i="13" s="1"/>
  <c r="E2051" i="13" s="1"/>
  <c r="E2052" i="13" s="1"/>
  <c r="E2053" i="13" s="1"/>
  <c r="E2054" i="13" s="1"/>
  <c r="E2055" i="13" s="1"/>
  <c r="E2056" i="13" s="1"/>
  <c r="E2057" i="13" s="1"/>
  <c r="E2058" i="13" s="1"/>
  <c r="E2059" i="13" s="1"/>
  <c r="E2060" i="13" s="1"/>
  <c r="E2061" i="13" s="1"/>
  <c r="E2062" i="13" s="1"/>
  <c r="E2063" i="13" s="1"/>
  <c r="E2064" i="13" s="1"/>
  <c r="E2065" i="13" s="1"/>
  <c r="E2066" i="13" s="1"/>
  <c r="E2067" i="13" s="1"/>
  <c r="E2068" i="13" s="1"/>
  <c r="E2069" i="13" s="1"/>
  <c r="E2070" i="13" s="1"/>
  <c r="E2071" i="13" s="1"/>
  <c r="E2072" i="13" s="1"/>
  <c r="E2073" i="13" s="1"/>
  <c r="E2074" i="13" s="1"/>
  <c r="E2075" i="13" s="1"/>
  <c r="E2076" i="13" s="1"/>
  <c r="E2077" i="13" s="1"/>
  <c r="E2078" i="13" s="1"/>
  <c r="E2079" i="13" s="1"/>
  <c r="E2080" i="13" s="1"/>
  <c r="E2081" i="13" s="1"/>
  <c r="E2082" i="13" s="1"/>
  <c r="E2083" i="13" s="1"/>
  <c r="E2084" i="13" s="1"/>
  <c r="E2085" i="13" s="1"/>
  <c r="E2086" i="13" s="1"/>
  <c r="E2087" i="13" s="1"/>
  <c r="E2088" i="13" s="1"/>
  <c r="E2089" i="13" s="1"/>
  <c r="E2090" i="13" s="1"/>
  <c r="E2091" i="13" s="1"/>
  <c r="E2092" i="13" s="1"/>
  <c r="E2093" i="13" s="1"/>
  <c r="E2094" i="13" s="1"/>
  <c r="E2095" i="13" s="1"/>
  <c r="E2096" i="13" s="1"/>
  <c r="E2097" i="13" s="1"/>
  <c r="E2098" i="13" s="1"/>
  <c r="E2099" i="13" s="1"/>
  <c r="E2100" i="13" s="1"/>
  <c r="E2101" i="13" s="1"/>
  <c r="E2102" i="13" s="1"/>
  <c r="E2103" i="13" s="1"/>
  <c r="E2104" i="13" s="1"/>
  <c r="E2105" i="13" s="1"/>
  <c r="E2106" i="13" s="1"/>
  <c r="E2107" i="13" s="1"/>
  <c r="E2108" i="13" s="1"/>
  <c r="E2109" i="13" s="1"/>
  <c r="E2110" i="13" s="1"/>
  <c r="E2111" i="13" s="1"/>
  <c r="E2112" i="13" s="1"/>
  <c r="E2113" i="13" s="1"/>
  <c r="E2114" i="13" s="1"/>
  <c r="E2115" i="13" s="1"/>
  <c r="E2116" i="13" s="1"/>
  <c r="E2117" i="13" s="1"/>
  <c r="E2118" i="13" s="1"/>
  <c r="E2119" i="13" s="1"/>
  <c r="E2120" i="13" s="1"/>
  <c r="E2121" i="13" s="1"/>
  <c r="E2122" i="13" s="1"/>
  <c r="E2123" i="13" s="1"/>
  <c r="E2124" i="13" s="1"/>
  <c r="E2125" i="13" s="1"/>
  <c r="E2126" i="13" s="1"/>
  <c r="E2127" i="13" s="1"/>
  <c r="E2128" i="13" s="1"/>
  <c r="E2129" i="13" s="1"/>
  <c r="E2130" i="13" s="1"/>
  <c r="E2131" i="13" s="1"/>
  <c r="E2132" i="13" s="1"/>
  <c r="E2133" i="13" s="1"/>
  <c r="E2134" i="13" s="1"/>
  <c r="E2135" i="13" s="1"/>
  <c r="E2136" i="13" s="1"/>
  <c r="E2137" i="13" s="1"/>
  <c r="E2138" i="13" s="1"/>
  <c r="E2139" i="13" s="1"/>
  <c r="E2140" i="13" s="1"/>
  <c r="E2141" i="13" s="1"/>
  <c r="E2142" i="13" s="1"/>
  <c r="E2143" i="13" s="1"/>
  <c r="E2144" i="13" s="1"/>
  <c r="E2145" i="13" s="1"/>
  <c r="E2146" i="13" s="1"/>
  <c r="E2147" i="13" s="1"/>
  <c r="E2148" i="13" s="1"/>
  <c r="E2149" i="13" s="1"/>
  <c r="E2150" i="13" s="1"/>
  <c r="E2151" i="13" s="1"/>
  <c r="E2152" i="13" s="1"/>
  <c r="E2153" i="13" s="1"/>
  <c r="E2154" i="13" s="1"/>
  <c r="E2155" i="13" s="1"/>
  <c r="E2156" i="13" s="1"/>
  <c r="E2157" i="13" s="1"/>
  <c r="E2158" i="13" s="1"/>
  <c r="E2159" i="13" s="1"/>
  <c r="E2160" i="13" s="1"/>
  <c r="E2161" i="13" s="1"/>
  <c r="E2162" i="13" s="1"/>
  <c r="E2163" i="13" s="1"/>
  <c r="E2164" i="13" s="1"/>
  <c r="E2165" i="13" s="1"/>
  <c r="E2166" i="13" s="1"/>
  <c r="E2167" i="13" s="1"/>
  <c r="E2168" i="13" s="1"/>
  <c r="E2169" i="13" s="1"/>
  <c r="E2170" i="13" s="1"/>
  <c r="E2171" i="13" s="1"/>
  <c r="E2172" i="13" s="1"/>
  <c r="E2173" i="13" s="1"/>
  <c r="E2174" i="13" s="1"/>
  <c r="E2175" i="13" s="1"/>
  <c r="E2176" i="13" s="1"/>
  <c r="E2177" i="13" s="1"/>
  <c r="E2178" i="13" s="1"/>
  <c r="E2179" i="13" s="1"/>
  <c r="E2180" i="13" s="1"/>
  <c r="E2181" i="13" s="1"/>
  <c r="E2182" i="13" s="1"/>
  <c r="E2183" i="13" s="1"/>
  <c r="E2184" i="13" s="1"/>
  <c r="E2185" i="13" s="1"/>
  <c r="E2186" i="13" s="1"/>
  <c r="E2187" i="13" s="1"/>
  <c r="E2188" i="13" s="1"/>
  <c r="E2189" i="13" s="1"/>
  <c r="E2190" i="13" s="1"/>
  <c r="E2191" i="13" s="1"/>
  <c r="E2192" i="13" s="1"/>
  <c r="E2193" i="13" s="1"/>
  <c r="E2194" i="13" s="1"/>
  <c r="E2195" i="13" s="1"/>
  <c r="E2196" i="13" s="1"/>
  <c r="E2197" i="13" s="1"/>
  <c r="E2198" i="13" s="1"/>
  <c r="E2199" i="13" s="1"/>
  <c r="E2200" i="13" s="1"/>
  <c r="E2201" i="13" s="1"/>
  <c r="E2202" i="13" s="1"/>
  <c r="E2203" i="13" s="1"/>
  <c r="E2204" i="13" s="1"/>
  <c r="E2205" i="13" s="1"/>
  <c r="E2206" i="13" s="1"/>
  <c r="E2207" i="13" s="1"/>
  <c r="E2208" i="13" s="1"/>
  <c r="E2209" i="13" s="1"/>
  <c r="E2210" i="13" s="1"/>
  <c r="E2211" i="13" s="1"/>
  <c r="E2212" i="13" s="1"/>
  <c r="E2213" i="13" s="1"/>
  <c r="E2214" i="13" s="1"/>
  <c r="E2215" i="13" s="1"/>
  <c r="E2216" i="13" s="1"/>
  <c r="E2217" i="13" s="1"/>
  <c r="E2218" i="13" s="1"/>
  <c r="E2219" i="13" s="1"/>
  <c r="E2220" i="13" s="1"/>
  <c r="E2221" i="13" s="1"/>
  <c r="E2222" i="13" s="1"/>
  <c r="E2223" i="13" s="1"/>
  <c r="E2224" i="13" s="1"/>
  <c r="E2225" i="13" s="1"/>
  <c r="E2226" i="13" s="1"/>
  <c r="E2227" i="13" s="1"/>
  <c r="E2228" i="13" s="1"/>
  <c r="E2229" i="13" s="1"/>
  <c r="E2230" i="13" s="1"/>
  <c r="E2231" i="13" s="1"/>
  <c r="E2232" i="13" s="1"/>
  <c r="E2233" i="13" s="1"/>
  <c r="E2234" i="13" s="1"/>
  <c r="E2235" i="13" s="1"/>
  <c r="E2236" i="13" s="1"/>
  <c r="E2237" i="13" s="1"/>
  <c r="E2238" i="13" s="1"/>
  <c r="E2239" i="13" s="1"/>
  <c r="E2240" i="13" s="1"/>
  <c r="E2241" i="13" s="1"/>
  <c r="E2242" i="13" s="1"/>
  <c r="E2243" i="13" s="1"/>
  <c r="E2244" i="13" s="1"/>
  <c r="E2245" i="13" s="1"/>
  <c r="E2246" i="13" s="1"/>
  <c r="E2247" i="13" s="1"/>
  <c r="E2248" i="13" s="1"/>
  <c r="E2249" i="13" s="1"/>
  <c r="E2250" i="13" s="1"/>
  <c r="E2251" i="13" s="1"/>
  <c r="E2252" i="13" s="1"/>
  <c r="E2253" i="13" s="1"/>
  <c r="E2254" i="13" s="1"/>
  <c r="E2255" i="13" s="1"/>
  <c r="E2256" i="13" s="1"/>
  <c r="E2257" i="13" s="1"/>
  <c r="E2258" i="13" s="1"/>
  <c r="E2259" i="13" s="1"/>
  <c r="E2260" i="13" s="1"/>
  <c r="E2261" i="13" s="1"/>
  <c r="E2262" i="13" s="1"/>
  <c r="E2263" i="13" s="1"/>
  <c r="E2264" i="13" s="1"/>
  <c r="E2265" i="13" s="1"/>
  <c r="E2266" i="13" s="1"/>
  <c r="E2267" i="13" s="1"/>
  <c r="E2268" i="13" s="1"/>
  <c r="E2269" i="13" s="1"/>
  <c r="E2270" i="13" s="1"/>
  <c r="E2271" i="13" s="1"/>
  <c r="E2272" i="13" s="1"/>
  <c r="E2273" i="13" s="1"/>
  <c r="E2274" i="13" s="1"/>
  <c r="E2275" i="13" s="1"/>
  <c r="E2276" i="13" s="1"/>
  <c r="E2277" i="13" s="1"/>
  <c r="E2278" i="13" s="1"/>
  <c r="E2279" i="13" s="1"/>
  <c r="E2280" i="13" s="1"/>
  <c r="E2281" i="13" s="1"/>
  <c r="E2282" i="13" s="1"/>
  <c r="E2283" i="13" s="1"/>
  <c r="E2284" i="13" s="1"/>
  <c r="E2285" i="13" s="1"/>
  <c r="E2286" i="13" s="1"/>
  <c r="E2287" i="13" s="1"/>
  <c r="E2288" i="13" s="1"/>
  <c r="E2289" i="13" s="1"/>
  <c r="E2290" i="13" s="1"/>
  <c r="E2291" i="13" s="1"/>
  <c r="E2292" i="13" s="1"/>
  <c r="E2293" i="13" s="1"/>
  <c r="E2294" i="13" s="1"/>
  <c r="E2295" i="13" s="1"/>
  <c r="E2296" i="13" s="1"/>
  <c r="E2297" i="13" s="1"/>
  <c r="E2298" i="13" s="1"/>
  <c r="E2299" i="13" s="1"/>
  <c r="E2300" i="13" s="1"/>
  <c r="E2301" i="13" s="1"/>
  <c r="E2302" i="13" s="1"/>
  <c r="E2303" i="13" s="1"/>
  <c r="E2304" i="13" s="1"/>
  <c r="E2305" i="13" s="1"/>
  <c r="E2306" i="13" s="1"/>
  <c r="E2307" i="13" s="1"/>
  <c r="E2308" i="13" s="1"/>
  <c r="E2309" i="13" s="1"/>
  <c r="E2310" i="13" s="1"/>
  <c r="E2311" i="13" s="1"/>
  <c r="E2312" i="13" s="1"/>
  <c r="E2313" i="13" s="1"/>
  <c r="E2314" i="13" s="1"/>
  <c r="E2315" i="13" s="1"/>
  <c r="E2316" i="13" s="1"/>
  <c r="E2317" i="13" s="1"/>
  <c r="E2318" i="13" s="1"/>
  <c r="E2319" i="13" s="1"/>
  <c r="E2320" i="13" s="1"/>
  <c r="E2321" i="13" s="1"/>
  <c r="E2322" i="13" s="1"/>
  <c r="E2323" i="13" s="1"/>
  <c r="E2324" i="13" s="1"/>
  <c r="E2325" i="13" s="1"/>
  <c r="E2326" i="13" s="1"/>
  <c r="E2327" i="13" s="1"/>
  <c r="E2328" i="13" s="1"/>
  <c r="E2329" i="13" s="1"/>
  <c r="E2330" i="13" s="1"/>
  <c r="E2331" i="13" s="1"/>
  <c r="E2332" i="13" s="1"/>
  <c r="E2333" i="13" s="1"/>
  <c r="E2334" i="13" s="1"/>
  <c r="E2335" i="13" s="1"/>
  <c r="E2336" i="13" s="1"/>
  <c r="E2337" i="13" s="1"/>
  <c r="E2338" i="13" s="1"/>
  <c r="E2339" i="13" s="1"/>
  <c r="E2340" i="13" s="1"/>
  <c r="E2341" i="13" s="1"/>
  <c r="E2342" i="13" s="1"/>
  <c r="E2343" i="13" s="1"/>
  <c r="E2344" i="13" s="1"/>
  <c r="E2345" i="13" s="1"/>
  <c r="E2346" i="13" s="1"/>
  <c r="E2347" i="13" s="1"/>
  <c r="E2348" i="13" s="1"/>
  <c r="E2349" i="13" s="1"/>
  <c r="E2350" i="13" s="1"/>
  <c r="E2351" i="13" s="1"/>
  <c r="E2352" i="13" s="1"/>
  <c r="E2353" i="13" s="1"/>
  <c r="E2354" i="13" s="1"/>
  <c r="E2355" i="13" s="1"/>
  <c r="E2356" i="13" s="1"/>
  <c r="E2357" i="13" s="1"/>
  <c r="E2358" i="13" s="1"/>
  <c r="E2359" i="13" s="1"/>
  <c r="E2360" i="13" s="1"/>
  <c r="E2361" i="13" s="1"/>
  <c r="E2362" i="13" s="1"/>
  <c r="E2363" i="13" s="1"/>
  <c r="E2364" i="13" s="1"/>
  <c r="E2365" i="13" s="1"/>
  <c r="E2366" i="13" s="1"/>
  <c r="E2367" i="13" s="1"/>
  <c r="E2368" i="13" s="1"/>
  <c r="E2369" i="13" s="1"/>
  <c r="E2370" i="13" s="1"/>
  <c r="E2371" i="13" s="1"/>
  <c r="E2372" i="13" s="1"/>
  <c r="E2373" i="13" s="1"/>
  <c r="E2374" i="13" s="1"/>
  <c r="E2375" i="13" s="1"/>
  <c r="E2376" i="13" s="1"/>
  <c r="E2377" i="13" s="1"/>
  <c r="E2378" i="13" s="1"/>
  <c r="E2379" i="13" s="1"/>
  <c r="E2380" i="13" s="1"/>
  <c r="E2381" i="13" s="1"/>
  <c r="E2382" i="13" s="1"/>
  <c r="E2383" i="13" s="1"/>
  <c r="E2384" i="13" s="1"/>
  <c r="E2385" i="13" s="1"/>
  <c r="E2386" i="13" s="1"/>
  <c r="E2387" i="13" s="1"/>
  <c r="E2388" i="13" s="1"/>
  <c r="E2389" i="13" s="1"/>
  <c r="E2390" i="13" s="1"/>
  <c r="E2391" i="13" s="1"/>
  <c r="E2392" i="13" s="1"/>
  <c r="E2393" i="13" s="1"/>
  <c r="E2394" i="13" s="1"/>
  <c r="E2395" i="13" s="1"/>
  <c r="E2396" i="13" s="1"/>
  <c r="E2397" i="13" s="1"/>
  <c r="E2398" i="13" s="1"/>
  <c r="E2399" i="13" s="1"/>
  <c r="E2400" i="13" s="1"/>
  <c r="E2401" i="13" s="1"/>
  <c r="E2402" i="13" s="1"/>
  <c r="E2403" i="13" s="1"/>
  <c r="E2404" i="13" s="1"/>
  <c r="E2405" i="13" s="1"/>
  <c r="E2406" i="13" s="1"/>
  <c r="E2407" i="13" s="1"/>
  <c r="E2408" i="13" s="1"/>
  <c r="E2409" i="13" s="1"/>
  <c r="E2410" i="13" s="1"/>
  <c r="E2411" i="13" s="1"/>
  <c r="E2412" i="13" s="1"/>
  <c r="E2413" i="13" s="1"/>
  <c r="E2414" i="13" s="1"/>
  <c r="E2415" i="13" s="1"/>
  <c r="E2416" i="13" s="1"/>
  <c r="E2417" i="13" s="1"/>
  <c r="E2418" i="13" s="1"/>
  <c r="E2419" i="13" s="1"/>
  <c r="E2420" i="13" s="1"/>
  <c r="E2421" i="13" s="1"/>
  <c r="E2422" i="13" s="1"/>
  <c r="E2423" i="13" s="1"/>
  <c r="E2424" i="13" s="1"/>
  <c r="E2425" i="13" s="1"/>
  <c r="E2426" i="13" s="1"/>
  <c r="E2427" i="13" s="1"/>
  <c r="E2428" i="13" s="1"/>
  <c r="E2429" i="13" s="1"/>
  <c r="E2430" i="13" s="1"/>
  <c r="E2431" i="13" s="1"/>
  <c r="E2432" i="13" s="1"/>
  <c r="E2433" i="13" s="1"/>
  <c r="E2434" i="13" s="1"/>
  <c r="E2435" i="13" s="1"/>
  <c r="E2436" i="13" s="1"/>
  <c r="E2437" i="13" s="1"/>
  <c r="E2438" i="13" s="1"/>
  <c r="E2439" i="13" s="1"/>
  <c r="E2440" i="13" s="1"/>
  <c r="E2441" i="13" s="1"/>
  <c r="E2442" i="13" s="1"/>
  <c r="E2443" i="13" s="1"/>
  <c r="E2444" i="13" s="1"/>
  <c r="E2445" i="13" s="1"/>
  <c r="E2446" i="13" s="1"/>
  <c r="E2447" i="13" s="1"/>
  <c r="E2448" i="13" s="1"/>
  <c r="E2449" i="13" s="1"/>
  <c r="E2450" i="13" s="1"/>
  <c r="E2451" i="13" s="1"/>
  <c r="E2452" i="13" s="1"/>
  <c r="E2453" i="13" s="1"/>
  <c r="E2454" i="13" s="1"/>
  <c r="E2455" i="13" s="1"/>
  <c r="E2456" i="13" s="1"/>
  <c r="E2457" i="13" s="1"/>
  <c r="E2458" i="13" s="1"/>
  <c r="E2459" i="13" s="1"/>
  <c r="E2460" i="13" s="1"/>
  <c r="E2461" i="13" s="1"/>
  <c r="E2462" i="13" s="1"/>
  <c r="E2463" i="13" s="1"/>
  <c r="E2464" i="13" s="1"/>
  <c r="E2465" i="13" s="1"/>
  <c r="E2466" i="13" s="1"/>
  <c r="E2467" i="13" s="1"/>
  <c r="E2468" i="13" s="1"/>
  <c r="E2469" i="13" s="1"/>
  <c r="E2470" i="13" s="1"/>
  <c r="E2471" i="13" s="1"/>
  <c r="E2472" i="13" s="1"/>
  <c r="E2473" i="13" s="1"/>
  <c r="E2474" i="13" s="1"/>
  <c r="E2475" i="13" s="1"/>
  <c r="E2476" i="13" s="1"/>
  <c r="E2477" i="13" s="1"/>
  <c r="E2478" i="13" s="1"/>
  <c r="E2479" i="13" s="1"/>
  <c r="E2480" i="13" s="1"/>
  <c r="E2481" i="13" s="1"/>
  <c r="E2482" i="13" s="1"/>
  <c r="E2483" i="13" s="1"/>
  <c r="E2484" i="13" s="1"/>
  <c r="E2485" i="13" s="1"/>
  <c r="E2486" i="13" s="1"/>
  <c r="E2487" i="13" s="1"/>
  <c r="E2488" i="13" s="1"/>
  <c r="E2489" i="13" s="1"/>
  <c r="E2490" i="13" s="1"/>
  <c r="E2491" i="13" s="1"/>
  <c r="E2492" i="13" s="1"/>
  <c r="E2493" i="13" s="1"/>
  <c r="E2494" i="13" s="1"/>
  <c r="E2495" i="13" s="1"/>
  <c r="E2496" i="13" s="1"/>
  <c r="E2497" i="13" s="1"/>
  <c r="E2498" i="13" s="1"/>
  <c r="E2499" i="13" s="1"/>
  <c r="E2500" i="13" s="1"/>
  <c r="E2501" i="13" s="1"/>
  <c r="E2502" i="13" s="1"/>
  <c r="E2503" i="13" s="1"/>
  <c r="E2504" i="13" s="1"/>
  <c r="E2505" i="13" s="1"/>
  <c r="E2506" i="13" s="1"/>
  <c r="E2507" i="13" s="1"/>
  <c r="E2508" i="13" s="1"/>
  <c r="E2509" i="13" s="1"/>
  <c r="E2510" i="13" s="1"/>
  <c r="E2511" i="13" s="1"/>
  <c r="E2512" i="13" s="1"/>
  <c r="E2513" i="13" s="1"/>
  <c r="E2514" i="13" s="1"/>
  <c r="E2515" i="13" s="1"/>
  <c r="E2516" i="13" s="1"/>
  <c r="E2517" i="13" s="1"/>
  <c r="E2518" i="13" s="1"/>
  <c r="E2519" i="13" s="1"/>
  <c r="E2520" i="13" s="1"/>
  <c r="E2521" i="13" s="1"/>
  <c r="E2522" i="13" s="1"/>
  <c r="E2523" i="13" s="1"/>
  <c r="E2524" i="13" s="1"/>
  <c r="E2525" i="13" s="1"/>
  <c r="E2526" i="13" s="1"/>
  <c r="E2527" i="13" s="1"/>
  <c r="E2528" i="13" s="1"/>
  <c r="E2529" i="13" s="1"/>
  <c r="E2530" i="13" s="1"/>
  <c r="E2531" i="13" s="1"/>
  <c r="E2532" i="13" s="1"/>
  <c r="E2533" i="13" s="1"/>
  <c r="E2534" i="13" s="1"/>
  <c r="E2535" i="13" s="1"/>
  <c r="E2536" i="13" s="1"/>
  <c r="E2537" i="13" s="1"/>
  <c r="E2538" i="13" s="1"/>
  <c r="E2539" i="13" s="1"/>
  <c r="E2540" i="13" s="1"/>
  <c r="E2541" i="13" s="1"/>
  <c r="E2542" i="13" s="1"/>
  <c r="E2543" i="13" s="1"/>
  <c r="E2544" i="13" s="1"/>
  <c r="E2545" i="13" s="1"/>
  <c r="E2546" i="13" s="1"/>
  <c r="E2547" i="13" s="1"/>
  <c r="E2548" i="13" s="1"/>
  <c r="E2549" i="13" s="1"/>
  <c r="E2550" i="13" s="1"/>
  <c r="E2551" i="13" s="1"/>
  <c r="E2552" i="13" s="1"/>
  <c r="E2553" i="13" s="1"/>
  <c r="E2554" i="13" s="1"/>
  <c r="E2555" i="13" s="1"/>
  <c r="E2556" i="13" s="1"/>
  <c r="E2557" i="13" s="1"/>
  <c r="E2558" i="13" s="1"/>
  <c r="E2559" i="13" s="1"/>
  <c r="E2560" i="13" s="1"/>
  <c r="E2561" i="13" s="1"/>
  <c r="E2562" i="13" s="1"/>
  <c r="E2563" i="13" s="1"/>
  <c r="E2564" i="13" s="1"/>
  <c r="E2565" i="13" s="1"/>
  <c r="E2566" i="13" s="1"/>
  <c r="E2567" i="13" s="1"/>
  <c r="E2568" i="13" s="1"/>
  <c r="E2569" i="13" s="1"/>
  <c r="E2570" i="13" s="1"/>
  <c r="E2571" i="13" s="1"/>
  <c r="E2572" i="13" s="1"/>
  <c r="E2573" i="13" s="1"/>
  <c r="E2574" i="13" s="1"/>
  <c r="E2575" i="13" s="1"/>
  <c r="E2576" i="13" s="1"/>
  <c r="E2577" i="13" s="1"/>
  <c r="E2578" i="13" s="1"/>
  <c r="E2579" i="13" s="1"/>
  <c r="E2580" i="13" s="1"/>
  <c r="E2581" i="13" s="1"/>
  <c r="E2582" i="13" s="1"/>
  <c r="E2583" i="13" s="1"/>
  <c r="E2584" i="13" s="1"/>
  <c r="E2585" i="13" s="1"/>
  <c r="E2586" i="13" s="1"/>
  <c r="E2587" i="13" s="1"/>
  <c r="E2588" i="13" s="1"/>
  <c r="E2589" i="13" s="1"/>
  <c r="E2590" i="13" s="1"/>
  <c r="E2591" i="13" s="1"/>
  <c r="E2592" i="13" s="1"/>
  <c r="E2593" i="13" s="1"/>
  <c r="E2594" i="13" s="1"/>
  <c r="E2595" i="13" s="1"/>
  <c r="E2596" i="13" s="1"/>
  <c r="E2597" i="13" s="1"/>
  <c r="E2598" i="13" s="1"/>
  <c r="E2599" i="13" s="1"/>
  <c r="E2600" i="13" s="1"/>
  <c r="E2601" i="13" s="1"/>
  <c r="E2602" i="13" s="1"/>
  <c r="E2603" i="13" s="1"/>
  <c r="E2604" i="13" s="1"/>
  <c r="E2605" i="13" s="1"/>
  <c r="E2606" i="13" s="1"/>
  <c r="E2607" i="13" s="1"/>
  <c r="E2608" i="13" s="1"/>
  <c r="E2609" i="13" s="1"/>
  <c r="E2610" i="13" s="1"/>
  <c r="E2611" i="13" s="1"/>
  <c r="E2612" i="13" s="1"/>
  <c r="E2613" i="13" s="1"/>
  <c r="E2614" i="13" s="1"/>
  <c r="E2615" i="13" s="1"/>
  <c r="E2616" i="13" s="1"/>
  <c r="E2617" i="13" s="1"/>
  <c r="E2618" i="13" s="1"/>
  <c r="E2619" i="13" s="1"/>
  <c r="E2620" i="13" s="1"/>
  <c r="E2621" i="13" s="1"/>
  <c r="E2622" i="13" s="1"/>
  <c r="E2623" i="13" s="1"/>
  <c r="E2624" i="13" s="1"/>
  <c r="E2625" i="13" s="1"/>
  <c r="E2626" i="13" s="1"/>
  <c r="E2627" i="13" s="1"/>
  <c r="E2628" i="13" s="1"/>
  <c r="E2629" i="13" s="1"/>
  <c r="E2630" i="13" s="1"/>
  <c r="E2631" i="13" s="1"/>
  <c r="E2632" i="13" s="1"/>
  <c r="E2633" i="13" s="1"/>
  <c r="E2634" i="13" s="1"/>
  <c r="E2635" i="13" s="1"/>
  <c r="E2636" i="13" s="1"/>
  <c r="E2637" i="13" s="1"/>
  <c r="E2638" i="13" s="1"/>
  <c r="E2639" i="13" s="1"/>
  <c r="E2640" i="13" s="1"/>
  <c r="E2641" i="13" s="1"/>
  <c r="E2642" i="13" s="1"/>
  <c r="E2643" i="13" s="1"/>
  <c r="E2644" i="13" s="1"/>
  <c r="E2645" i="13" s="1"/>
  <c r="E2646" i="13" s="1"/>
  <c r="E2647" i="13" s="1"/>
  <c r="E2648" i="13" s="1"/>
  <c r="E2649" i="13" s="1"/>
  <c r="E2650" i="13" s="1"/>
  <c r="E2651" i="13" s="1"/>
  <c r="E2652" i="13" s="1"/>
  <c r="E2653" i="13" s="1"/>
  <c r="E2654" i="13" s="1"/>
  <c r="E2655" i="13" s="1"/>
  <c r="E2656" i="13" s="1"/>
  <c r="E2657" i="13" s="1"/>
  <c r="E2658" i="13" s="1"/>
  <c r="E2659" i="13" s="1"/>
  <c r="E2660" i="13" s="1"/>
  <c r="E2661" i="13" s="1"/>
  <c r="E2662" i="13" s="1"/>
  <c r="E2663" i="13" s="1"/>
  <c r="E2664" i="13" s="1"/>
  <c r="E2665" i="13" s="1"/>
  <c r="E2666" i="13" s="1"/>
  <c r="E2667" i="13" s="1"/>
  <c r="E2668" i="13" s="1"/>
  <c r="E2669" i="13" s="1"/>
  <c r="E2670" i="13" s="1"/>
  <c r="E2671" i="13" s="1"/>
  <c r="E2672" i="13" s="1"/>
  <c r="E2673" i="13" s="1"/>
  <c r="E2674" i="13" s="1"/>
  <c r="E2675" i="13" s="1"/>
  <c r="E2676" i="13" s="1"/>
  <c r="E2677" i="13" s="1"/>
  <c r="E2678" i="13" s="1"/>
  <c r="E2679" i="13" s="1"/>
  <c r="E2680" i="13" s="1"/>
  <c r="E2681" i="13" s="1"/>
  <c r="E2682" i="13" s="1"/>
  <c r="E2683" i="13" s="1"/>
  <c r="E2684" i="13" s="1"/>
  <c r="E2685" i="13" s="1"/>
  <c r="E2686" i="13" s="1"/>
  <c r="E2687" i="13" s="1"/>
  <c r="E2688" i="13" s="1"/>
  <c r="E2689" i="13" s="1"/>
  <c r="E2690" i="13" s="1"/>
  <c r="E2691" i="13" s="1"/>
  <c r="E2692" i="13" s="1"/>
  <c r="E2693" i="13" s="1"/>
  <c r="E2694" i="13" s="1"/>
  <c r="E2695" i="13" s="1"/>
  <c r="E2696" i="13" s="1"/>
  <c r="E2697" i="13" s="1"/>
  <c r="E2698" i="13" s="1"/>
  <c r="E2699" i="13" s="1"/>
  <c r="E2700" i="13" s="1"/>
  <c r="E2701" i="13" s="1"/>
  <c r="E2702" i="13" s="1"/>
  <c r="E2703" i="13" s="1"/>
  <c r="E2704" i="13" s="1"/>
  <c r="E2705" i="13" s="1"/>
  <c r="E2706" i="13" s="1"/>
  <c r="E2707" i="13" s="1"/>
  <c r="E2708" i="13" s="1"/>
  <c r="E2709" i="13" s="1"/>
  <c r="E2710" i="13" s="1"/>
  <c r="E2711" i="13" s="1"/>
  <c r="E2712" i="13" s="1"/>
  <c r="E2713" i="13" s="1"/>
  <c r="E2714" i="13" s="1"/>
  <c r="E2715" i="13" s="1"/>
  <c r="E2716" i="13" s="1"/>
  <c r="E2717" i="13" s="1"/>
  <c r="E2718" i="13" s="1"/>
  <c r="E2719" i="13" s="1"/>
  <c r="E2720" i="13" s="1"/>
  <c r="E2721" i="13" s="1"/>
  <c r="E2722" i="13" s="1"/>
  <c r="E2723" i="13" s="1"/>
  <c r="E2724" i="13" s="1"/>
  <c r="E2725" i="13" s="1"/>
  <c r="E2726" i="13" s="1"/>
  <c r="E2727" i="13" s="1"/>
  <c r="E2728" i="13" s="1"/>
  <c r="E2729" i="13" s="1"/>
  <c r="E2730" i="13" s="1"/>
  <c r="E2731" i="13" s="1"/>
  <c r="E2732" i="13" s="1"/>
  <c r="E2733" i="13" s="1"/>
  <c r="E2734" i="13" s="1"/>
  <c r="E2735" i="13" s="1"/>
  <c r="E2736" i="13" s="1"/>
  <c r="E2737" i="13" s="1"/>
  <c r="E2738" i="13" s="1"/>
  <c r="E2739" i="13" s="1"/>
  <c r="E2740" i="13" s="1"/>
  <c r="E2741" i="13" s="1"/>
  <c r="E2742" i="13" s="1"/>
  <c r="E2743" i="13" s="1"/>
  <c r="E2744" i="13" s="1"/>
  <c r="E2745" i="13" s="1"/>
  <c r="E2746" i="13" s="1"/>
  <c r="E2747" i="13" s="1"/>
  <c r="E2748" i="13" s="1"/>
  <c r="E2749" i="13" s="1"/>
  <c r="E2750" i="13" s="1"/>
  <c r="E2751" i="13" s="1"/>
  <c r="E2752" i="13" s="1"/>
  <c r="E2753" i="13" s="1"/>
  <c r="E2754" i="13" s="1"/>
  <c r="E2755" i="13" s="1"/>
  <c r="E2756" i="13" s="1"/>
  <c r="E2757" i="13" s="1"/>
  <c r="E2758" i="13" s="1"/>
  <c r="E2759" i="13" s="1"/>
  <c r="E2760" i="13" s="1"/>
  <c r="E2761" i="13" s="1"/>
  <c r="E2762" i="13" s="1"/>
  <c r="E2763" i="13" s="1"/>
  <c r="E2764" i="13" s="1"/>
  <c r="E2765" i="13" s="1"/>
  <c r="E2766" i="13" s="1"/>
  <c r="E2767" i="13" s="1"/>
  <c r="E2768" i="13" s="1"/>
  <c r="E2769" i="13" s="1"/>
  <c r="E2770" i="13" s="1"/>
  <c r="E2771" i="13" s="1"/>
  <c r="E2772" i="13" s="1"/>
  <c r="E2773" i="13" s="1"/>
  <c r="E2774" i="13" s="1"/>
  <c r="E2775" i="13" s="1"/>
  <c r="E2776" i="13" s="1"/>
  <c r="E2777" i="13" s="1"/>
  <c r="E2778" i="13" s="1"/>
  <c r="E2779" i="13" s="1"/>
  <c r="E2780" i="13" s="1"/>
  <c r="E2781" i="13" s="1"/>
  <c r="E2782" i="13" s="1"/>
  <c r="E2783" i="13" s="1"/>
  <c r="E2784" i="13" s="1"/>
  <c r="E2785" i="13" s="1"/>
  <c r="E2786" i="13" s="1"/>
  <c r="E2787" i="13" s="1"/>
  <c r="E2788" i="13" s="1"/>
  <c r="E2789" i="13" s="1"/>
  <c r="E2790" i="13" s="1"/>
  <c r="E2791" i="13" s="1"/>
  <c r="E2792" i="13" s="1"/>
  <c r="E2793" i="13" s="1"/>
  <c r="E2794" i="13" s="1"/>
  <c r="E2795" i="13" s="1"/>
  <c r="E2796" i="13" s="1"/>
  <c r="E2797" i="13" s="1"/>
  <c r="E2798" i="13" s="1"/>
  <c r="E2799" i="13" s="1"/>
  <c r="E2800" i="13" s="1"/>
  <c r="E2801" i="13" s="1"/>
  <c r="E2802" i="13" s="1"/>
  <c r="E2803" i="13" s="1"/>
  <c r="E2804" i="13" s="1"/>
  <c r="E2805" i="13" s="1"/>
  <c r="E2806" i="13" s="1"/>
  <c r="E2807" i="13" s="1"/>
  <c r="E2808" i="13" s="1"/>
  <c r="E2809" i="13" s="1"/>
  <c r="E2810" i="13" s="1"/>
  <c r="E2811" i="13" s="1"/>
  <c r="E2812" i="13" s="1"/>
  <c r="E2813" i="13" s="1"/>
  <c r="E2814" i="13" s="1"/>
  <c r="E2815" i="13" s="1"/>
  <c r="E2816" i="13" s="1"/>
  <c r="E2817" i="13" s="1"/>
  <c r="E2818" i="13" s="1"/>
  <c r="E2819" i="13" s="1"/>
  <c r="E2820" i="13" s="1"/>
  <c r="E2821" i="13" s="1"/>
  <c r="E2822" i="13" s="1"/>
  <c r="E2823" i="13" s="1"/>
  <c r="E2824" i="13" s="1"/>
  <c r="E2825" i="13" s="1"/>
  <c r="E2826" i="13" s="1"/>
  <c r="E2827" i="13" s="1"/>
  <c r="E2828" i="13" s="1"/>
  <c r="E2829" i="13" s="1"/>
  <c r="E2830" i="13" s="1"/>
  <c r="E2831" i="13" s="1"/>
  <c r="E2832" i="13" s="1"/>
  <c r="E2833" i="13" s="1"/>
  <c r="E2834" i="13" s="1"/>
  <c r="E2835" i="13" s="1"/>
  <c r="E2836" i="13" s="1"/>
  <c r="E2837" i="13" s="1"/>
  <c r="E2838" i="13" s="1"/>
  <c r="E2839" i="13" s="1"/>
  <c r="E2840" i="13" s="1"/>
  <c r="E2841" i="13" s="1"/>
  <c r="E2842" i="13" s="1"/>
  <c r="E2843" i="13" s="1"/>
  <c r="E2844" i="13" s="1"/>
  <c r="E2845" i="13" s="1"/>
  <c r="E2846" i="13" s="1"/>
  <c r="E2847" i="13" s="1"/>
  <c r="E2848" i="13" s="1"/>
  <c r="E2849" i="13" s="1"/>
  <c r="E2850" i="13" s="1"/>
  <c r="E2851" i="13" s="1"/>
  <c r="E2852" i="13" s="1"/>
  <c r="E2853" i="13" s="1"/>
  <c r="E2854" i="13" s="1"/>
  <c r="E2855" i="13" s="1"/>
  <c r="E2856" i="13" s="1"/>
  <c r="E2857" i="13" s="1"/>
  <c r="E2858" i="13" s="1"/>
  <c r="E2859" i="13" s="1"/>
  <c r="E2860" i="13" s="1"/>
  <c r="E2861" i="13" s="1"/>
  <c r="E2862" i="13" s="1"/>
  <c r="E2863" i="13" s="1"/>
  <c r="E2864" i="13" s="1"/>
  <c r="E2865" i="13" s="1"/>
  <c r="E2866" i="13" s="1"/>
  <c r="E2867" i="13" s="1"/>
  <c r="E2868" i="13" s="1"/>
  <c r="E2869" i="13" s="1"/>
  <c r="E2870" i="13" s="1"/>
  <c r="E2871" i="13" s="1"/>
  <c r="E2872" i="13" s="1"/>
  <c r="E2873" i="13" s="1"/>
  <c r="E2874" i="13" s="1"/>
  <c r="E2875" i="13" s="1"/>
  <c r="E2876" i="13" s="1"/>
  <c r="E2877" i="13" s="1"/>
  <c r="E2878" i="13" s="1"/>
  <c r="E2879" i="13" s="1"/>
  <c r="E2880" i="13" s="1"/>
  <c r="E2881" i="13" s="1"/>
  <c r="E2882" i="13" s="1"/>
  <c r="E2883" i="13" s="1"/>
  <c r="E2884" i="13" s="1"/>
  <c r="E2885" i="13" s="1"/>
  <c r="E2886" i="13" s="1"/>
  <c r="E2887" i="13" s="1"/>
  <c r="E2888" i="13" s="1"/>
  <c r="E2889" i="13" s="1"/>
  <c r="E2890" i="13" s="1"/>
  <c r="E2891" i="13" s="1"/>
  <c r="E2892" i="13" s="1"/>
  <c r="E2893" i="13" s="1"/>
  <c r="E2894" i="13" s="1"/>
  <c r="E2895" i="13" s="1"/>
  <c r="E2896" i="13" s="1"/>
  <c r="E2897" i="13" s="1"/>
  <c r="E2898" i="13" s="1"/>
  <c r="E2899" i="13" s="1"/>
  <c r="E2900" i="13" s="1"/>
  <c r="E2901" i="13" s="1"/>
  <c r="E2902" i="13" s="1"/>
  <c r="E2903" i="13" s="1"/>
  <c r="E2904" i="13" s="1"/>
  <c r="E2905" i="13" s="1"/>
  <c r="E2906" i="13" s="1"/>
  <c r="E2907" i="13" s="1"/>
  <c r="E2908" i="13" s="1"/>
  <c r="E2909" i="13" s="1"/>
  <c r="E2910" i="13" s="1"/>
  <c r="E2911" i="13" s="1"/>
  <c r="E2912" i="13" s="1"/>
  <c r="E2913" i="13" s="1"/>
  <c r="E2914" i="13" s="1"/>
  <c r="E2915" i="13" s="1"/>
  <c r="E2916" i="13" s="1"/>
  <c r="E2917" i="13" s="1"/>
  <c r="E2918" i="13" s="1"/>
  <c r="E2919" i="13" s="1"/>
  <c r="E2920" i="13" s="1"/>
  <c r="E2921" i="13" s="1"/>
  <c r="E2922" i="13" s="1"/>
  <c r="E2923" i="13" s="1"/>
  <c r="E2924" i="13" s="1"/>
  <c r="E2925" i="13" s="1"/>
  <c r="E2926" i="13" s="1"/>
  <c r="E2927" i="13" s="1"/>
  <c r="E2928" i="13" s="1"/>
  <c r="E2929" i="13" s="1"/>
  <c r="E2930" i="13" s="1"/>
  <c r="E2931" i="13" s="1"/>
  <c r="E2932" i="13" s="1"/>
  <c r="E2933" i="13" s="1"/>
  <c r="E2934" i="13" s="1"/>
  <c r="E2935" i="13" s="1"/>
  <c r="E2936" i="13" s="1"/>
  <c r="E2937" i="13" s="1"/>
  <c r="E2938" i="13" s="1"/>
  <c r="E2939" i="13" s="1"/>
  <c r="E2940" i="13" s="1"/>
  <c r="E2941" i="13" s="1"/>
  <c r="E2942" i="13" s="1"/>
  <c r="E2943" i="13" s="1"/>
  <c r="E2944" i="13" s="1"/>
  <c r="E2945" i="13" s="1"/>
  <c r="E2946" i="13" s="1"/>
  <c r="E2947" i="13" s="1"/>
  <c r="E2948" i="13" s="1"/>
  <c r="E2949" i="13" s="1"/>
  <c r="E2950" i="13" s="1"/>
  <c r="E2951" i="13" s="1"/>
  <c r="E2952" i="13" s="1"/>
  <c r="E2953" i="13" s="1"/>
  <c r="E2954" i="13" s="1"/>
  <c r="E2955" i="13" s="1"/>
  <c r="E2956" i="13" s="1"/>
  <c r="E2957" i="13" s="1"/>
  <c r="E2958" i="13" s="1"/>
  <c r="E2959" i="13" s="1"/>
  <c r="E2960" i="13" s="1"/>
  <c r="E2961" i="13" s="1"/>
  <c r="E2962" i="13" s="1"/>
  <c r="E2963" i="13" s="1"/>
  <c r="E2964" i="13" s="1"/>
  <c r="E2965" i="13" s="1"/>
  <c r="E2966" i="13" s="1"/>
  <c r="E2967" i="13" s="1"/>
  <c r="E2968" i="13" s="1"/>
  <c r="E2969" i="13" s="1"/>
  <c r="E2970" i="13" s="1"/>
  <c r="E2971" i="13" s="1"/>
  <c r="E2972" i="13" s="1"/>
  <c r="E2973" i="13" s="1"/>
  <c r="E2974" i="13" s="1"/>
  <c r="E2975" i="13" s="1"/>
  <c r="E2976" i="13" s="1"/>
  <c r="E2977" i="13" s="1"/>
  <c r="E2978" i="13" s="1"/>
  <c r="E2979" i="13" s="1"/>
  <c r="E2980" i="13" s="1"/>
  <c r="E2981" i="13" s="1"/>
  <c r="E2982" i="13" s="1"/>
  <c r="E2983" i="13" s="1"/>
  <c r="E2984" i="13" s="1"/>
  <c r="E2985" i="13" s="1"/>
  <c r="E2986" i="13" s="1"/>
  <c r="E2987" i="13" s="1"/>
  <c r="E2988" i="13" s="1"/>
  <c r="E2989" i="13" s="1"/>
  <c r="E2990" i="13" s="1"/>
  <c r="E2991" i="13" s="1"/>
  <c r="E2992" i="13" s="1"/>
  <c r="E2993" i="13" s="1"/>
  <c r="E2994" i="13" s="1"/>
  <c r="E2995" i="13" s="1"/>
  <c r="E2996" i="13" s="1"/>
  <c r="E2997" i="13" s="1"/>
  <c r="E2998" i="13" s="1"/>
  <c r="E2999" i="13" s="1"/>
  <c r="E3000" i="13" s="1"/>
  <c r="E3001" i="13" s="1"/>
  <c r="E3002" i="13" s="1"/>
  <c r="E3003" i="13" s="1"/>
  <c r="E3004" i="13" s="1"/>
  <c r="E3005" i="13" s="1"/>
  <c r="E3006" i="13" s="1"/>
  <c r="E3007" i="13" s="1"/>
  <c r="E3008" i="13" s="1"/>
  <c r="E3009" i="13" s="1"/>
  <c r="E3010" i="13" s="1"/>
  <c r="E3011" i="13" s="1"/>
  <c r="E3012" i="13" s="1"/>
  <c r="E3013" i="13" s="1"/>
  <c r="E3014" i="13" s="1"/>
  <c r="E3015" i="13" s="1"/>
  <c r="E3016" i="13" s="1"/>
  <c r="E3017" i="13" s="1"/>
  <c r="E3018" i="13" s="1"/>
  <c r="E3019" i="13" s="1"/>
  <c r="E3020" i="13" s="1"/>
  <c r="E3021" i="13" s="1"/>
  <c r="E3022" i="13" s="1"/>
  <c r="E3023" i="13" s="1"/>
  <c r="E3024" i="13" s="1"/>
  <c r="E3025" i="13" s="1"/>
  <c r="E3026" i="13" s="1"/>
  <c r="E3027" i="13" s="1"/>
  <c r="E3028" i="13" s="1"/>
  <c r="E3029" i="13" s="1"/>
  <c r="E3030" i="13" s="1"/>
  <c r="E3031" i="13" s="1"/>
  <c r="E3032" i="13" s="1"/>
  <c r="E3033" i="13" s="1"/>
  <c r="E3034" i="13" s="1"/>
  <c r="E3035" i="13" s="1"/>
  <c r="E3036" i="13" s="1"/>
  <c r="E3037" i="13" s="1"/>
  <c r="E3038" i="13" s="1"/>
  <c r="E3039" i="13" s="1"/>
  <c r="E3040" i="13" s="1"/>
  <c r="E3041" i="13" s="1"/>
  <c r="E3042" i="13" s="1"/>
  <c r="E3043" i="13" s="1"/>
  <c r="E3044" i="13" s="1"/>
  <c r="E3045" i="13" s="1"/>
  <c r="E3046" i="13" s="1"/>
  <c r="E3047" i="13" s="1"/>
  <c r="E3048" i="13" s="1"/>
  <c r="E3049" i="13" s="1"/>
  <c r="E3050" i="13" s="1"/>
  <c r="E3051" i="13" s="1"/>
  <c r="E3052" i="13" s="1"/>
  <c r="E3053" i="13" s="1"/>
  <c r="E3054" i="13" s="1"/>
  <c r="E3055" i="13" s="1"/>
  <c r="E3056" i="13" s="1"/>
  <c r="E3057" i="13" s="1"/>
  <c r="E3058" i="13" s="1"/>
  <c r="E3059" i="13" s="1"/>
  <c r="E3060" i="13" s="1"/>
  <c r="E3061" i="13" s="1"/>
  <c r="E3062" i="13" s="1"/>
  <c r="E3063" i="13" s="1"/>
  <c r="E3064" i="13" s="1"/>
  <c r="E3065" i="13" s="1"/>
  <c r="E3066" i="13" s="1"/>
  <c r="E3067" i="13" s="1"/>
  <c r="E3068" i="13" s="1"/>
  <c r="E3069" i="13" s="1"/>
  <c r="E3070" i="13" s="1"/>
  <c r="E3071" i="13" s="1"/>
  <c r="E3072" i="13" s="1"/>
  <c r="E3073" i="13" s="1"/>
  <c r="E3074" i="13" s="1"/>
  <c r="E3075" i="13" s="1"/>
  <c r="E3076" i="13" s="1"/>
  <c r="E3077" i="13" s="1"/>
  <c r="E3078" i="13" s="1"/>
  <c r="E3079" i="13" s="1"/>
  <c r="E3080" i="13" s="1"/>
  <c r="E3081" i="13" s="1"/>
  <c r="E3082" i="13" s="1"/>
  <c r="E3083" i="13" s="1"/>
  <c r="E3084" i="13" s="1"/>
  <c r="E3085" i="13" s="1"/>
  <c r="E3086" i="13" s="1"/>
  <c r="E3087" i="13" s="1"/>
  <c r="E3088" i="13" s="1"/>
  <c r="E3089" i="13" s="1"/>
  <c r="E3090" i="13" s="1"/>
  <c r="E3091" i="13" s="1"/>
  <c r="E3092" i="13" s="1"/>
  <c r="E3093" i="13" s="1"/>
  <c r="E3094" i="13" s="1"/>
  <c r="E3095" i="13" s="1"/>
  <c r="E3096" i="13" s="1"/>
  <c r="E3097" i="13" s="1"/>
  <c r="E3098" i="13" s="1"/>
  <c r="E3099" i="13" s="1"/>
  <c r="E3100" i="13" s="1"/>
  <c r="E3101" i="13" s="1"/>
  <c r="E3102" i="13" s="1"/>
  <c r="E3103" i="13" s="1"/>
  <c r="E3104" i="13" s="1"/>
  <c r="E3105" i="13" s="1"/>
  <c r="E3106" i="13" s="1"/>
  <c r="E3107" i="13" s="1"/>
  <c r="E3108" i="13" s="1"/>
  <c r="E3109" i="13" s="1"/>
  <c r="E3110" i="13" s="1"/>
  <c r="E3111" i="13" s="1"/>
  <c r="E3112" i="13" s="1"/>
  <c r="E3113" i="13" s="1"/>
  <c r="E3114" i="13" s="1"/>
  <c r="E3115" i="13" s="1"/>
  <c r="E3116" i="13" s="1"/>
  <c r="E3117" i="13" s="1"/>
  <c r="E3118" i="13" s="1"/>
  <c r="E3119" i="13" s="1"/>
  <c r="E3120" i="13" s="1"/>
  <c r="E3121" i="13" s="1"/>
  <c r="E3122" i="13" s="1"/>
  <c r="E3123" i="13" s="1"/>
  <c r="E3124" i="13" s="1"/>
  <c r="E3125" i="13" s="1"/>
  <c r="E3126" i="13" s="1"/>
  <c r="E3127" i="13" s="1"/>
  <c r="E3128" i="13" s="1"/>
  <c r="E3129" i="13" s="1"/>
  <c r="E3130" i="13" s="1"/>
  <c r="E3131" i="13" s="1"/>
  <c r="E3132" i="13" s="1"/>
  <c r="E3133" i="13" s="1"/>
  <c r="E3134" i="13" s="1"/>
  <c r="E3135" i="13" s="1"/>
  <c r="E3136" i="13" s="1"/>
  <c r="E3137" i="13" s="1"/>
  <c r="E3138" i="13" s="1"/>
  <c r="E3139" i="13" s="1"/>
  <c r="E3140" i="13" s="1"/>
  <c r="E3141" i="13" s="1"/>
  <c r="E3142" i="13" s="1"/>
  <c r="E3143" i="13" s="1"/>
  <c r="E3144" i="13" s="1"/>
  <c r="E3145" i="13" s="1"/>
  <c r="E3146" i="13" s="1"/>
  <c r="E3147" i="13" s="1"/>
  <c r="E3148" i="13" s="1"/>
  <c r="E3149" i="13" s="1"/>
  <c r="E3150" i="13" s="1"/>
  <c r="E3151" i="13" s="1"/>
  <c r="E3152" i="13" s="1"/>
  <c r="E3153" i="13" s="1"/>
  <c r="E3154" i="13" s="1"/>
  <c r="E3155" i="13" s="1"/>
  <c r="E3156" i="13" s="1"/>
  <c r="E3157" i="13" s="1"/>
  <c r="E3158" i="13" s="1"/>
  <c r="E3159" i="13" s="1"/>
  <c r="E3160" i="13" s="1"/>
  <c r="E3161" i="13" s="1"/>
  <c r="E3162" i="13" s="1"/>
  <c r="E3163" i="13" s="1"/>
  <c r="E3164" i="13" s="1"/>
  <c r="E3165" i="13" s="1"/>
  <c r="E3166" i="13" s="1"/>
  <c r="E3167" i="13" s="1"/>
  <c r="E3168" i="13" s="1"/>
  <c r="E3169" i="13" s="1"/>
  <c r="E3170" i="13" s="1"/>
  <c r="E3171" i="13" s="1"/>
  <c r="E3172" i="13" s="1"/>
  <c r="E3173" i="13" s="1"/>
  <c r="E3174" i="13" s="1"/>
  <c r="E3175" i="13" s="1"/>
  <c r="E3176" i="13" s="1"/>
  <c r="E3177" i="13" s="1"/>
  <c r="E3178" i="13" s="1"/>
  <c r="E3179" i="13" s="1"/>
  <c r="E3180" i="13" s="1"/>
  <c r="E3181" i="13" s="1"/>
  <c r="E3182" i="13" s="1"/>
  <c r="E3183" i="13" s="1"/>
  <c r="E3184" i="13" s="1"/>
  <c r="E3185" i="13" s="1"/>
  <c r="E3186" i="13" s="1"/>
  <c r="E3187" i="13" s="1"/>
  <c r="E3188" i="13" s="1"/>
  <c r="E3189" i="13" s="1"/>
  <c r="E3190" i="13" s="1"/>
  <c r="E3191" i="13" s="1"/>
  <c r="E3192" i="13" s="1"/>
  <c r="E3193" i="13" s="1"/>
  <c r="E3194" i="13" s="1"/>
  <c r="E3195" i="13" s="1"/>
  <c r="E3196" i="13" s="1"/>
  <c r="E3197" i="13" s="1"/>
  <c r="E3198" i="13" s="1"/>
  <c r="E3199" i="13" s="1"/>
  <c r="E3200" i="13" s="1"/>
  <c r="E3201" i="13" s="1"/>
  <c r="E3202" i="13" s="1"/>
  <c r="E3203" i="13" s="1"/>
  <c r="E3204" i="13" s="1"/>
  <c r="E3205" i="13" s="1"/>
  <c r="E3206" i="13" s="1"/>
  <c r="E3207" i="13" s="1"/>
  <c r="E3208" i="13" s="1"/>
  <c r="E3209" i="13" s="1"/>
  <c r="E3210" i="13" s="1"/>
  <c r="E3211" i="13" s="1"/>
  <c r="E3212" i="13" s="1"/>
  <c r="E3213" i="13" s="1"/>
  <c r="E3214" i="13" s="1"/>
  <c r="E3215" i="13" s="1"/>
  <c r="E3216" i="13" s="1"/>
  <c r="E3217" i="13" s="1"/>
  <c r="E3218" i="13" s="1"/>
  <c r="E3219" i="13" s="1"/>
  <c r="E3220" i="13" s="1"/>
  <c r="E3221" i="13" s="1"/>
  <c r="E3222" i="13" s="1"/>
  <c r="E3223" i="13" s="1"/>
  <c r="E3224" i="13" s="1"/>
  <c r="E3225" i="13" s="1"/>
  <c r="E3226" i="13" s="1"/>
  <c r="E3227" i="13" s="1"/>
  <c r="E3228" i="13" s="1"/>
  <c r="E3229" i="13" s="1"/>
  <c r="E3230" i="13" s="1"/>
  <c r="E3231" i="13" s="1"/>
  <c r="E3232" i="13" s="1"/>
  <c r="E3233" i="13" s="1"/>
  <c r="E3234" i="13" s="1"/>
  <c r="E3235" i="13" s="1"/>
  <c r="E3236" i="13" s="1"/>
  <c r="E3237" i="13" s="1"/>
  <c r="E3238" i="13" s="1"/>
  <c r="E3239" i="13" s="1"/>
  <c r="E3240" i="13" s="1"/>
  <c r="E3241" i="13" s="1"/>
  <c r="E3242" i="13" s="1"/>
  <c r="E3243" i="13" s="1"/>
  <c r="E3244" i="13" s="1"/>
  <c r="E3245" i="13" s="1"/>
  <c r="E3246" i="13" s="1"/>
  <c r="E3247" i="13" s="1"/>
  <c r="E3248" i="13" s="1"/>
  <c r="E3249" i="13" s="1"/>
  <c r="E3250" i="13" s="1"/>
  <c r="E3251" i="13" s="1"/>
  <c r="E3252" i="13" s="1"/>
  <c r="E3253" i="13" s="1"/>
  <c r="E3254" i="13" s="1"/>
  <c r="E3255" i="13" s="1"/>
  <c r="E3256" i="13" s="1"/>
  <c r="E3257" i="13" s="1"/>
  <c r="E3258" i="13" s="1"/>
  <c r="E3259" i="13" s="1"/>
  <c r="E3260" i="13" s="1"/>
  <c r="E3261" i="13" s="1"/>
  <c r="E3262" i="13" s="1"/>
  <c r="E3263" i="13" s="1"/>
  <c r="E3264" i="13" s="1"/>
  <c r="E3265" i="13" s="1"/>
  <c r="E3266" i="13" s="1"/>
  <c r="E3267" i="13" s="1"/>
  <c r="E3268" i="13" s="1"/>
  <c r="E3269" i="13" s="1"/>
  <c r="E3270" i="13" s="1"/>
  <c r="E3271" i="13" s="1"/>
  <c r="E3272" i="13" s="1"/>
  <c r="E3273" i="13" s="1"/>
  <c r="E3274" i="13" s="1"/>
  <c r="E3275" i="13" s="1"/>
  <c r="E3276" i="13" s="1"/>
  <c r="E3277" i="13" s="1"/>
  <c r="E3278" i="13" s="1"/>
  <c r="E3279" i="13" s="1"/>
  <c r="E3280" i="13" s="1"/>
  <c r="E3281" i="13" s="1"/>
  <c r="E3282" i="13" s="1"/>
  <c r="E3283" i="13" s="1"/>
  <c r="E3284" i="13" s="1"/>
  <c r="E3285" i="13" s="1"/>
  <c r="E3286" i="13" s="1"/>
  <c r="E3287" i="13" s="1"/>
  <c r="E3288" i="13" s="1"/>
  <c r="E3289" i="13" s="1"/>
  <c r="E3290" i="13" s="1"/>
  <c r="E3291" i="13" s="1"/>
  <c r="E3292" i="13" s="1"/>
  <c r="E3293" i="13" s="1"/>
  <c r="E3294" i="13" s="1"/>
  <c r="E3295" i="13" s="1"/>
  <c r="E3296" i="13" s="1"/>
  <c r="E3297" i="13" s="1"/>
  <c r="E3298" i="13" s="1"/>
  <c r="E3299" i="13" s="1"/>
  <c r="E3300" i="13" s="1"/>
  <c r="E3301" i="13" s="1"/>
  <c r="E3302" i="13" s="1"/>
  <c r="E3303" i="13" s="1"/>
  <c r="E3304" i="13" s="1"/>
  <c r="E3305" i="13" s="1"/>
  <c r="E3306" i="13" s="1"/>
  <c r="E3307" i="13" s="1"/>
  <c r="E3308" i="13" s="1"/>
  <c r="E3309" i="13" s="1"/>
  <c r="E3310" i="13" s="1"/>
  <c r="E3311" i="13" s="1"/>
  <c r="E3312" i="13" s="1"/>
  <c r="E3313" i="13" s="1"/>
  <c r="E3314" i="13" s="1"/>
  <c r="E3315" i="13" s="1"/>
  <c r="E3316" i="13" s="1"/>
  <c r="E3317" i="13" s="1"/>
  <c r="E3318" i="13" s="1"/>
  <c r="E3319" i="13" s="1"/>
  <c r="E3320" i="13" s="1"/>
  <c r="E3321" i="13" s="1"/>
  <c r="E3322" i="13" s="1"/>
  <c r="E3323" i="13" s="1"/>
  <c r="E3324" i="13" s="1"/>
  <c r="E3325" i="13" s="1"/>
  <c r="E3326" i="13" s="1"/>
  <c r="E3327" i="13" s="1"/>
  <c r="E3328" i="13" s="1"/>
  <c r="E3329" i="13" s="1"/>
  <c r="E3330" i="13" s="1"/>
  <c r="E3331" i="13" s="1"/>
  <c r="E3332" i="13" s="1"/>
  <c r="E3333" i="13" s="1"/>
  <c r="E3334" i="13" s="1"/>
  <c r="E3335" i="13" s="1"/>
  <c r="E3336" i="13" s="1"/>
  <c r="E3337" i="13" s="1"/>
  <c r="E3338" i="13" s="1"/>
  <c r="E3339" i="13" s="1"/>
  <c r="E3340" i="13" s="1"/>
  <c r="E3341" i="13" s="1"/>
  <c r="E3342" i="13" s="1"/>
  <c r="E3343" i="13" s="1"/>
  <c r="E3344" i="13" s="1"/>
  <c r="E3345" i="13" s="1"/>
  <c r="E3346" i="13" s="1"/>
  <c r="E3347" i="13" s="1"/>
  <c r="E3348" i="13" s="1"/>
  <c r="E3349" i="13" s="1"/>
  <c r="E3350" i="13" s="1"/>
  <c r="E3351" i="13" s="1"/>
  <c r="E3352" i="13" s="1"/>
  <c r="E3353" i="13" s="1"/>
  <c r="E3354" i="13" s="1"/>
  <c r="E3355" i="13" s="1"/>
  <c r="E3356" i="13" s="1"/>
  <c r="E3357" i="13" s="1"/>
  <c r="E3358" i="13" s="1"/>
  <c r="E3359" i="13" s="1"/>
  <c r="E3360" i="13" s="1"/>
  <c r="E3361" i="13" s="1"/>
  <c r="E3362" i="13" s="1"/>
  <c r="E3363" i="13" s="1"/>
  <c r="E3364" i="13" s="1"/>
  <c r="E3365" i="13" s="1"/>
  <c r="E3366" i="13" s="1"/>
  <c r="E3367" i="13" s="1"/>
  <c r="E3368" i="13" s="1"/>
  <c r="E3369" i="13" s="1"/>
  <c r="E3370" i="13" s="1"/>
  <c r="E3371" i="13" s="1"/>
  <c r="E3372" i="13" s="1"/>
  <c r="E3373" i="13" s="1"/>
  <c r="E3374" i="13" s="1"/>
  <c r="E3375" i="13" s="1"/>
  <c r="E3376" i="13" s="1"/>
  <c r="E3377" i="13" s="1"/>
  <c r="E3378" i="13" s="1"/>
  <c r="E3379" i="13" s="1"/>
  <c r="E3380" i="13" s="1"/>
  <c r="E3381" i="13" s="1"/>
  <c r="E3382" i="13" s="1"/>
  <c r="E3383" i="13" s="1"/>
  <c r="E3384" i="13" s="1"/>
  <c r="E3385" i="13" s="1"/>
  <c r="E3386" i="13" s="1"/>
  <c r="E3387" i="13" s="1"/>
  <c r="E3388" i="13" s="1"/>
  <c r="E3389" i="13" s="1"/>
  <c r="E3390" i="13" s="1"/>
  <c r="E3391" i="13" s="1"/>
  <c r="E3392" i="13" s="1"/>
  <c r="E3393" i="13" s="1"/>
  <c r="E3394" i="13" s="1"/>
  <c r="E3395" i="13" s="1"/>
  <c r="E3396" i="13" s="1"/>
  <c r="E3397" i="13" s="1"/>
  <c r="E3398" i="13" s="1"/>
  <c r="E3399" i="13" s="1"/>
  <c r="E3400" i="13" s="1"/>
  <c r="E3401" i="13" s="1"/>
  <c r="E3402" i="13" s="1"/>
  <c r="E3403" i="13" s="1"/>
  <c r="E3404" i="13" s="1"/>
  <c r="E3405" i="13" s="1"/>
  <c r="E3406" i="13" s="1"/>
  <c r="E3407" i="13" s="1"/>
  <c r="E3408" i="13" s="1"/>
  <c r="E3409" i="13" s="1"/>
  <c r="E3410" i="13" s="1"/>
  <c r="E3411" i="13" s="1"/>
  <c r="E3412" i="13" s="1"/>
  <c r="E3413" i="13" s="1"/>
  <c r="E3414" i="13" s="1"/>
  <c r="E3415" i="13" s="1"/>
  <c r="E3416" i="13" s="1"/>
  <c r="E3417" i="13" s="1"/>
  <c r="E3418" i="13" s="1"/>
  <c r="E3419" i="13" s="1"/>
  <c r="E3420" i="13" s="1"/>
  <c r="E3421" i="13" s="1"/>
  <c r="E3422" i="13" s="1"/>
  <c r="E3423" i="13" s="1"/>
  <c r="E3424" i="13" s="1"/>
  <c r="E3425" i="13" s="1"/>
  <c r="E3426" i="13" s="1"/>
  <c r="E3427" i="13" s="1"/>
  <c r="E3428" i="13" s="1"/>
  <c r="E3429" i="13" s="1"/>
  <c r="E3430" i="13" s="1"/>
  <c r="E3431" i="13" s="1"/>
  <c r="E3432" i="13" s="1"/>
  <c r="E3433" i="13" s="1"/>
  <c r="E3434" i="13" s="1"/>
  <c r="E3435" i="13" s="1"/>
  <c r="E3436" i="13" s="1"/>
  <c r="E3437" i="13" s="1"/>
  <c r="E3438" i="13" s="1"/>
  <c r="E3439" i="13" s="1"/>
  <c r="E3440" i="13" s="1"/>
  <c r="E3441" i="13" s="1"/>
  <c r="E3442" i="13" s="1"/>
  <c r="E3443" i="13" s="1"/>
  <c r="E3444" i="13" s="1"/>
  <c r="E3445" i="13" s="1"/>
  <c r="E3446" i="13" s="1"/>
  <c r="E3447" i="13" s="1"/>
  <c r="E3448" i="13" s="1"/>
  <c r="E3449" i="13" s="1"/>
  <c r="E3450" i="13" s="1"/>
  <c r="E3451" i="13" s="1"/>
  <c r="E3452" i="13" s="1"/>
  <c r="E3453" i="13" s="1"/>
  <c r="E3454" i="13" s="1"/>
  <c r="E3455" i="13" s="1"/>
  <c r="E3456" i="13" s="1"/>
  <c r="E3457" i="13" s="1"/>
  <c r="E3458" i="13" s="1"/>
  <c r="E3459" i="13" s="1"/>
  <c r="E3460" i="13" s="1"/>
  <c r="E3461" i="13" s="1"/>
  <c r="E3462" i="13" s="1"/>
  <c r="E3463" i="13" s="1"/>
  <c r="E3464" i="13" s="1"/>
  <c r="E3465" i="13" s="1"/>
  <c r="E3466" i="13" s="1"/>
  <c r="E3467" i="13" s="1"/>
  <c r="E3468" i="13" s="1"/>
  <c r="E3469" i="13" s="1"/>
  <c r="E3470" i="13" s="1"/>
  <c r="E3471" i="13" s="1"/>
  <c r="E3472" i="13" s="1"/>
  <c r="E3473" i="13" s="1"/>
  <c r="E3474" i="13" s="1"/>
  <c r="E3475" i="13" s="1"/>
  <c r="E3476" i="13" s="1"/>
  <c r="E3477" i="13" s="1"/>
  <c r="E3478" i="13" s="1"/>
  <c r="E3479" i="13" s="1"/>
  <c r="E3480" i="13" s="1"/>
  <c r="E3481" i="13" s="1"/>
  <c r="E3482" i="13" s="1"/>
  <c r="E3483" i="13" s="1"/>
  <c r="E3484" i="13" s="1"/>
  <c r="E3485" i="13" s="1"/>
  <c r="E3486" i="13" s="1"/>
  <c r="E3487" i="13" s="1"/>
  <c r="E3488" i="13" s="1"/>
  <c r="E3489" i="13" s="1"/>
  <c r="E3490" i="13" s="1"/>
  <c r="E3491" i="13" s="1"/>
  <c r="E3492" i="13" s="1"/>
  <c r="E3493" i="13" s="1"/>
  <c r="E3494" i="13" s="1"/>
  <c r="E3495" i="13" s="1"/>
  <c r="E3496" i="13" s="1"/>
  <c r="E3497" i="13" s="1"/>
  <c r="E3498" i="13" s="1"/>
  <c r="E3499" i="13" s="1"/>
  <c r="E3500" i="13" s="1"/>
  <c r="E3501" i="13" s="1"/>
  <c r="E3502" i="13" s="1"/>
  <c r="E3503" i="13" s="1"/>
  <c r="E3504" i="13" s="1"/>
  <c r="E3505" i="13" s="1"/>
  <c r="E3506" i="13" s="1"/>
  <c r="E3507" i="13" s="1"/>
  <c r="E3508" i="13" s="1"/>
  <c r="E3509" i="13" s="1"/>
  <c r="E3510" i="13" s="1"/>
  <c r="E3511" i="13" s="1"/>
  <c r="E3512" i="13" s="1"/>
  <c r="E3513" i="13" s="1"/>
  <c r="E3514" i="13" s="1"/>
  <c r="E3515" i="13" s="1"/>
  <c r="E3516" i="13" s="1"/>
  <c r="E3517" i="13" s="1"/>
  <c r="E3518" i="13" s="1"/>
  <c r="E3519" i="13" s="1"/>
  <c r="E3520" i="13" s="1"/>
  <c r="E3521" i="13" s="1"/>
  <c r="E3522" i="13" s="1"/>
  <c r="E3523" i="13" s="1"/>
  <c r="E3524" i="13" s="1"/>
  <c r="E3525" i="13" s="1"/>
  <c r="E3526" i="13" s="1"/>
  <c r="E3527" i="13" s="1"/>
  <c r="E3528" i="13" s="1"/>
  <c r="E3529" i="13" s="1"/>
  <c r="E3530" i="13" s="1"/>
  <c r="E3531" i="13" s="1"/>
  <c r="E3532" i="13" s="1"/>
  <c r="E3533" i="13" s="1"/>
  <c r="E3534" i="13" s="1"/>
  <c r="E3535" i="13" s="1"/>
  <c r="E3536" i="13" s="1"/>
  <c r="E3537" i="13" s="1"/>
  <c r="E3538" i="13" s="1"/>
  <c r="E3539" i="13" s="1"/>
  <c r="E3540" i="13" s="1"/>
  <c r="E3541" i="13" s="1"/>
  <c r="E3542" i="13" s="1"/>
  <c r="E3543" i="13" s="1"/>
  <c r="E3544" i="13" s="1"/>
  <c r="E3545" i="13" s="1"/>
  <c r="E3546" i="13" s="1"/>
  <c r="E3547" i="13" s="1"/>
  <c r="E3548" i="13" s="1"/>
  <c r="E3549" i="13" s="1"/>
  <c r="E3550" i="13" s="1"/>
  <c r="E3551" i="13" s="1"/>
  <c r="E3552" i="13" s="1"/>
  <c r="E3553" i="13" s="1"/>
  <c r="E3554" i="13" s="1"/>
  <c r="E3555" i="13" s="1"/>
  <c r="E3556" i="13" s="1"/>
  <c r="E3557" i="13" s="1"/>
  <c r="E3558" i="13" s="1"/>
  <c r="E3559" i="13" s="1"/>
  <c r="E3560" i="13" s="1"/>
  <c r="E3561" i="13" s="1"/>
  <c r="E3562" i="13" s="1"/>
  <c r="E3563" i="13" s="1"/>
  <c r="E3564" i="13" s="1"/>
  <c r="E3565" i="13" s="1"/>
  <c r="E3566" i="13" s="1"/>
  <c r="E3567" i="13" s="1"/>
  <c r="E3568" i="13" s="1"/>
  <c r="E3569" i="13" s="1"/>
  <c r="E3570" i="13" s="1"/>
  <c r="E3571" i="13" s="1"/>
  <c r="E3572" i="13" s="1"/>
  <c r="E3573" i="13" s="1"/>
  <c r="E3574" i="13" s="1"/>
  <c r="E3575" i="13" s="1"/>
  <c r="E3576" i="13" s="1"/>
  <c r="E3577" i="13" s="1"/>
  <c r="E3578" i="13" s="1"/>
  <c r="E3579" i="13" s="1"/>
  <c r="E3580" i="13" s="1"/>
  <c r="E3581" i="13" s="1"/>
  <c r="E3582" i="13" s="1"/>
  <c r="E3583" i="13" s="1"/>
  <c r="E3584" i="13" s="1"/>
  <c r="E3585" i="13" s="1"/>
  <c r="E3586" i="13" s="1"/>
  <c r="E3587" i="13" s="1"/>
  <c r="E3588" i="13" s="1"/>
  <c r="E3589" i="13" s="1"/>
  <c r="E3590" i="13" s="1"/>
  <c r="E3591" i="13" s="1"/>
  <c r="E3592" i="13" s="1"/>
  <c r="E3593" i="13" s="1"/>
  <c r="E3594" i="13" s="1"/>
  <c r="E3595" i="13" s="1"/>
  <c r="E3596" i="13" s="1"/>
  <c r="E3597" i="13" s="1"/>
  <c r="E3598" i="13" s="1"/>
  <c r="E3599" i="13" s="1"/>
  <c r="E3600" i="13" s="1"/>
  <c r="E3601" i="13" s="1"/>
  <c r="E3602" i="13" s="1"/>
  <c r="E3603" i="13" s="1"/>
  <c r="E3604" i="13" s="1"/>
  <c r="E3605" i="13" s="1"/>
  <c r="E3606" i="13" s="1"/>
  <c r="E3607" i="13" s="1"/>
  <c r="E3608" i="13" s="1"/>
  <c r="E3609" i="13" s="1"/>
  <c r="E3610" i="13" s="1"/>
  <c r="E3611" i="13" s="1"/>
  <c r="E3612" i="13" s="1"/>
  <c r="E3613" i="13" s="1"/>
  <c r="E3614" i="13" s="1"/>
  <c r="E3615" i="13" s="1"/>
  <c r="E3616" i="13" s="1"/>
  <c r="E3617" i="13" s="1"/>
  <c r="E3618" i="13" s="1"/>
  <c r="E3619" i="13" s="1"/>
  <c r="E3620" i="13" s="1"/>
  <c r="E3621" i="13" s="1"/>
  <c r="E3622" i="13" s="1"/>
  <c r="E3623" i="13" s="1"/>
  <c r="E3624" i="13" s="1"/>
  <c r="E3625" i="13" s="1"/>
  <c r="E3626" i="13" s="1"/>
  <c r="E3627" i="13" s="1"/>
  <c r="E3628" i="13" s="1"/>
  <c r="E3629" i="13" s="1"/>
  <c r="E3630" i="13" s="1"/>
  <c r="E3631" i="13" s="1"/>
  <c r="E3632" i="13" s="1"/>
  <c r="E3633" i="13" s="1"/>
  <c r="E3634" i="13" s="1"/>
  <c r="E3635" i="13" s="1"/>
  <c r="E3636" i="13" s="1"/>
  <c r="E3637" i="13" s="1"/>
  <c r="E3638" i="13" s="1"/>
  <c r="E3639" i="13" s="1"/>
  <c r="E3640" i="13" s="1"/>
  <c r="E3641" i="13" s="1"/>
  <c r="E3642" i="13" s="1"/>
  <c r="E3643" i="13" s="1"/>
  <c r="E3644" i="13" s="1"/>
  <c r="E3645" i="13" s="1"/>
  <c r="E3646" i="13" s="1"/>
  <c r="E3647" i="13" s="1"/>
  <c r="E3648" i="13" s="1"/>
  <c r="E3649" i="13" s="1"/>
  <c r="E3650" i="13" s="1"/>
  <c r="E3651" i="13" s="1"/>
  <c r="E3652" i="13" s="1"/>
  <c r="E3653" i="13" s="1"/>
  <c r="E3654" i="13" s="1"/>
  <c r="E3655" i="13" s="1"/>
  <c r="E3656" i="13" s="1"/>
  <c r="E3657" i="13" s="1"/>
  <c r="E3658" i="13" s="1"/>
  <c r="E3659" i="13" s="1"/>
  <c r="E3660" i="13" s="1"/>
  <c r="E3661" i="13" s="1"/>
  <c r="E3662" i="13" s="1"/>
  <c r="E3663" i="13" s="1"/>
  <c r="E3664" i="13" s="1"/>
  <c r="E3665" i="13" s="1"/>
  <c r="E3666" i="13" s="1"/>
  <c r="E3667" i="13" s="1"/>
  <c r="E3668" i="13" s="1"/>
  <c r="E3669" i="13" s="1"/>
  <c r="E3670" i="13" s="1"/>
  <c r="E3671" i="13" s="1"/>
  <c r="E3672" i="13" s="1"/>
  <c r="E3673" i="13" s="1"/>
  <c r="E3674" i="13" s="1"/>
  <c r="E3675" i="13" s="1"/>
  <c r="E3676" i="13" s="1"/>
  <c r="E3677" i="13" s="1"/>
  <c r="E3678" i="13" s="1"/>
  <c r="E3679" i="13" s="1"/>
  <c r="E3680" i="13" s="1"/>
  <c r="E3681" i="13" s="1"/>
  <c r="E3682" i="13" s="1"/>
  <c r="E3683" i="13" s="1"/>
  <c r="E3684" i="13" s="1"/>
  <c r="E3685" i="13" s="1"/>
  <c r="E3686" i="13" s="1"/>
  <c r="E3687" i="13" s="1"/>
  <c r="E3688" i="13" s="1"/>
  <c r="E3689" i="13" s="1"/>
  <c r="E3690" i="13" s="1"/>
  <c r="E3691" i="13" s="1"/>
  <c r="E3692" i="13" s="1"/>
  <c r="E3693" i="13" s="1"/>
  <c r="E3694" i="13" s="1"/>
  <c r="E3695" i="13" s="1"/>
  <c r="E3696" i="13" s="1"/>
  <c r="E3697" i="13" s="1"/>
  <c r="E3698" i="13" s="1"/>
  <c r="E3699" i="13" s="1"/>
  <c r="E3700" i="13" s="1"/>
  <c r="E3701" i="13" s="1"/>
  <c r="E3702" i="13" s="1"/>
  <c r="E3703" i="13" s="1"/>
  <c r="E3704" i="13" s="1"/>
  <c r="E3705" i="13" s="1"/>
  <c r="E3706" i="13" s="1"/>
  <c r="E3707" i="13" s="1"/>
  <c r="E3708" i="13" s="1"/>
  <c r="E3709" i="13" s="1"/>
  <c r="E3710" i="13" s="1"/>
  <c r="E3711" i="13" s="1"/>
  <c r="E3712" i="13" s="1"/>
  <c r="E3713" i="13" s="1"/>
  <c r="E3714" i="13" s="1"/>
  <c r="E3715" i="13" s="1"/>
  <c r="E3716" i="13" s="1"/>
  <c r="E3717" i="13" s="1"/>
  <c r="E3718" i="13" s="1"/>
  <c r="E3719" i="13" s="1"/>
  <c r="E3720" i="13" s="1"/>
  <c r="E3721" i="13" s="1"/>
  <c r="E3722" i="13" s="1"/>
  <c r="E3723" i="13" s="1"/>
  <c r="E3724" i="13" s="1"/>
  <c r="E3725" i="13" s="1"/>
  <c r="E3726" i="13" s="1"/>
  <c r="E3727" i="13" s="1"/>
  <c r="E3728" i="13" s="1"/>
  <c r="E3729" i="13" s="1"/>
  <c r="E3730" i="13" s="1"/>
  <c r="E3731" i="13" s="1"/>
  <c r="E3732" i="13" s="1"/>
  <c r="E3733" i="13" s="1"/>
  <c r="E3734" i="13" s="1"/>
  <c r="E3735" i="13" s="1"/>
  <c r="E3736" i="13" s="1"/>
  <c r="E3737" i="13" s="1"/>
  <c r="E3738" i="13" s="1"/>
  <c r="E3739" i="13" s="1"/>
  <c r="E3740" i="13" s="1"/>
  <c r="E3741" i="13" s="1"/>
  <c r="E3742" i="13" s="1"/>
  <c r="E3743" i="13" s="1"/>
  <c r="E3744" i="13" s="1"/>
  <c r="E3745" i="13" s="1"/>
  <c r="E3746" i="13" s="1"/>
  <c r="E3747" i="13" s="1"/>
  <c r="E3748" i="13" s="1"/>
  <c r="E3749" i="13" s="1"/>
  <c r="E3750" i="13" s="1"/>
  <c r="E3751" i="13" s="1"/>
  <c r="E3752" i="13" s="1"/>
  <c r="E3753" i="13" s="1"/>
  <c r="E3754" i="13" s="1"/>
  <c r="E3755" i="13" s="1"/>
  <c r="E3756" i="13" s="1"/>
  <c r="E3757" i="13" s="1"/>
  <c r="E3758" i="13" s="1"/>
  <c r="E3759" i="13" s="1"/>
  <c r="E3760" i="13" s="1"/>
  <c r="E3761" i="13" s="1"/>
  <c r="E3762" i="13" s="1"/>
  <c r="E3763" i="13" s="1"/>
  <c r="E3764" i="13" s="1"/>
  <c r="E3765" i="13" s="1"/>
  <c r="E3766" i="13" s="1"/>
  <c r="E3767" i="13" s="1"/>
  <c r="E3768" i="13" s="1"/>
  <c r="E3769" i="13" s="1"/>
  <c r="E3770" i="13" s="1"/>
  <c r="E3771" i="13" s="1"/>
  <c r="E3772" i="13" s="1"/>
  <c r="E3773" i="13" s="1"/>
  <c r="E3774" i="13" s="1"/>
  <c r="E3775" i="13" s="1"/>
  <c r="E3776" i="13" s="1"/>
  <c r="E3777" i="13" s="1"/>
  <c r="E3778" i="13" s="1"/>
  <c r="E3779" i="13" s="1"/>
  <c r="E3780" i="13" s="1"/>
  <c r="E3781" i="13" s="1"/>
  <c r="E3782" i="13" s="1"/>
  <c r="E3783" i="13" s="1"/>
  <c r="E3784" i="13" s="1"/>
  <c r="E3785" i="13" s="1"/>
  <c r="E3786" i="13" s="1"/>
  <c r="E3787" i="13" s="1"/>
  <c r="E3788" i="13" s="1"/>
  <c r="E3789" i="13" s="1"/>
  <c r="E3790" i="13" s="1"/>
  <c r="E3791" i="13" s="1"/>
  <c r="E3792" i="13" s="1"/>
  <c r="E3793" i="13" s="1"/>
  <c r="E3794" i="13" s="1"/>
  <c r="E3795" i="13" s="1"/>
  <c r="E3796" i="13" s="1"/>
  <c r="E3797" i="13" s="1"/>
  <c r="E3798" i="13" s="1"/>
  <c r="E3799" i="13" s="1"/>
  <c r="E3800" i="13" s="1"/>
  <c r="E3801" i="13" s="1"/>
  <c r="E3802" i="13" s="1"/>
  <c r="E3803" i="13" s="1"/>
  <c r="E3804" i="13" s="1"/>
  <c r="E3805" i="13" s="1"/>
  <c r="E3806" i="13" s="1"/>
  <c r="E3807" i="13" s="1"/>
  <c r="E3808" i="13" s="1"/>
  <c r="E3809" i="13" s="1"/>
  <c r="E3810" i="13" s="1"/>
  <c r="E3811" i="13" s="1"/>
  <c r="E3812" i="13" s="1"/>
  <c r="E3813" i="13" s="1"/>
  <c r="E3814" i="13" s="1"/>
  <c r="E3815" i="13" s="1"/>
  <c r="E3816" i="13" s="1"/>
  <c r="E3817" i="13" s="1"/>
  <c r="E3818" i="13" s="1"/>
  <c r="E3819" i="13" s="1"/>
  <c r="E3820" i="13" s="1"/>
  <c r="E3821" i="13" s="1"/>
  <c r="E3822" i="13" s="1"/>
  <c r="E3823" i="13" s="1"/>
  <c r="E3824" i="13" s="1"/>
  <c r="E3825" i="13" s="1"/>
  <c r="E3826" i="13" s="1"/>
  <c r="E3827" i="13" s="1"/>
  <c r="E3828" i="13" s="1"/>
  <c r="E3829" i="13" s="1"/>
  <c r="E3830" i="13" s="1"/>
  <c r="E3831" i="13" s="1"/>
  <c r="E3832" i="13" s="1"/>
  <c r="E3833" i="13" s="1"/>
  <c r="E3834" i="13" s="1"/>
  <c r="E3835" i="13" s="1"/>
  <c r="E3836" i="13" s="1"/>
  <c r="E3837" i="13" s="1"/>
  <c r="E3838" i="13" s="1"/>
  <c r="E3839" i="13" s="1"/>
  <c r="E3840" i="13" s="1"/>
  <c r="E3841" i="13" s="1"/>
  <c r="E3842" i="13" s="1"/>
  <c r="E3843" i="13" s="1"/>
  <c r="E3844" i="13" s="1"/>
  <c r="E3845" i="13" s="1"/>
  <c r="E3846" i="13" s="1"/>
  <c r="E3847" i="13" s="1"/>
  <c r="E3848" i="13" s="1"/>
  <c r="E3849" i="13" s="1"/>
  <c r="E3850" i="13" s="1"/>
  <c r="E3851" i="13" s="1"/>
  <c r="E3852" i="13" s="1"/>
  <c r="E3853" i="13" s="1"/>
  <c r="E3854" i="13" s="1"/>
  <c r="E3855" i="13" s="1"/>
  <c r="E3856" i="13" s="1"/>
  <c r="E3857" i="13" s="1"/>
  <c r="E3858" i="13" s="1"/>
  <c r="E3859" i="13" s="1"/>
  <c r="E3860" i="13" s="1"/>
  <c r="E3861" i="13" s="1"/>
  <c r="E3862" i="13" s="1"/>
  <c r="E3863" i="13" s="1"/>
  <c r="E3864" i="13" s="1"/>
  <c r="E3865" i="13" s="1"/>
  <c r="E3866" i="13" s="1"/>
  <c r="E3867" i="13" s="1"/>
  <c r="E3868" i="13" s="1"/>
  <c r="E3869" i="13" s="1"/>
  <c r="E3870" i="13" s="1"/>
  <c r="E3871" i="13" s="1"/>
  <c r="E3872" i="13" s="1"/>
  <c r="E3873" i="13" s="1"/>
  <c r="E3874" i="13" s="1"/>
  <c r="E3875" i="13" s="1"/>
  <c r="E3876" i="13" s="1"/>
  <c r="E3877" i="13" s="1"/>
  <c r="E3878" i="13" s="1"/>
  <c r="E3879" i="13" s="1"/>
  <c r="E3880" i="13" s="1"/>
  <c r="E3881" i="13" s="1"/>
  <c r="E3882" i="13" s="1"/>
  <c r="E3883" i="13" s="1"/>
  <c r="E3884" i="13" s="1"/>
  <c r="E3885" i="13" s="1"/>
  <c r="E3886" i="13" s="1"/>
  <c r="E3887" i="13" s="1"/>
  <c r="E3888" i="13" s="1"/>
  <c r="E3889" i="13" s="1"/>
  <c r="E3890" i="13" s="1"/>
  <c r="E3891" i="13" s="1"/>
  <c r="E3892" i="13" s="1"/>
  <c r="E3893" i="13" s="1"/>
  <c r="E3894" i="13" s="1"/>
  <c r="E3895" i="13" s="1"/>
  <c r="E3896" i="13" s="1"/>
  <c r="E3897" i="13" s="1"/>
  <c r="E3898" i="13" s="1"/>
  <c r="E3899" i="13" s="1"/>
  <c r="E3900" i="13" s="1"/>
  <c r="E3901" i="13" s="1"/>
  <c r="E3902" i="13" s="1"/>
  <c r="E3903" i="13" s="1"/>
  <c r="E3904" i="13" s="1"/>
  <c r="E3905" i="13" s="1"/>
  <c r="E3906" i="13" s="1"/>
  <c r="E3907" i="13" s="1"/>
  <c r="E3908" i="13" s="1"/>
  <c r="E3909" i="13" s="1"/>
  <c r="E3910" i="13" s="1"/>
  <c r="E3911" i="13" s="1"/>
  <c r="E3912" i="13" s="1"/>
  <c r="E3913" i="13" s="1"/>
  <c r="E3914" i="13" s="1"/>
  <c r="E3915" i="13" s="1"/>
  <c r="E3916" i="13" s="1"/>
  <c r="E3917" i="13" s="1"/>
  <c r="E3918" i="13" s="1"/>
  <c r="E3919" i="13" s="1"/>
  <c r="E3920" i="13" s="1"/>
  <c r="E3921" i="13" s="1"/>
  <c r="E3922" i="13" s="1"/>
  <c r="E3923" i="13" s="1"/>
  <c r="E3924" i="13" s="1"/>
  <c r="E3925" i="13" s="1"/>
  <c r="E3926" i="13" s="1"/>
  <c r="E3927" i="13" s="1"/>
  <c r="E3928" i="13" s="1"/>
  <c r="E3929" i="13" s="1"/>
  <c r="E3930" i="13" s="1"/>
  <c r="E3931" i="13" s="1"/>
  <c r="E3932" i="13" s="1"/>
  <c r="E3933" i="13" s="1"/>
  <c r="E3934" i="13" s="1"/>
  <c r="E3935" i="13" s="1"/>
  <c r="E3936" i="13" s="1"/>
  <c r="E3937" i="13" s="1"/>
  <c r="E3938" i="13" s="1"/>
  <c r="E3939" i="13" s="1"/>
  <c r="E3940" i="13" s="1"/>
  <c r="E3941" i="13" s="1"/>
  <c r="E3942" i="13" s="1"/>
  <c r="E3943" i="13" s="1"/>
  <c r="E3944" i="13" s="1"/>
  <c r="E3945" i="13" s="1"/>
  <c r="E3946" i="13" s="1"/>
  <c r="E3947" i="13" s="1"/>
  <c r="E3948" i="13" s="1"/>
  <c r="E3949" i="13" s="1"/>
  <c r="E3950" i="13" s="1"/>
  <c r="E3951" i="13" s="1"/>
  <c r="E3952" i="13" s="1"/>
  <c r="E3953" i="13" s="1"/>
  <c r="E3954" i="13" s="1"/>
  <c r="E3955" i="13" s="1"/>
  <c r="E3956" i="13" s="1"/>
  <c r="E3957" i="13" s="1"/>
  <c r="E3958" i="13" s="1"/>
  <c r="E3959" i="13" s="1"/>
  <c r="E3960" i="13" s="1"/>
  <c r="E3961" i="13" s="1"/>
  <c r="E3962" i="13" s="1"/>
  <c r="E3963" i="13" s="1"/>
  <c r="E3964" i="13" s="1"/>
  <c r="E3965" i="13" s="1"/>
  <c r="E3966" i="13" s="1"/>
  <c r="E3967" i="13" s="1"/>
  <c r="E3968" i="13" s="1"/>
  <c r="E3969" i="13" s="1"/>
  <c r="E3970" i="13" s="1"/>
  <c r="E3971" i="13" s="1"/>
  <c r="E3972" i="13" s="1"/>
  <c r="E3973" i="13" s="1"/>
  <c r="E3974" i="13" s="1"/>
  <c r="E3975" i="13" s="1"/>
  <c r="E3976" i="13" s="1"/>
  <c r="E3977" i="13" s="1"/>
  <c r="E3978" i="13" s="1"/>
  <c r="E3979" i="13" s="1"/>
  <c r="E3980" i="13" s="1"/>
  <c r="E3981" i="13" s="1"/>
  <c r="E3982" i="13" s="1"/>
  <c r="E3983" i="13" s="1"/>
  <c r="E3984" i="13" s="1"/>
  <c r="E3985" i="13" s="1"/>
  <c r="E3986" i="13" s="1"/>
  <c r="E3987" i="13" s="1"/>
  <c r="E3988" i="13" s="1"/>
  <c r="E3989" i="13" s="1"/>
  <c r="E3990" i="13" s="1"/>
  <c r="E3991" i="13" s="1"/>
  <c r="E3992" i="13" s="1"/>
  <c r="E3993" i="13" s="1"/>
  <c r="E3994" i="13" s="1"/>
  <c r="E3995" i="13" s="1"/>
  <c r="E3996" i="13" s="1"/>
  <c r="E3997" i="13" s="1"/>
  <c r="E3998" i="13" s="1"/>
  <c r="E3999" i="13" s="1"/>
  <c r="E4000" i="13" s="1"/>
  <c r="E4001" i="13" s="1"/>
  <c r="E4002" i="13" s="1"/>
  <c r="E4003" i="13" s="1"/>
  <c r="E4004" i="13" s="1"/>
  <c r="E4005" i="13" s="1"/>
  <c r="E4006" i="13" s="1"/>
  <c r="E4007" i="13" s="1"/>
  <c r="E4008" i="13" s="1"/>
  <c r="E4009" i="13" s="1"/>
  <c r="E4010" i="13" s="1"/>
  <c r="E4011" i="13" s="1"/>
  <c r="E4012" i="13" s="1"/>
  <c r="E4013" i="13" s="1"/>
  <c r="E4014" i="13" s="1"/>
  <c r="E4015" i="13" s="1"/>
  <c r="E4016" i="13" s="1"/>
  <c r="E4017" i="13" s="1"/>
  <c r="E4018" i="13" s="1"/>
  <c r="E4019" i="13" s="1"/>
  <c r="E4020" i="13" s="1"/>
  <c r="E4021" i="13" s="1"/>
  <c r="E4022" i="13" s="1"/>
  <c r="E4023" i="13" s="1"/>
  <c r="E4024" i="13" s="1"/>
  <c r="E4025" i="13" s="1"/>
  <c r="E4026" i="13" s="1"/>
  <c r="E4027" i="13" s="1"/>
  <c r="E4028" i="13" s="1"/>
  <c r="E4029" i="13" s="1"/>
  <c r="E4030" i="13" s="1"/>
  <c r="E4031" i="13" s="1"/>
  <c r="E4032" i="13" s="1"/>
  <c r="E4033" i="13" s="1"/>
  <c r="E4034" i="13" s="1"/>
  <c r="E4035" i="13" s="1"/>
  <c r="E4036" i="13" s="1"/>
  <c r="E4037" i="13" s="1"/>
  <c r="E4038" i="13" s="1"/>
  <c r="E4039" i="13" s="1"/>
  <c r="E4040" i="13" s="1"/>
  <c r="E4041" i="13" s="1"/>
  <c r="E4042" i="13" s="1"/>
  <c r="E4043" i="13" s="1"/>
  <c r="E4044" i="13" s="1"/>
  <c r="E4045" i="13" s="1"/>
  <c r="E4046" i="13" s="1"/>
  <c r="E4047" i="13" s="1"/>
  <c r="E4048" i="13" s="1"/>
  <c r="E4049" i="13" s="1"/>
  <c r="E4050" i="13" s="1"/>
  <c r="E4051" i="13" s="1"/>
  <c r="E4052" i="13" s="1"/>
  <c r="E4053" i="13" s="1"/>
  <c r="E4054" i="13" s="1"/>
  <c r="E4055" i="13" s="1"/>
  <c r="E4056" i="13" s="1"/>
  <c r="E4057" i="13" s="1"/>
  <c r="E4058" i="13" s="1"/>
  <c r="E4059" i="13" s="1"/>
  <c r="E4060" i="13" s="1"/>
  <c r="E4061" i="13" s="1"/>
  <c r="E4062" i="13" s="1"/>
  <c r="E4063" i="13" s="1"/>
  <c r="E4064" i="13" s="1"/>
  <c r="E4065" i="13" s="1"/>
  <c r="E4066" i="13" s="1"/>
  <c r="E4067" i="13" s="1"/>
  <c r="E4068" i="13" s="1"/>
  <c r="E4069" i="13" s="1"/>
  <c r="E4070" i="13" s="1"/>
  <c r="E4071" i="13" s="1"/>
  <c r="E4072" i="13" s="1"/>
  <c r="E4073" i="13" s="1"/>
  <c r="E4074" i="13" s="1"/>
  <c r="E4075" i="13" s="1"/>
  <c r="E4076" i="13" s="1"/>
  <c r="E4077" i="13" s="1"/>
  <c r="E4078" i="13" s="1"/>
  <c r="E4079" i="13" s="1"/>
  <c r="E4080" i="13" s="1"/>
  <c r="E4081" i="13" s="1"/>
  <c r="E4082" i="13" s="1"/>
  <c r="E4083" i="13" s="1"/>
  <c r="E4084" i="13" s="1"/>
  <c r="E4085" i="13" s="1"/>
  <c r="E4086" i="13" s="1"/>
  <c r="E4087" i="13" s="1"/>
  <c r="E4088" i="13" s="1"/>
  <c r="E4089" i="13" s="1"/>
  <c r="E4090" i="13" s="1"/>
  <c r="E4091" i="13" s="1"/>
  <c r="E4092" i="13" s="1"/>
  <c r="E4093" i="13" s="1"/>
  <c r="E4094" i="13" s="1"/>
  <c r="E4095" i="13" s="1"/>
  <c r="E4096" i="13" s="1"/>
  <c r="E4097" i="13" s="1"/>
  <c r="E4098" i="13" s="1"/>
  <c r="E4099" i="13" s="1"/>
  <c r="E4100" i="13" s="1"/>
  <c r="E4101" i="13" s="1"/>
  <c r="E4102" i="13" s="1"/>
  <c r="E4103" i="13" s="1"/>
  <c r="E4104" i="13" s="1"/>
  <c r="E4105" i="13" s="1"/>
  <c r="E4106" i="13" s="1"/>
  <c r="E4107" i="13" s="1"/>
  <c r="E4108" i="13" s="1"/>
  <c r="E4109" i="13" s="1"/>
  <c r="E4110" i="13" s="1"/>
  <c r="E4111" i="13" s="1"/>
  <c r="E4112" i="13" s="1"/>
  <c r="E4113" i="13" s="1"/>
  <c r="E4114" i="13" s="1"/>
  <c r="E4115" i="13" s="1"/>
  <c r="E4116" i="13" s="1"/>
  <c r="E4117" i="13" s="1"/>
  <c r="E4118" i="13" s="1"/>
  <c r="E4119" i="13" s="1"/>
  <c r="E4120" i="13" s="1"/>
  <c r="E4121" i="13" s="1"/>
  <c r="E4122" i="13" s="1"/>
  <c r="E4123" i="13" s="1"/>
  <c r="E4124" i="13" s="1"/>
  <c r="E4125" i="13" s="1"/>
  <c r="E4126" i="13" s="1"/>
  <c r="E4127" i="13" s="1"/>
  <c r="E4128" i="13" s="1"/>
  <c r="E4129" i="13" s="1"/>
  <c r="E4130" i="13" s="1"/>
  <c r="E4131" i="13" s="1"/>
  <c r="E4132" i="13" s="1"/>
  <c r="E4133" i="13" s="1"/>
  <c r="E4134" i="13" s="1"/>
  <c r="E4135" i="13" s="1"/>
  <c r="E4136" i="13" s="1"/>
  <c r="E4137" i="13" s="1"/>
  <c r="E4138" i="13" s="1"/>
  <c r="E4139" i="13" s="1"/>
  <c r="E4140" i="13" s="1"/>
  <c r="E4141" i="13" s="1"/>
  <c r="E4142" i="13" s="1"/>
  <c r="E4143" i="13" s="1"/>
  <c r="E4144" i="13" s="1"/>
  <c r="E4145" i="13" s="1"/>
  <c r="E4146" i="13" s="1"/>
  <c r="E4147" i="13" s="1"/>
  <c r="E4148" i="13" s="1"/>
  <c r="E4149" i="13" s="1"/>
  <c r="E4150" i="13" s="1"/>
  <c r="E4151" i="13" s="1"/>
  <c r="E4152" i="13" s="1"/>
  <c r="E4153" i="13" s="1"/>
  <c r="E4154" i="13" s="1"/>
  <c r="E4155" i="13" s="1"/>
  <c r="E4156" i="13" s="1"/>
  <c r="E4157" i="13" s="1"/>
  <c r="E4158" i="13" s="1"/>
  <c r="E4159" i="13" s="1"/>
  <c r="E4160" i="13" s="1"/>
  <c r="E4161" i="13" s="1"/>
  <c r="E4162" i="13" s="1"/>
  <c r="E4163" i="13" s="1"/>
  <c r="E4164" i="13" s="1"/>
  <c r="E4165" i="13" s="1"/>
  <c r="E4166" i="13" s="1"/>
  <c r="E4167" i="13" s="1"/>
  <c r="E4168" i="13" s="1"/>
  <c r="E4169" i="13" s="1"/>
  <c r="E4170" i="13" s="1"/>
  <c r="E4171" i="13" s="1"/>
  <c r="E4172" i="13" s="1"/>
  <c r="E4173" i="13" s="1"/>
  <c r="E4174" i="13" s="1"/>
  <c r="E4175" i="13" s="1"/>
  <c r="E4176" i="13" s="1"/>
  <c r="E4177" i="13" s="1"/>
  <c r="E4178" i="13" s="1"/>
  <c r="E4179" i="13" s="1"/>
  <c r="E4180" i="13" s="1"/>
  <c r="E4181" i="13" s="1"/>
  <c r="E4182" i="13" s="1"/>
  <c r="E4183" i="13" s="1"/>
  <c r="E4184" i="13" s="1"/>
  <c r="E4185" i="13" s="1"/>
  <c r="E4186" i="13" s="1"/>
  <c r="E4187" i="13" s="1"/>
  <c r="E4188" i="13" s="1"/>
  <c r="E4189" i="13" s="1"/>
  <c r="E4190" i="13" s="1"/>
  <c r="E4191" i="13" s="1"/>
  <c r="E4192" i="13" s="1"/>
  <c r="E4193" i="13" s="1"/>
  <c r="E4194" i="13" s="1"/>
  <c r="E4195" i="13" s="1"/>
  <c r="E4196" i="13" s="1"/>
  <c r="E4197" i="13" s="1"/>
  <c r="E4198" i="13" s="1"/>
  <c r="E4199" i="13" s="1"/>
  <c r="E4200" i="13" s="1"/>
  <c r="E4201" i="13" s="1"/>
  <c r="E4202" i="13" s="1"/>
  <c r="E4203" i="13" s="1"/>
  <c r="E4204" i="13" s="1"/>
  <c r="E4205" i="13" s="1"/>
  <c r="E4206" i="13" s="1"/>
  <c r="E4207" i="13" s="1"/>
  <c r="E4208" i="13" s="1"/>
  <c r="E4209" i="13" s="1"/>
  <c r="E4210" i="13" s="1"/>
  <c r="E4211" i="13" s="1"/>
  <c r="E4212" i="13" s="1"/>
  <c r="E4213" i="13" s="1"/>
  <c r="E4214" i="13" s="1"/>
  <c r="E4215" i="13" s="1"/>
  <c r="E4216" i="13" s="1"/>
  <c r="E4217" i="13" s="1"/>
  <c r="E4218" i="13" s="1"/>
  <c r="E4219" i="13" s="1"/>
  <c r="E4220" i="13" s="1"/>
  <c r="E4221" i="13" s="1"/>
  <c r="E4222" i="13" s="1"/>
  <c r="E4223" i="13" s="1"/>
  <c r="E4224" i="13" s="1"/>
  <c r="E4225" i="13" s="1"/>
  <c r="E4226" i="13" s="1"/>
  <c r="E4227" i="13" s="1"/>
  <c r="E4228" i="13" s="1"/>
  <c r="E4229" i="13" s="1"/>
  <c r="E4230" i="13" s="1"/>
  <c r="E4231" i="13" s="1"/>
  <c r="E4232" i="13" s="1"/>
  <c r="E4233" i="13" s="1"/>
  <c r="E4234" i="13" s="1"/>
  <c r="E4235" i="13" s="1"/>
  <c r="E4236" i="13" s="1"/>
  <c r="E4237" i="13" s="1"/>
  <c r="E4238" i="13" s="1"/>
  <c r="E4239" i="13" s="1"/>
  <c r="E4240" i="13" s="1"/>
  <c r="E4241" i="13" s="1"/>
  <c r="E4242" i="13" s="1"/>
  <c r="E4243" i="13" s="1"/>
  <c r="E4244" i="13" s="1"/>
  <c r="E4245" i="13" s="1"/>
  <c r="E4246" i="13" s="1"/>
  <c r="E4247" i="13" s="1"/>
  <c r="E4248" i="13" s="1"/>
  <c r="E4249" i="13" s="1"/>
  <c r="E4250" i="13" s="1"/>
  <c r="E4251" i="13" s="1"/>
  <c r="E4252" i="13" s="1"/>
  <c r="E4253" i="13" s="1"/>
  <c r="E4254" i="13" s="1"/>
  <c r="E4255" i="13" s="1"/>
  <c r="E4256" i="13" s="1"/>
  <c r="E4257" i="13" s="1"/>
  <c r="E4258" i="13" s="1"/>
  <c r="E4259" i="13" s="1"/>
  <c r="E4260" i="13" s="1"/>
  <c r="E4261" i="13" s="1"/>
  <c r="E4262" i="13" s="1"/>
  <c r="E4263" i="13" s="1"/>
  <c r="E4264" i="13" s="1"/>
  <c r="E4265" i="13" s="1"/>
  <c r="E4266" i="13" s="1"/>
  <c r="E4267" i="13" s="1"/>
  <c r="E4268" i="13" s="1"/>
  <c r="E4269" i="13" s="1"/>
  <c r="E4270" i="13" s="1"/>
  <c r="E4271" i="13" s="1"/>
  <c r="E4272" i="13" s="1"/>
  <c r="E4273" i="13" s="1"/>
  <c r="E4274" i="13" s="1"/>
  <c r="E4275" i="13" s="1"/>
  <c r="E4276" i="13" s="1"/>
  <c r="E4277" i="13" s="1"/>
  <c r="E4278" i="13" s="1"/>
  <c r="E4279" i="13" s="1"/>
  <c r="E4280" i="13" s="1"/>
  <c r="E4281" i="13" s="1"/>
  <c r="E4282" i="13" s="1"/>
  <c r="E4283" i="13" s="1"/>
  <c r="E4284" i="13" s="1"/>
  <c r="E4285" i="13" s="1"/>
  <c r="E4286" i="13" s="1"/>
  <c r="E4287" i="13" s="1"/>
  <c r="E4288" i="13" s="1"/>
  <c r="E4289" i="13" s="1"/>
  <c r="E4290" i="13" s="1"/>
  <c r="E4291" i="13" s="1"/>
  <c r="E4292" i="13" s="1"/>
  <c r="E4293" i="13" s="1"/>
  <c r="E4294" i="13" s="1"/>
  <c r="E4295" i="13" s="1"/>
  <c r="E4296" i="13" s="1"/>
  <c r="E4297" i="13" s="1"/>
  <c r="E4298" i="13" s="1"/>
  <c r="E4299" i="13" s="1"/>
  <c r="E4300" i="13" s="1"/>
  <c r="E4301" i="13" s="1"/>
  <c r="E4302" i="13" s="1"/>
  <c r="E4303" i="13" s="1"/>
  <c r="E4304" i="13" s="1"/>
  <c r="E4305" i="13" s="1"/>
  <c r="E4306" i="13" s="1"/>
  <c r="E4307" i="13" s="1"/>
  <c r="E4308" i="13" s="1"/>
  <c r="E4309" i="13" s="1"/>
  <c r="E4310" i="13" s="1"/>
  <c r="E4311" i="13" s="1"/>
  <c r="E4312" i="13" s="1"/>
  <c r="E4313" i="13" s="1"/>
  <c r="E4314" i="13" s="1"/>
  <c r="E4315" i="13" s="1"/>
  <c r="E4316" i="13" s="1"/>
  <c r="E4317" i="13" s="1"/>
  <c r="E4318" i="13" s="1"/>
  <c r="E4319" i="13" s="1"/>
  <c r="E4320" i="13" s="1"/>
  <c r="E4321" i="13" s="1"/>
  <c r="E4322" i="13" s="1"/>
  <c r="E4323" i="13" s="1"/>
  <c r="E4324" i="13" s="1"/>
  <c r="E4325" i="13" s="1"/>
  <c r="E4326" i="13" s="1"/>
  <c r="E4327" i="13" s="1"/>
  <c r="E4328" i="13" s="1"/>
  <c r="E4329" i="13" s="1"/>
  <c r="E4330" i="13" s="1"/>
  <c r="E4331" i="13" s="1"/>
  <c r="E4332" i="13" s="1"/>
  <c r="E4333" i="13" s="1"/>
  <c r="E4334" i="13" s="1"/>
  <c r="E4335" i="13" s="1"/>
  <c r="E4336" i="13" s="1"/>
  <c r="E4337" i="13" s="1"/>
  <c r="E4338" i="13" s="1"/>
  <c r="E4339" i="13" s="1"/>
  <c r="E4340" i="13" s="1"/>
  <c r="E4341" i="13" s="1"/>
  <c r="E4342" i="13" s="1"/>
  <c r="E4343" i="13" s="1"/>
  <c r="E4344" i="13" s="1"/>
  <c r="E4345" i="13" s="1"/>
  <c r="E4346" i="13" s="1"/>
  <c r="E4347" i="13" s="1"/>
  <c r="E4348" i="13" s="1"/>
  <c r="E4349" i="13" s="1"/>
  <c r="E4350" i="13" s="1"/>
  <c r="E4351" i="13" s="1"/>
  <c r="E4352" i="13" s="1"/>
  <c r="E4353" i="13" s="1"/>
  <c r="E4354" i="13" s="1"/>
  <c r="E4355" i="13" s="1"/>
  <c r="E4356" i="13" s="1"/>
  <c r="E4357" i="13" s="1"/>
  <c r="E4358" i="13" s="1"/>
  <c r="E4359" i="13" s="1"/>
  <c r="E4360" i="13" s="1"/>
  <c r="E4361" i="13" s="1"/>
  <c r="E4362" i="13" s="1"/>
  <c r="E4363" i="13" s="1"/>
  <c r="E4364" i="13" s="1"/>
  <c r="E4365" i="13" s="1"/>
  <c r="E4366" i="13" s="1"/>
  <c r="E4367" i="13" s="1"/>
  <c r="E4368" i="13" s="1"/>
  <c r="E4369" i="13" s="1"/>
  <c r="E4370" i="13" s="1"/>
  <c r="E4371" i="13" s="1"/>
  <c r="E4372" i="13" s="1"/>
  <c r="E4373" i="13" s="1"/>
  <c r="E4374" i="13" s="1"/>
  <c r="E4375" i="13" s="1"/>
  <c r="E4376" i="13" s="1"/>
  <c r="E4377" i="13" s="1"/>
  <c r="E4378" i="13" s="1"/>
  <c r="E4379" i="13" s="1"/>
  <c r="E4380" i="13" s="1"/>
  <c r="E4381" i="13" s="1"/>
  <c r="E4382" i="13" s="1"/>
  <c r="E4383" i="13" s="1"/>
  <c r="E4384" i="13" s="1"/>
  <c r="E4385" i="13" s="1"/>
  <c r="E4386" i="13" s="1"/>
  <c r="E4387" i="13" s="1"/>
  <c r="E4388" i="13" s="1"/>
  <c r="E4389" i="13" s="1"/>
  <c r="E4390" i="13" s="1"/>
  <c r="E4391" i="13" s="1"/>
  <c r="E4392" i="13" s="1"/>
  <c r="E4393" i="13" s="1"/>
  <c r="E4394" i="13" s="1"/>
  <c r="E4395" i="13" s="1"/>
  <c r="E4396" i="13" s="1"/>
  <c r="E4397" i="13" s="1"/>
  <c r="E4398" i="13" s="1"/>
  <c r="E4399" i="13" s="1"/>
  <c r="E4400" i="13" s="1"/>
  <c r="E4401" i="13" s="1"/>
  <c r="E4402" i="13" s="1"/>
  <c r="E4403" i="13" s="1"/>
  <c r="E4404" i="13" s="1"/>
  <c r="E4405" i="13" s="1"/>
  <c r="E4406" i="13" s="1"/>
  <c r="E4407" i="13" s="1"/>
  <c r="E4408" i="13" s="1"/>
  <c r="E4409" i="13" s="1"/>
  <c r="E4410" i="13" s="1"/>
  <c r="E4411" i="13" s="1"/>
  <c r="E4412" i="13" s="1"/>
  <c r="E4413" i="13" s="1"/>
  <c r="E4414" i="13" s="1"/>
  <c r="E4415" i="13" s="1"/>
  <c r="E4416" i="13" s="1"/>
  <c r="E4417" i="13" s="1"/>
  <c r="E4418" i="13" s="1"/>
  <c r="E4419" i="13" s="1"/>
  <c r="E4420" i="13" s="1"/>
  <c r="E4421" i="13" s="1"/>
  <c r="E4422" i="13" s="1"/>
  <c r="E4423" i="13" s="1"/>
  <c r="E4424" i="13" s="1"/>
  <c r="E4425" i="13" s="1"/>
  <c r="E4426" i="13" s="1"/>
  <c r="E4427" i="13" s="1"/>
  <c r="E4428" i="13" s="1"/>
  <c r="E4429" i="13" s="1"/>
  <c r="E4430" i="13" s="1"/>
  <c r="E4431" i="13" s="1"/>
  <c r="E4432" i="13" s="1"/>
  <c r="E4433" i="13" s="1"/>
  <c r="E4434" i="13" s="1"/>
  <c r="E4435" i="13" s="1"/>
  <c r="E4436" i="13" s="1"/>
  <c r="E4437" i="13" s="1"/>
  <c r="E4438" i="13" s="1"/>
  <c r="E4439" i="13" s="1"/>
  <c r="E4440" i="13" s="1"/>
  <c r="E4441" i="13" s="1"/>
  <c r="E4442" i="13" s="1"/>
  <c r="E4443" i="13" s="1"/>
  <c r="E4444" i="13" s="1"/>
  <c r="E4445" i="13" s="1"/>
  <c r="E4446" i="13" s="1"/>
  <c r="E4447" i="13" s="1"/>
  <c r="E4448" i="13" s="1"/>
  <c r="E4449" i="13" s="1"/>
  <c r="E4450" i="13" s="1"/>
  <c r="E4451" i="13" s="1"/>
  <c r="E4452" i="13" s="1"/>
  <c r="E4453" i="13" s="1"/>
  <c r="E4454" i="13" s="1"/>
  <c r="E4455" i="13" s="1"/>
  <c r="E4456" i="13" s="1"/>
  <c r="E4457" i="13" s="1"/>
  <c r="E4458" i="13" s="1"/>
  <c r="E4459" i="13" s="1"/>
  <c r="E4460" i="13" s="1"/>
  <c r="E4461" i="13" s="1"/>
  <c r="E4462" i="13" s="1"/>
  <c r="E4463" i="13" s="1"/>
  <c r="E4464" i="13" s="1"/>
  <c r="E4465" i="13" s="1"/>
  <c r="E4466" i="13" s="1"/>
  <c r="E4467" i="13" s="1"/>
  <c r="E4468" i="13" s="1"/>
  <c r="E4469" i="13" s="1"/>
  <c r="E4470" i="13" s="1"/>
  <c r="E4471" i="13" s="1"/>
  <c r="E4472" i="13" s="1"/>
  <c r="E4473" i="13" s="1"/>
  <c r="E4474" i="13" s="1"/>
  <c r="E4475" i="13" s="1"/>
  <c r="E4476" i="13" s="1"/>
  <c r="E4477" i="13" s="1"/>
  <c r="E4478" i="13" s="1"/>
  <c r="E4479" i="13" s="1"/>
  <c r="E4480" i="13" s="1"/>
  <c r="E4481" i="13" s="1"/>
  <c r="E4482" i="13" s="1"/>
  <c r="E4483" i="13" s="1"/>
  <c r="E4484" i="13" s="1"/>
  <c r="E4485" i="13" s="1"/>
  <c r="E4486" i="13" s="1"/>
  <c r="E4487" i="13" s="1"/>
  <c r="E4488" i="13" s="1"/>
  <c r="E4489" i="13" s="1"/>
  <c r="E4490" i="13" s="1"/>
  <c r="E4491" i="13" s="1"/>
  <c r="E4492" i="13" s="1"/>
  <c r="E4493" i="13" s="1"/>
  <c r="E4494" i="13" s="1"/>
  <c r="E4495" i="13" s="1"/>
  <c r="E4496" i="13" s="1"/>
  <c r="E4497" i="13" s="1"/>
  <c r="E4498" i="13" s="1"/>
  <c r="E4499" i="13" s="1"/>
  <c r="E4500" i="13" s="1"/>
  <c r="E4501" i="13" s="1"/>
  <c r="E4502" i="13" s="1"/>
  <c r="E4503" i="13" s="1"/>
  <c r="E4504" i="13" s="1"/>
  <c r="E4505" i="13" s="1"/>
  <c r="E4506" i="13" s="1"/>
  <c r="E4507" i="13" s="1"/>
  <c r="E4508" i="13" s="1"/>
  <c r="E4509" i="13" s="1"/>
  <c r="E4510" i="13" s="1"/>
  <c r="E4511" i="13" s="1"/>
  <c r="E4512" i="13" s="1"/>
  <c r="E4513" i="13" s="1"/>
  <c r="E4514" i="13" s="1"/>
  <c r="E4515" i="13" s="1"/>
  <c r="E4516" i="13" s="1"/>
  <c r="E4517" i="13" s="1"/>
  <c r="E4518" i="13" s="1"/>
  <c r="E4519" i="13" s="1"/>
  <c r="E4520" i="13" s="1"/>
  <c r="E4521" i="13" s="1"/>
  <c r="E4522" i="13" s="1"/>
  <c r="E4523" i="13" s="1"/>
  <c r="E4524" i="13" s="1"/>
  <c r="E4525" i="13" s="1"/>
  <c r="E4526" i="13" s="1"/>
  <c r="E4527" i="13" s="1"/>
  <c r="E4528" i="13" s="1"/>
  <c r="E4529" i="13" s="1"/>
  <c r="E4530" i="13" s="1"/>
  <c r="E4531" i="13" s="1"/>
  <c r="E4532" i="13" s="1"/>
  <c r="E4533" i="13" s="1"/>
  <c r="E4534" i="13" s="1"/>
  <c r="E4535" i="13" s="1"/>
  <c r="E4536" i="13" s="1"/>
  <c r="E4537" i="13" s="1"/>
  <c r="E4538" i="13" s="1"/>
  <c r="E4539" i="13" s="1"/>
  <c r="E4540" i="13" s="1"/>
  <c r="E4541" i="13" s="1"/>
  <c r="E4542" i="13" s="1"/>
  <c r="E4543" i="13" s="1"/>
  <c r="E4544" i="13" s="1"/>
  <c r="E4545" i="13" s="1"/>
  <c r="E4546" i="13" s="1"/>
  <c r="E4547" i="13" s="1"/>
  <c r="E4548" i="13" s="1"/>
  <c r="E4549" i="13" s="1"/>
  <c r="E4550" i="13" s="1"/>
  <c r="E4551" i="13" s="1"/>
  <c r="E4552" i="13" s="1"/>
  <c r="E4553" i="13" s="1"/>
  <c r="E4554" i="13" s="1"/>
  <c r="E4555" i="13" s="1"/>
  <c r="E4556" i="13" s="1"/>
  <c r="E4557" i="13" s="1"/>
  <c r="E4558" i="13" s="1"/>
  <c r="E4559" i="13" s="1"/>
  <c r="E4560" i="13" s="1"/>
  <c r="E4561" i="13" s="1"/>
  <c r="E4562" i="13" s="1"/>
  <c r="E4563" i="13" s="1"/>
  <c r="E4564" i="13" s="1"/>
  <c r="E4565" i="13" s="1"/>
  <c r="E4566" i="13" s="1"/>
  <c r="E4567" i="13" s="1"/>
  <c r="E4568" i="13" s="1"/>
  <c r="E4569" i="13" s="1"/>
  <c r="E4570" i="13" s="1"/>
  <c r="E4571" i="13" s="1"/>
  <c r="E4572" i="13" s="1"/>
  <c r="E4573" i="13" s="1"/>
  <c r="E4574" i="13" s="1"/>
  <c r="E4575" i="13" s="1"/>
  <c r="E4576" i="13" s="1"/>
  <c r="E4577" i="13" s="1"/>
  <c r="E4578" i="13" s="1"/>
  <c r="E4579" i="13" s="1"/>
  <c r="E4580" i="13" s="1"/>
  <c r="E4581" i="13" s="1"/>
  <c r="E4582" i="13" s="1"/>
  <c r="E4583" i="13" s="1"/>
  <c r="E4584" i="13" s="1"/>
  <c r="E4585" i="13" s="1"/>
  <c r="E4586" i="13" s="1"/>
  <c r="E4587" i="13" s="1"/>
  <c r="E4588" i="13" s="1"/>
  <c r="E4589" i="13" s="1"/>
  <c r="E4590" i="13" s="1"/>
  <c r="E4591" i="13" s="1"/>
  <c r="E4592" i="13" s="1"/>
  <c r="E4593" i="13" s="1"/>
  <c r="E4594" i="13" s="1"/>
  <c r="E4595" i="13" s="1"/>
  <c r="E4596" i="13" s="1"/>
  <c r="E4597" i="13" s="1"/>
  <c r="E4598" i="13" s="1"/>
  <c r="E4599" i="13" s="1"/>
  <c r="E4600" i="13" s="1"/>
  <c r="E4601" i="13" s="1"/>
  <c r="E4602" i="13" s="1"/>
  <c r="E4603" i="13" s="1"/>
  <c r="E4604" i="13" s="1"/>
  <c r="E4605" i="13" s="1"/>
  <c r="E4606" i="13" s="1"/>
  <c r="E4607" i="13" s="1"/>
  <c r="E4608" i="13" s="1"/>
  <c r="E4609" i="13" s="1"/>
  <c r="E4610" i="13" s="1"/>
  <c r="E4611" i="13" s="1"/>
  <c r="E4612" i="13" s="1"/>
  <c r="E4613" i="13" s="1"/>
  <c r="E4614" i="13" s="1"/>
  <c r="E4615" i="13" s="1"/>
  <c r="E4616" i="13" s="1"/>
  <c r="E4617" i="13" s="1"/>
  <c r="E4618" i="13" s="1"/>
  <c r="E4619" i="13" s="1"/>
  <c r="E4620" i="13" s="1"/>
  <c r="E4621" i="13" s="1"/>
  <c r="E4622" i="13" s="1"/>
  <c r="E4623" i="13" s="1"/>
  <c r="E4624" i="13" s="1"/>
  <c r="E4625" i="13" s="1"/>
  <c r="E4626" i="13" s="1"/>
  <c r="E4627" i="13" s="1"/>
  <c r="E4628" i="13" s="1"/>
  <c r="E4629" i="13" s="1"/>
  <c r="E4630" i="13" s="1"/>
  <c r="E4631" i="13" s="1"/>
  <c r="E4632" i="13" s="1"/>
  <c r="E4633" i="13" s="1"/>
  <c r="E4634" i="13" s="1"/>
  <c r="E4635" i="13" s="1"/>
  <c r="E4636" i="13" s="1"/>
  <c r="E4637" i="13" s="1"/>
  <c r="E4638" i="13" s="1"/>
  <c r="E4639" i="13" s="1"/>
  <c r="E4640" i="13" s="1"/>
  <c r="E4641" i="13" s="1"/>
  <c r="E4642" i="13" s="1"/>
  <c r="E4643" i="13" s="1"/>
  <c r="E4644" i="13" s="1"/>
  <c r="E4645" i="13" s="1"/>
  <c r="E4646" i="13" s="1"/>
  <c r="E4647" i="13" s="1"/>
  <c r="E4648" i="13" s="1"/>
  <c r="E4649" i="13" s="1"/>
  <c r="E4650" i="13" s="1"/>
  <c r="E4651" i="13" s="1"/>
  <c r="E4652" i="13" s="1"/>
  <c r="E4653" i="13" s="1"/>
  <c r="E4654" i="13" s="1"/>
  <c r="E4655" i="13" s="1"/>
  <c r="E4656" i="13" s="1"/>
  <c r="E4657" i="13" s="1"/>
  <c r="E4658" i="13" s="1"/>
  <c r="E4659" i="13" s="1"/>
  <c r="E4660" i="13" s="1"/>
  <c r="E4661" i="13" s="1"/>
  <c r="E4662" i="13" s="1"/>
  <c r="E4663" i="13" s="1"/>
  <c r="E4664" i="13" s="1"/>
  <c r="E4665" i="13" s="1"/>
  <c r="E4666" i="13" s="1"/>
  <c r="E4667" i="13" s="1"/>
  <c r="E4668" i="13" s="1"/>
  <c r="E4669" i="13" s="1"/>
  <c r="E4670" i="13" s="1"/>
  <c r="E4671" i="13" s="1"/>
  <c r="E4672" i="13" s="1"/>
  <c r="E4673" i="13" s="1"/>
  <c r="E4674" i="13" s="1"/>
  <c r="E4675" i="13" s="1"/>
  <c r="E4676" i="13" s="1"/>
  <c r="E4677" i="13" s="1"/>
  <c r="E4678" i="13" s="1"/>
  <c r="E4679" i="13" s="1"/>
  <c r="E4680" i="13" s="1"/>
  <c r="E4681" i="13" s="1"/>
  <c r="E4682" i="13" s="1"/>
  <c r="E4683" i="13" s="1"/>
  <c r="E4684" i="13" s="1"/>
  <c r="E4685" i="13" s="1"/>
  <c r="E4686" i="13" s="1"/>
  <c r="E4687" i="13" s="1"/>
  <c r="E4688" i="13" s="1"/>
  <c r="E4689" i="13" s="1"/>
  <c r="E4690" i="13" s="1"/>
  <c r="E4691" i="13" s="1"/>
  <c r="E4692" i="13" s="1"/>
  <c r="E4693" i="13" s="1"/>
  <c r="E4694" i="13" s="1"/>
  <c r="E4695" i="13" s="1"/>
  <c r="E4696" i="13" s="1"/>
  <c r="E4697" i="13" s="1"/>
  <c r="E4698" i="13" s="1"/>
  <c r="E4699" i="13" s="1"/>
  <c r="E4700" i="13" s="1"/>
  <c r="E4701" i="13" s="1"/>
  <c r="E4702" i="13" s="1"/>
  <c r="E4703" i="13" s="1"/>
  <c r="E4704" i="13" s="1"/>
  <c r="E4705" i="13" s="1"/>
  <c r="E4706" i="13" s="1"/>
  <c r="E4707" i="13" s="1"/>
  <c r="E4708" i="13" s="1"/>
  <c r="E4709" i="13" s="1"/>
  <c r="E4710" i="13" s="1"/>
  <c r="E4711" i="13" s="1"/>
  <c r="E4712" i="13" s="1"/>
  <c r="E4713" i="13" s="1"/>
  <c r="E4714" i="13" s="1"/>
  <c r="E4715" i="13" s="1"/>
  <c r="E4716" i="13" s="1"/>
  <c r="E4717" i="13" s="1"/>
  <c r="E4718" i="13" s="1"/>
  <c r="E4719" i="13" s="1"/>
  <c r="E4720" i="13" s="1"/>
  <c r="E4721" i="13" s="1"/>
  <c r="E4722" i="13" s="1"/>
  <c r="E4723" i="13" s="1"/>
  <c r="E4724" i="13" s="1"/>
  <c r="E4725" i="13" s="1"/>
  <c r="E4726" i="13" s="1"/>
  <c r="E4727" i="13" s="1"/>
  <c r="E4728" i="13" s="1"/>
  <c r="E4729" i="13" s="1"/>
  <c r="E4730" i="13" s="1"/>
  <c r="E4731" i="13" s="1"/>
  <c r="E4732" i="13" s="1"/>
  <c r="E4733" i="13" s="1"/>
  <c r="E4734" i="13" s="1"/>
  <c r="E4735" i="13" s="1"/>
  <c r="E4736" i="13" s="1"/>
  <c r="E4737" i="13" s="1"/>
  <c r="E4738" i="13" s="1"/>
  <c r="E4739" i="13" s="1"/>
  <c r="E4740" i="13" s="1"/>
  <c r="E4741" i="13" s="1"/>
  <c r="E4742" i="13" s="1"/>
  <c r="E4743" i="13" s="1"/>
  <c r="E4744" i="13" s="1"/>
  <c r="E4745" i="13" s="1"/>
  <c r="E4746" i="13" s="1"/>
  <c r="E4747" i="13" s="1"/>
  <c r="E4748" i="13" s="1"/>
  <c r="E4749" i="13" s="1"/>
  <c r="E4750" i="13" s="1"/>
  <c r="E4751" i="13" s="1"/>
  <c r="E4752" i="13" s="1"/>
  <c r="E4753" i="13" s="1"/>
  <c r="E4754" i="13" s="1"/>
  <c r="E4755" i="13" s="1"/>
  <c r="E4756" i="13" s="1"/>
  <c r="E4757" i="13" s="1"/>
  <c r="E4758" i="13" s="1"/>
  <c r="E4759" i="13" s="1"/>
  <c r="E4760" i="13" s="1"/>
  <c r="E4761" i="13" s="1"/>
  <c r="E4762" i="13" s="1"/>
  <c r="E4763" i="13" s="1"/>
  <c r="E4764" i="13" s="1"/>
  <c r="E4765" i="13" s="1"/>
  <c r="E4766" i="13" s="1"/>
  <c r="E4767" i="13" s="1"/>
  <c r="E4768" i="13" s="1"/>
  <c r="E4769" i="13" s="1"/>
  <c r="E4770" i="13" s="1"/>
  <c r="E4771" i="13" s="1"/>
  <c r="E4772" i="13" s="1"/>
  <c r="E4773" i="13" s="1"/>
  <c r="E4774" i="13" s="1"/>
  <c r="E4775" i="13" s="1"/>
  <c r="E4776" i="13" s="1"/>
  <c r="E4777" i="13" s="1"/>
  <c r="E4778" i="13" s="1"/>
  <c r="E4779" i="13" s="1"/>
  <c r="E4780" i="13" s="1"/>
  <c r="E4781" i="13" s="1"/>
  <c r="E4782" i="13" s="1"/>
  <c r="E4783" i="13" s="1"/>
  <c r="E4784" i="13" s="1"/>
  <c r="E4785" i="13" s="1"/>
  <c r="E4786" i="13" s="1"/>
  <c r="E4787" i="13" s="1"/>
  <c r="E4788" i="13" s="1"/>
  <c r="E4789" i="13" s="1"/>
  <c r="E4790" i="13" s="1"/>
  <c r="E4791" i="13" s="1"/>
  <c r="E4792" i="13" s="1"/>
  <c r="E4793" i="13" s="1"/>
  <c r="E4794" i="13" s="1"/>
  <c r="E4795" i="13" s="1"/>
  <c r="E4796" i="13" s="1"/>
  <c r="E4797" i="13" s="1"/>
  <c r="E4798" i="13" s="1"/>
  <c r="E4799" i="13" s="1"/>
  <c r="E4800" i="13" s="1"/>
  <c r="E4801" i="13" s="1"/>
  <c r="E4802" i="13" s="1"/>
  <c r="E4803" i="13" s="1"/>
  <c r="E4804" i="13" s="1"/>
  <c r="E4805" i="13" s="1"/>
  <c r="E4806" i="13" s="1"/>
  <c r="E4807" i="13" s="1"/>
  <c r="E4808" i="13" s="1"/>
  <c r="E4809" i="13" s="1"/>
  <c r="E4810" i="13" s="1"/>
  <c r="E4811" i="13" s="1"/>
  <c r="E4812" i="13" s="1"/>
  <c r="E4813" i="13" s="1"/>
  <c r="E4814" i="13" s="1"/>
  <c r="E4815" i="13" s="1"/>
  <c r="E4816" i="13" s="1"/>
  <c r="E4817" i="13" s="1"/>
  <c r="E4818" i="13" s="1"/>
  <c r="E4819" i="13" s="1"/>
  <c r="E4820" i="13" s="1"/>
  <c r="E4821" i="13" s="1"/>
  <c r="E4822" i="13" s="1"/>
  <c r="E4823" i="13" s="1"/>
  <c r="E4824" i="13" s="1"/>
  <c r="E4825" i="13" s="1"/>
  <c r="E4826" i="13" s="1"/>
  <c r="E4827" i="13" s="1"/>
  <c r="E4828" i="13" s="1"/>
  <c r="E4829" i="13" s="1"/>
  <c r="E4830" i="13" s="1"/>
  <c r="E4831" i="13" s="1"/>
  <c r="E4832" i="13" s="1"/>
  <c r="E4833" i="13" s="1"/>
  <c r="E4834" i="13" s="1"/>
  <c r="E4835" i="13" s="1"/>
  <c r="E4836" i="13" s="1"/>
  <c r="E4837" i="13" s="1"/>
  <c r="E4838" i="13" s="1"/>
  <c r="E4839" i="13" s="1"/>
  <c r="E4840" i="13" s="1"/>
  <c r="E4841" i="13" s="1"/>
  <c r="E4842" i="13" s="1"/>
  <c r="E4843" i="13" s="1"/>
  <c r="E4844" i="13" s="1"/>
  <c r="E4845" i="13" s="1"/>
  <c r="E4846" i="13" s="1"/>
  <c r="E4847" i="13" s="1"/>
  <c r="E4848" i="13" s="1"/>
  <c r="E4849" i="13" s="1"/>
  <c r="E4850" i="13" s="1"/>
  <c r="E4851" i="13" s="1"/>
  <c r="E4852" i="13" s="1"/>
  <c r="E4853" i="13" s="1"/>
  <c r="E4854" i="13" s="1"/>
  <c r="E4855" i="13" s="1"/>
  <c r="E4856" i="13" s="1"/>
  <c r="E4857" i="13" s="1"/>
  <c r="E4858" i="13" s="1"/>
  <c r="E4859" i="13" s="1"/>
  <c r="E4860" i="13" s="1"/>
  <c r="E4861" i="13" s="1"/>
  <c r="E4862" i="13" s="1"/>
  <c r="E4863" i="13" s="1"/>
  <c r="E4864" i="13" s="1"/>
  <c r="E4865" i="13" s="1"/>
  <c r="E4866" i="13" s="1"/>
  <c r="E4867" i="13" s="1"/>
  <c r="E4868" i="13" s="1"/>
  <c r="E4869" i="13" s="1"/>
  <c r="E4870" i="13" s="1"/>
  <c r="E4871" i="13" s="1"/>
  <c r="E4872" i="13" s="1"/>
  <c r="E4873" i="13" s="1"/>
  <c r="E4874" i="13" s="1"/>
  <c r="E4875" i="13" s="1"/>
  <c r="E4876" i="13" s="1"/>
  <c r="E4877" i="13" s="1"/>
  <c r="E4878" i="13" s="1"/>
  <c r="E4879" i="13" s="1"/>
  <c r="E4880" i="13" s="1"/>
  <c r="E4881" i="13" s="1"/>
  <c r="E4882" i="13" s="1"/>
  <c r="E4883" i="13" s="1"/>
  <c r="E4884" i="13" s="1"/>
  <c r="E4885" i="13" s="1"/>
  <c r="E4886" i="13" s="1"/>
  <c r="E4887" i="13" s="1"/>
  <c r="E4888" i="13" s="1"/>
  <c r="E4889" i="13" s="1"/>
  <c r="E4890" i="13" s="1"/>
  <c r="E4891" i="13" s="1"/>
  <c r="E4892" i="13" s="1"/>
  <c r="E4893" i="13" s="1"/>
  <c r="E4894" i="13" s="1"/>
  <c r="E4895" i="13" s="1"/>
  <c r="E4896" i="13" s="1"/>
  <c r="E4897" i="13" s="1"/>
  <c r="E4898" i="13" s="1"/>
  <c r="E4899" i="13" s="1"/>
  <c r="E4900" i="13" s="1"/>
  <c r="E4901" i="13" s="1"/>
  <c r="E4902" i="13" s="1"/>
  <c r="E4903" i="13" s="1"/>
  <c r="E4904" i="13" s="1"/>
  <c r="E4905" i="13" s="1"/>
  <c r="E4906" i="13" s="1"/>
  <c r="E4907" i="13" s="1"/>
  <c r="E4908" i="13" s="1"/>
  <c r="E4909" i="13" s="1"/>
  <c r="E4910" i="13" s="1"/>
  <c r="E4911" i="13" s="1"/>
  <c r="E4912" i="13" s="1"/>
  <c r="E4913" i="13" s="1"/>
  <c r="E4914" i="13" s="1"/>
  <c r="E4915" i="13" s="1"/>
  <c r="E4916" i="13" s="1"/>
  <c r="E4917" i="13" s="1"/>
  <c r="E4918" i="13" s="1"/>
  <c r="E4919" i="13" s="1"/>
  <c r="E4920" i="13" s="1"/>
  <c r="E4921" i="13" s="1"/>
  <c r="E4922" i="13" s="1"/>
  <c r="E4923" i="13" s="1"/>
  <c r="E4924" i="13" s="1"/>
  <c r="E4925" i="13" s="1"/>
  <c r="E4926" i="13" s="1"/>
  <c r="E4927" i="13" s="1"/>
  <c r="E4928" i="13" s="1"/>
  <c r="E4929" i="13" s="1"/>
  <c r="E4930" i="13" s="1"/>
  <c r="E4931" i="13" s="1"/>
  <c r="E4932" i="13" s="1"/>
  <c r="E4933" i="13" s="1"/>
  <c r="E4934" i="13" s="1"/>
  <c r="E4935" i="13" s="1"/>
  <c r="E4936" i="13" s="1"/>
  <c r="E4937" i="13" s="1"/>
  <c r="E4938" i="13" s="1"/>
  <c r="E4939" i="13" s="1"/>
  <c r="E4940" i="13" s="1"/>
  <c r="E4941" i="13" s="1"/>
  <c r="E4942" i="13" s="1"/>
  <c r="E4943" i="13" s="1"/>
  <c r="E4944" i="13" s="1"/>
  <c r="E4945" i="13" s="1"/>
  <c r="E4946" i="13" s="1"/>
  <c r="E4947" i="13" s="1"/>
  <c r="E4948" i="13" s="1"/>
  <c r="E4949" i="13" s="1"/>
  <c r="E4950" i="13" s="1"/>
  <c r="E4951" i="13" s="1"/>
  <c r="E4952" i="13" s="1"/>
  <c r="E4953" i="13" s="1"/>
  <c r="E4954" i="13" s="1"/>
  <c r="E4955" i="13" s="1"/>
  <c r="E4956" i="13" s="1"/>
  <c r="E4957" i="13" s="1"/>
  <c r="E4958" i="13" s="1"/>
  <c r="E4959" i="13" s="1"/>
  <c r="E4960" i="13" s="1"/>
  <c r="E4961" i="13" s="1"/>
  <c r="E4962" i="13" s="1"/>
  <c r="E4963" i="13" s="1"/>
  <c r="E4964" i="13" s="1"/>
  <c r="E4965" i="13" s="1"/>
  <c r="E4966" i="13" s="1"/>
  <c r="E4967" i="13" s="1"/>
  <c r="E4968" i="13" s="1"/>
  <c r="E4969" i="13" s="1"/>
  <c r="E4970" i="13" s="1"/>
  <c r="E4971" i="13" s="1"/>
  <c r="E4972" i="13" s="1"/>
  <c r="E4973" i="13" s="1"/>
  <c r="E4974" i="13" s="1"/>
  <c r="E4975" i="13" s="1"/>
  <c r="E4976" i="13" s="1"/>
  <c r="E4977" i="13" s="1"/>
  <c r="E4978" i="13" s="1"/>
  <c r="E4979" i="13" s="1"/>
  <c r="E4980" i="13" s="1"/>
  <c r="E4981" i="13" s="1"/>
  <c r="E4982" i="13" s="1"/>
  <c r="E4983" i="13" s="1"/>
  <c r="E4984" i="13" s="1"/>
  <c r="E4985" i="13" s="1"/>
  <c r="E4986" i="13" s="1"/>
  <c r="E4987" i="13" s="1"/>
  <c r="E4988" i="13" s="1"/>
  <c r="E4989" i="13" s="1"/>
  <c r="E4990" i="13" s="1"/>
  <c r="E4991" i="13" s="1"/>
  <c r="E4992" i="13" s="1"/>
  <c r="E4993" i="13" s="1"/>
  <c r="E4994" i="13" s="1"/>
  <c r="E4995" i="13" s="1"/>
  <c r="E4996" i="13" s="1"/>
  <c r="E4997" i="13" s="1"/>
  <c r="E4998" i="13" s="1"/>
  <c r="E4999" i="13" s="1"/>
  <c r="E5000" i="13" s="1"/>
  <c r="E5001" i="13" s="1"/>
  <c r="E5002" i="13" s="1"/>
  <c r="E5003" i="13" s="1"/>
  <c r="E5004" i="13" s="1"/>
  <c r="E5005" i="13" s="1"/>
  <c r="E5006" i="13" s="1"/>
  <c r="E5007" i="13" s="1"/>
  <c r="E5008" i="13" s="1"/>
  <c r="E5009" i="13" s="1"/>
  <c r="E5010" i="13" s="1"/>
  <c r="E5011" i="13" s="1"/>
  <c r="E5012" i="13" s="1"/>
  <c r="E5013" i="13" s="1"/>
  <c r="E5014" i="13" s="1"/>
  <c r="E5015" i="13" s="1"/>
  <c r="E5016" i="13" s="1"/>
  <c r="E5017" i="13" s="1"/>
  <c r="E5018" i="13" s="1"/>
  <c r="E5019" i="13" s="1"/>
  <c r="E5020" i="13" s="1"/>
  <c r="E5021" i="13" s="1"/>
  <c r="E5022" i="13" s="1"/>
  <c r="E5023" i="13" s="1"/>
  <c r="E5024" i="13" s="1"/>
  <c r="E5025" i="13" s="1"/>
  <c r="E5026" i="13" s="1"/>
  <c r="E5027" i="13" s="1"/>
  <c r="E5028" i="13" s="1"/>
  <c r="E5029" i="13" s="1"/>
  <c r="E5030" i="13" s="1"/>
  <c r="E5031" i="13" s="1"/>
  <c r="E5032" i="13" s="1"/>
  <c r="E5033" i="13" s="1"/>
  <c r="E5034" i="13" s="1"/>
  <c r="E5035" i="13" s="1"/>
  <c r="E5036" i="13" s="1"/>
  <c r="E5037" i="13" s="1"/>
  <c r="E5038" i="13" s="1"/>
  <c r="E5039" i="13" s="1"/>
  <c r="E5040" i="13" s="1"/>
  <c r="E5041" i="13" s="1"/>
  <c r="E5042" i="13" s="1"/>
  <c r="E5043" i="13" s="1"/>
  <c r="E5044" i="13" s="1"/>
  <c r="E5045" i="13" s="1"/>
  <c r="E5046" i="13" s="1"/>
  <c r="E5047" i="13" s="1"/>
  <c r="E5048" i="13" s="1"/>
  <c r="E5049" i="13" s="1"/>
  <c r="E5050" i="13" s="1"/>
  <c r="E5051" i="13" s="1"/>
  <c r="E5052" i="13" s="1"/>
  <c r="E5053" i="13" s="1"/>
  <c r="E5054" i="13" s="1"/>
  <c r="E5055" i="13" s="1"/>
  <c r="E5056" i="13" s="1"/>
  <c r="E5057" i="13" s="1"/>
  <c r="E5058" i="13" s="1"/>
  <c r="E5059" i="13" s="1"/>
  <c r="E5060" i="13" s="1"/>
  <c r="E5061" i="13" s="1"/>
  <c r="E5062" i="13" s="1"/>
  <c r="E5063" i="13" s="1"/>
  <c r="E5064" i="13" s="1"/>
  <c r="E5065" i="13" s="1"/>
  <c r="E5066" i="13" s="1"/>
  <c r="E5067" i="13" s="1"/>
  <c r="E5068" i="13" s="1"/>
  <c r="E5069" i="13" s="1"/>
  <c r="E5070" i="13" s="1"/>
  <c r="E5071" i="13" s="1"/>
  <c r="E5072" i="13" s="1"/>
  <c r="E5073" i="13" s="1"/>
  <c r="E5074" i="13" s="1"/>
  <c r="E5075" i="13" s="1"/>
  <c r="E5076" i="13" s="1"/>
  <c r="E5077" i="13" s="1"/>
  <c r="E5078" i="13" s="1"/>
  <c r="E5079" i="13" s="1"/>
  <c r="E5080" i="13" s="1"/>
  <c r="E5081" i="13" s="1"/>
  <c r="E5082" i="13" s="1"/>
  <c r="E5083" i="13" s="1"/>
  <c r="E5084" i="13" s="1"/>
  <c r="E5085" i="13" s="1"/>
  <c r="E5086" i="13" s="1"/>
  <c r="E5087" i="13" s="1"/>
  <c r="E5088" i="13" s="1"/>
  <c r="E5089" i="13" s="1"/>
  <c r="E5090" i="13" s="1"/>
  <c r="E5091" i="13" s="1"/>
  <c r="E5092" i="13" s="1"/>
  <c r="E5093" i="13" s="1"/>
  <c r="E5094" i="13" s="1"/>
  <c r="E5095" i="13" s="1"/>
  <c r="E5096" i="13" s="1"/>
  <c r="E5097" i="13" s="1"/>
  <c r="E5098" i="13" s="1"/>
  <c r="E5099" i="13" s="1"/>
  <c r="E5100" i="13" s="1"/>
  <c r="E5101" i="13" s="1"/>
  <c r="E5102" i="13" s="1"/>
  <c r="E5103" i="13" s="1"/>
  <c r="E5104" i="13" s="1"/>
  <c r="E5105" i="13" s="1"/>
  <c r="E5106" i="13" s="1"/>
  <c r="E5107" i="13" s="1"/>
  <c r="E5108" i="13" s="1"/>
  <c r="E5109" i="13" s="1"/>
  <c r="E5110" i="13" s="1"/>
  <c r="E5111" i="13" s="1"/>
  <c r="E5112" i="13" s="1"/>
  <c r="E5113" i="13" s="1"/>
  <c r="E5114" i="13" s="1"/>
  <c r="E5115" i="13" s="1"/>
  <c r="E5116" i="13" s="1"/>
  <c r="E5117" i="13" s="1"/>
  <c r="E5118" i="13" s="1"/>
  <c r="E5119" i="13" s="1"/>
  <c r="E5120" i="13" s="1"/>
  <c r="E5121" i="13" s="1"/>
  <c r="E5122" i="13" s="1"/>
  <c r="E5123" i="13" s="1"/>
  <c r="E5124" i="13" s="1"/>
  <c r="E5125" i="13" s="1"/>
  <c r="E5126" i="13" s="1"/>
  <c r="E5127" i="13" s="1"/>
  <c r="E5128" i="13" s="1"/>
  <c r="E5129" i="13" s="1"/>
  <c r="E5130" i="13" s="1"/>
  <c r="E5131" i="13" s="1"/>
  <c r="E5132" i="13" s="1"/>
  <c r="E5133" i="13" s="1"/>
  <c r="E5134" i="13" s="1"/>
  <c r="E5135" i="13" s="1"/>
  <c r="E5136" i="13" s="1"/>
  <c r="E5137" i="13" s="1"/>
  <c r="E5138" i="13" s="1"/>
  <c r="E5139" i="13" s="1"/>
  <c r="E5140" i="13" s="1"/>
  <c r="E5141" i="13" s="1"/>
  <c r="E5142" i="13" s="1"/>
  <c r="E5143" i="13" s="1"/>
  <c r="E5144" i="13" s="1"/>
  <c r="E5145" i="13" s="1"/>
  <c r="E5146" i="13" s="1"/>
  <c r="E5147" i="13" s="1"/>
  <c r="E5148" i="13" s="1"/>
  <c r="E5149" i="13" s="1"/>
  <c r="E5150" i="13" s="1"/>
  <c r="E5151" i="13" s="1"/>
  <c r="E5152" i="13" s="1"/>
  <c r="E5153" i="13" s="1"/>
  <c r="E5154" i="13" s="1"/>
  <c r="E5155" i="13" s="1"/>
  <c r="E5156" i="13" s="1"/>
  <c r="E5157" i="13" s="1"/>
  <c r="E5158" i="13" s="1"/>
  <c r="E5159" i="13" s="1"/>
  <c r="E5160" i="13" s="1"/>
  <c r="E5161" i="13" s="1"/>
  <c r="E5162" i="13" s="1"/>
  <c r="E5163" i="13" s="1"/>
  <c r="E5164" i="13" s="1"/>
  <c r="E5165" i="13" s="1"/>
  <c r="E5166" i="13" s="1"/>
  <c r="E5167" i="13" s="1"/>
  <c r="E5168" i="13" s="1"/>
  <c r="E5169" i="13" s="1"/>
  <c r="E5170" i="13" s="1"/>
  <c r="E5171" i="13" s="1"/>
  <c r="E5172" i="13" s="1"/>
  <c r="E657" i="13"/>
  <c r="E316" i="13"/>
  <c r="E317" i="13" s="1"/>
  <c r="E318" i="13" s="1"/>
  <c r="E319" i="13" s="1"/>
  <c r="E320" i="13" s="1"/>
  <c r="E321" i="13" s="1"/>
  <c r="E322" i="13" s="1"/>
  <c r="E323" i="13" s="1"/>
  <c r="E324" i="13" s="1"/>
  <c r="E325" i="13" s="1"/>
  <c r="E326" i="13" s="1"/>
  <c r="E327" i="13" s="1"/>
  <c r="E328" i="13" s="1"/>
  <c r="E329" i="13" s="1"/>
  <c r="E330" i="13" s="1"/>
  <c r="E331" i="13" s="1"/>
  <c r="E332" i="13" s="1"/>
  <c r="E333" i="13" s="1"/>
  <c r="E334" i="13" s="1"/>
  <c r="E335" i="13" s="1"/>
  <c r="E336" i="13" s="1"/>
  <c r="E337" i="13" s="1"/>
  <c r="E338" i="13" s="1"/>
  <c r="E339" i="13" s="1"/>
  <c r="E340" i="13" s="1"/>
  <c r="E341" i="13" s="1"/>
  <c r="E342" i="13" s="1"/>
  <c r="E343" i="13" s="1"/>
  <c r="E344" i="13" s="1"/>
  <c r="E345" i="13" s="1"/>
  <c r="E346" i="13" s="1"/>
  <c r="E347" i="13" s="1"/>
  <c r="E348" i="13" s="1"/>
  <c r="E349" i="13" s="1"/>
  <c r="E350" i="13" s="1"/>
  <c r="E351" i="13" s="1"/>
  <c r="E352" i="13" s="1"/>
  <c r="E353" i="13" s="1"/>
  <c r="E354" i="13" s="1"/>
  <c r="E355" i="13" s="1"/>
  <c r="E356" i="13" s="1"/>
  <c r="E357" i="13" s="1"/>
  <c r="E358" i="13" s="1"/>
  <c r="E359" i="13" s="1"/>
  <c r="E360" i="13" s="1"/>
  <c r="E361" i="13" s="1"/>
  <c r="E362" i="13" s="1"/>
  <c r="E363" i="13" s="1"/>
  <c r="E364" i="13" s="1"/>
  <c r="E365" i="13" s="1"/>
  <c r="E366" i="13" s="1"/>
  <c r="E367" i="13" s="1"/>
  <c r="E368" i="13" s="1"/>
  <c r="E369" i="13" s="1"/>
  <c r="E370" i="13" s="1"/>
  <c r="E371" i="13" s="1"/>
  <c r="E372" i="13" s="1"/>
  <c r="E373" i="13" s="1"/>
  <c r="E374" i="13" s="1"/>
  <c r="E375" i="13" s="1"/>
  <c r="E376" i="13" s="1"/>
  <c r="E377" i="13" s="1"/>
  <c r="E378" i="13" s="1"/>
  <c r="E379" i="13" s="1"/>
  <c r="E380" i="13" s="1"/>
  <c r="E381" i="13" s="1"/>
  <c r="E382" i="13" s="1"/>
  <c r="E383" i="13" s="1"/>
  <c r="E384" i="13" s="1"/>
  <c r="E385" i="13" s="1"/>
  <c r="E386" i="13" s="1"/>
  <c r="E387" i="13" s="1"/>
  <c r="E388" i="13" s="1"/>
  <c r="E389" i="13" s="1"/>
  <c r="E390" i="13" s="1"/>
  <c r="E391" i="13" s="1"/>
  <c r="E392" i="13" s="1"/>
  <c r="E393" i="13" s="1"/>
  <c r="E394" i="13" s="1"/>
  <c r="E395" i="13" s="1"/>
  <c r="E396" i="13" s="1"/>
  <c r="E397" i="13" s="1"/>
  <c r="E398" i="13" s="1"/>
  <c r="E399" i="13" s="1"/>
  <c r="E400" i="13" s="1"/>
  <c r="E401" i="13" s="1"/>
  <c r="E402" i="13" s="1"/>
  <c r="E403" i="13" s="1"/>
  <c r="E404" i="13" s="1"/>
  <c r="E405" i="13" s="1"/>
  <c r="E406" i="13" s="1"/>
  <c r="E407" i="13" s="1"/>
  <c r="E408" i="13" s="1"/>
  <c r="E409" i="13" s="1"/>
  <c r="E410" i="13" s="1"/>
  <c r="E411" i="13" s="1"/>
  <c r="E412" i="13" s="1"/>
  <c r="E413" i="13" s="1"/>
  <c r="E414" i="13" s="1"/>
  <c r="E415" i="13" s="1"/>
  <c r="E416" i="13" s="1"/>
  <c r="E417" i="13" s="1"/>
  <c r="E418" i="13" s="1"/>
  <c r="E419" i="13" s="1"/>
  <c r="E420" i="13" s="1"/>
  <c r="E421" i="13" s="1"/>
  <c r="E422" i="13" s="1"/>
  <c r="E423" i="13" s="1"/>
  <c r="E424" i="13" s="1"/>
  <c r="E425" i="13" s="1"/>
  <c r="E426" i="13" s="1"/>
  <c r="E427" i="13" s="1"/>
  <c r="E428" i="13" s="1"/>
  <c r="E429" i="13" s="1"/>
  <c r="E430" i="13" s="1"/>
  <c r="E431" i="13" s="1"/>
  <c r="E432" i="13" s="1"/>
  <c r="E433" i="13" s="1"/>
  <c r="E434" i="13" s="1"/>
  <c r="E435" i="13" s="1"/>
  <c r="E436" i="13" s="1"/>
  <c r="E437" i="13" s="1"/>
  <c r="E438" i="13" s="1"/>
  <c r="E439" i="13" s="1"/>
  <c r="E440" i="13" s="1"/>
  <c r="E441" i="13" s="1"/>
  <c r="E442" i="13" s="1"/>
  <c r="E443" i="13" s="1"/>
  <c r="E444" i="13" s="1"/>
  <c r="E445" i="13" s="1"/>
  <c r="E446" i="13" s="1"/>
  <c r="E447" i="13" s="1"/>
  <c r="E448" i="13" s="1"/>
  <c r="E449" i="13" s="1"/>
  <c r="E450" i="13" s="1"/>
  <c r="E451" i="13" s="1"/>
  <c r="E452" i="13" s="1"/>
  <c r="E453" i="13" s="1"/>
  <c r="E454" i="13" s="1"/>
  <c r="E455" i="13" s="1"/>
  <c r="E456" i="13" s="1"/>
  <c r="E457" i="13" s="1"/>
  <c r="E458" i="13" s="1"/>
  <c r="E459" i="13" s="1"/>
  <c r="E460" i="13" s="1"/>
  <c r="E461" i="13" s="1"/>
  <c r="E462" i="13" s="1"/>
  <c r="E463" i="13" s="1"/>
  <c r="E464" i="13" s="1"/>
  <c r="E465" i="13" s="1"/>
  <c r="E466" i="13" s="1"/>
  <c r="E467" i="13" s="1"/>
  <c r="E468" i="13" s="1"/>
  <c r="E469" i="13" s="1"/>
  <c r="E470" i="13" s="1"/>
  <c r="E471" i="13" s="1"/>
  <c r="E472" i="13" s="1"/>
  <c r="E473" i="13" s="1"/>
  <c r="E474" i="13" s="1"/>
  <c r="E475" i="13" s="1"/>
  <c r="E476" i="13" s="1"/>
  <c r="E477" i="13" s="1"/>
  <c r="E478" i="13" s="1"/>
  <c r="E479" i="13" s="1"/>
  <c r="E480" i="13" s="1"/>
  <c r="E481" i="13" s="1"/>
  <c r="E482" i="13" s="1"/>
  <c r="E483" i="13" s="1"/>
  <c r="E484" i="13" s="1"/>
  <c r="E485" i="13" s="1"/>
  <c r="E486" i="13" s="1"/>
  <c r="E487" i="13" s="1"/>
  <c r="E488" i="13" s="1"/>
  <c r="E489" i="13" s="1"/>
  <c r="E490" i="13" s="1"/>
  <c r="E491" i="13" s="1"/>
  <c r="E492" i="13" s="1"/>
  <c r="E493" i="13" s="1"/>
  <c r="E494" i="13" s="1"/>
  <c r="E495" i="13" s="1"/>
  <c r="E496" i="13" s="1"/>
  <c r="E497" i="13" s="1"/>
  <c r="E498" i="13" s="1"/>
  <c r="E499" i="13" s="1"/>
  <c r="E500" i="13" s="1"/>
  <c r="E501" i="13" s="1"/>
  <c r="E502" i="13" s="1"/>
  <c r="E503" i="13" s="1"/>
  <c r="E504" i="13" s="1"/>
  <c r="E505" i="13" s="1"/>
  <c r="E506" i="13" s="1"/>
  <c r="E507" i="13" s="1"/>
  <c r="E508" i="13" s="1"/>
  <c r="E509" i="13" s="1"/>
  <c r="E510" i="13" s="1"/>
  <c r="E511" i="13" s="1"/>
  <c r="E512" i="13" s="1"/>
  <c r="E513" i="13" s="1"/>
  <c r="E514" i="13" s="1"/>
  <c r="E515" i="13" s="1"/>
  <c r="E516" i="13" s="1"/>
  <c r="E517" i="13" s="1"/>
  <c r="E518" i="13" s="1"/>
  <c r="E519" i="13" s="1"/>
  <c r="E520" i="13" s="1"/>
  <c r="E521" i="13" s="1"/>
  <c r="E522" i="13" s="1"/>
  <c r="E523" i="13" s="1"/>
  <c r="E524" i="13" s="1"/>
  <c r="E525" i="13" s="1"/>
  <c r="E526" i="13" s="1"/>
  <c r="E527" i="13" s="1"/>
  <c r="E528" i="13" s="1"/>
  <c r="E529" i="13" s="1"/>
  <c r="E530" i="13" s="1"/>
  <c r="E531" i="13" s="1"/>
  <c r="E532" i="13" s="1"/>
  <c r="E533" i="13" s="1"/>
  <c r="E534" i="13" s="1"/>
  <c r="E535" i="13" s="1"/>
  <c r="E536" i="13" s="1"/>
  <c r="E537" i="13" s="1"/>
  <c r="E538" i="13" s="1"/>
  <c r="E539" i="13" s="1"/>
  <c r="E540" i="13" s="1"/>
  <c r="E541" i="13" s="1"/>
  <c r="E542" i="13" s="1"/>
  <c r="E543" i="13" s="1"/>
  <c r="E544" i="13" s="1"/>
  <c r="E545" i="13" s="1"/>
  <c r="E546" i="13" s="1"/>
  <c r="E547" i="13" s="1"/>
  <c r="E548" i="13" s="1"/>
  <c r="E549" i="13" s="1"/>
  <c r="E550" i="13" s="1"/>
  <c r="E551" i="13" s="1"/>
  <c r="E552" i="13" s="1"/>
  <c r="E553" i="13" s="1"/>
  <c r="E554" i="13" s="1"/>
  <c r="E555" i="13" s="1"/>
  <c r="E556" i="13" s="1"/>
  <c r="E557" i="13" s="1"/>
  <c r="E558" i="13" s="1"/>
  <c r="E559" i="13" s="1"/>
  <c r="E560" i="13" s="1"/>
  <c r="E561" i="13" s="1"/>
  <c r="E562" i="13" s="1"/>
  <c r="E563" i="13" s="1"/>
  <c r="E564" i="13" s="1"/>
  <c r="E565" i="13" s="1"/>
  <c r="E566" i="13" s="1"/>
  <c r="E567" i="13" s="1"/>
  <c r="E568" i="13" s="1"/>
  <c r="E569" i="13" s="1"/>
  <c r="E570" i="13" s="1"/>
  <c r="E571" i="13" s="1"/>
  <c r="E572" i="13" s="1"/>
  <c r="E573" i="13" s="1"/>
  <c r="E574" i="13" s="1"/>
  <c r="E575" i="13" s="1"/>
  <c r="E576" i="13" s="1"/>
  <c r="E577" i="13" s="1"/>
  <c r="E578" i="13" s="1"/>
  <c r="E579" i="13" s="1"/>
  <c r="E580" i="13" s="1"/>
  <c r="E581" i="13" s="1"/>
  <c r="E582" i="13" s="1"/>
  <c r="E583" i="13" s="1"/>
  <c r="E584" i="13" s="1"/>
  <c r="E585" i="13" s="1"/>
  <c r="E586" i="13" s="1"/>
  <c r="E587" i="13" s="1"/>
  <c r="E588" i="13" s="1"/>
  <c r="E589" i="13" s="1"/>
  <c r="E590" i="13" s="1"/>
  <c r="E591" i="13" s="1"/>
  <c r="E592" i="13" s="1"/>
  <c r="E593" i="13" s="1"/>
  <c r="E594" i="13" s="1"/>
  <c r="E595" i="13" s="1"/>
  <c r="E596" i="13" s="1"/>
  <c r="E597" i="13" s="1"/>
  <c r="E598" i="13" s="1"/>
  <c r="E599" i="13" s="1"/>
  <c r="E600" i="13" s="1"/>
  <c r="E601" i="13" s="1"/>
  <c r="E602" i="13" s="1"/>
  <c r="E603" i="13" s="1"/>
  <c r="E604" i="13" s="1"/>
  <c r="E605" i="13" s="1"/>
  <c r="E606" i="13" s="1"/>
  <c r="E607" i="13" s="1"/>
  <c r="E608" i="13" s="1"/>
  <c r="E609" i="13" s="1"/>
  <c r="E610" i="13" s="1"/>
  <c r="E611" i="13" s="1"/>
  <c r="E612" i="13" s="1"/>
  <c r="E613" i="13" s="1"/>
  <c r="E614" i="13" s="1"/>
  <c r="E615" i="13" s="1"/>
  <c r="E616" i="13" s="1"/>
  <c r="E617" i="13" s="1"/>
  <c r="E618" i="13" s="1"/>
  <c r="E619" i="13" s="1"/>
  <c r="E620" i="13" s="1"/>
  <c r="E621" i="13" s="1"/>
  <c r="E622" i="13" s="1"/>
  <c r="E623" i="13" s="1"/>
  <c r="E624" i="13" s="1"/>
  <c r="E625" i="13" s="1"/>
  <c r="E626" i="13" s="1"/>
  <c r="E627" i="13" s="1"/>
  <c r="E628" i="13" s="1"/>
  <c r="E629" i="13" s="1"/>
  <c r="E630" i="13" s="1"/>
  <c r="E631" i="13" s="1"/>
  <c r="E632" i="13" s="1"/>
  <c r="E633" i="13" s="1"/>
  <c r="E634" i="13" s="1"/>
  <c r="E635" i="13" s="1"/>
  <c r="E636" i="13" s="1"/>
  <c r="E637" i="13" s="1"/>
  <c r="E638" i="13" s="1"/>
  <c r="E639" i="13" s="1"/>
  <c r="E640" i="13" s="1"/>
  <c r="E641" i="13" s="1"/>
  <c r="E642" i="13" s="1"/>
  <c r="E643" i="13" s="1"/>
  <c r="E644" i="13" s="1"/>
  <c r="E645" i="13" s="1"/>
  <c r="E646" i="13" s="1"/>
  <c r="E647" i="13" s="1"/>
  <c r="E648" i="13" s="1"/>
  <c r="E649" i="13" s="1"/>
  <c r="E650" i="13" s="1"/>
  <c r="E651" i="13" s="1"/>
  <c r="E652" i="13" s="1"/>
  <c r="E653" i="13" s="1"/>
  <c r="E654" i="13" s="1"/>
  <c r="E655" i="13" s="1"/>
  <c r="H656" i="13" s="1"/>
  <c r="E3" i="13"/>
  <c r="E4" i="13" s="1"/>
  <c r="E5" i="13" s="1"/>
  <c r="E6" i="13" s="1"/>
  <c r="E7" i="13" s="1"/>
  <c r="E8" i="13" s="1"/>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E39" i="13" s="1"/>
  <c r="E40" i="13" s="1"/>
  <c r="E41" i="13" s="1"/>
  <c r="E42" i="13" s="1"/>
  <c r="E43" i="13" s="1"/>
  <c r="E44" i="13" s="1"/>
  <c r="E45" i="13" s="1"/>
  <c r="E46" i="13" s="1"/>
  <c r="E47" i="13" s="1"/>
  <c r="E48" i="13" s="1"/>
  <c r="E49" i="13" s="1"/>
  <c r="E50" i="13" s="1"/>
  <c r="E51" i="13" s="1"/>
  <c r="E52" i="13" s="1"/>
  <c r="E53" i="13" s="1"/>
  <c r="E54" i="13" s="1"/>
  <c r="E55" i="13" s="1"/>
  <c r="E56" i="13" s="1"/>
  <c r="E57" i="13" s="1"/>
  <c r="E58" i="13" s="1"/>
  <c r="E59" i="13" s="1"/>
  <c r="E60" i="13" s="1"/>
  <c r="E61" i="13" s="1"/>
  <c r="E62" i="13" s="1"/>
  <c r="E63" i="13" s="1"/>
  <c r="E64" i="13" s="1"/>
  <c r="E65" i="13" s="1"/>
  <c r="E66" i="13" s="1"/>
  <c r="E67" i="13" s="1"/>
  <c r="E68" i="13" s="1"/>
  <c r="E69" i="13" s="1"/>
  <c r="E70" i="13" s="1"/>
  <c r="E71" i="13" s="1"/>
  <c r="E72" i="13" s="1"/>
  <c r="E73" i="13" s="1"/>
  <c r="E74" i="13" s="1"/>
  <c r="E75" i="13" s="1"/>
  <c r="E76" i="13" s="1"/>
  <c r="E77" i="13" s="1"/>
  <c r="E78" i="13" s="1"/>
  <c r="E79" i="13" s="1"/>
  <c r="E80" i="13" s="1"/>
  <c r="E81" i="13" s="1"/>
  <c r="E82" i="13" s="1"/>
  <c r="E83" i="13" s="1"/>
  <c r="E84" i="13" s="1"/>
  <c r="E85" i="13" s="1"/>
  <c r="E86" i="13" s="1"/>
  <c r="E87" i="13" s="1"/>
  <c r="E88" i="13" s="1"/>
  <c r="E89" i="13" s="1"/>
  <c r="E90" i="13" s="1"/>
  <c r="E91" i="13" s="1"/>
  <c r="E92" i="13" s="1"/>
  <c r="E93" i="13" s="1"/>
  <c r="E94" i="13" s="1"/>
  <c r="E95" i="13" s="1"/>
  <c r="E96" i="13" s="1"/>
  <c r="E97" i="13" s="1"/>
  <c r="E98" i="13" s="1"/>
  <c r="E99" i="13" s="1"/>
  <c r="E100" i="13" s="1"/>
  <c r="E101" i="13" s="1"/>
  <c r="E102" i="13" s="1"/>
  <c r="E103" i="13" s="1"/>
  <c r="E104" i="13" s="1"/>
  <c r="E105" i="13" s="1"/>
  <c r="E106" i="13" s="1"/>
  <c r="E107" i="13" s="1"/>
  <c r="E108" i="13" s="1"/>
  <c r="E109" i="13" s="1"/>
  <c r="E110" i="13" s="1"/>
  <c r="E111" i="13" s="1"/>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E161" i="13" s="1"/>
  <c r="E162" i="13" s="1"/>
  <c r="E163" i="13" s="1"/>
  <c r="E164" i="13" s="1"/>
  <c r="E165" i="13" s="1"/>
  <c r="E166" i="13" s="1"/>
  <c r="E167" i="13" s="1"/>
  <c r="E168" i="13" s="1"/>
  <c r="E169" i="13" s="1"/>
  <c r="E170" i="13" s="1"/>
  <c r="E171" i="13" s="1"/>
  <c r="E172" i="13" s="1"/>
  <c r="E173" i="13" s="1"/>
  <c r="E174" i="13" s="1"/>
  <c r="E175" i="13" s="1"/>
  <c r="E176" i="13" s="1"/>
  <c r="E177" i="13" s="1"/>
  <c r="E178" i="13" s="1"/>
  <c r="E179" i="13" s="1"/>
  <c r="E180" i="13" s="1"/>
  <c r="E181" i="13" s="1"/>
  <c r="E182" i="13" s="1"/>
  <c r="E183" i="13" s="1"/>
  <c r="E184" i="13" s="1"/>
  <c r="E185" i="13" s="1"/>
  <c r="E186" i="13" s="1"/>
  <c r="E187" i="13" s="1"/>
  <c r="E188" i="13" s="1"/>
  <c r="E189" i="13" s="1"/>
  <c r="E190" i="13" s="1"/>
  <c r="E191" i="13" s="1"/>
  <c r="E192" i="13" s="1"/>
  <c r="E193" i="13" s="1"/>
  <c r="E194" i="13" s="1"/>
  <c r="E195" i="13" s="1"/>
  <c r="E196" i="13" s="1"/>
  <c r="E197" i="13" s="1"/>
  <c r="E198" i="13" s="1"/>
  <c r="E199" i="13" s="1"/>
  <c r="E200" i="13" s="1"/>
  <c r="E201" i="13" s="1"/>
  <c r="E202" i="13" s="1"/>
  <c r="E203" i="13" s="1"/>
  <c r="E204" i="13" s="1"/>
  <c r="E205" i="13" s="1"/>
  <c r="E206" i="13" s="1"/>
  <c r="E207" i="13" s="1"/>
  <c r="E208" i="13" s="1"/>
  <c r="E209" i="13" s="1"/>
  <c r="E210" i="13" s="1"/>
  <c r="E211" i="13" s="1"/>
  <c r="E212" i="13" s="1"/>
  <c r="E213" i="13" s="1"/>
  <c r="E214" i="13" s="1"/>
  <c r="E215" i="13" s="1"/>
  <c r="E216" i="13" s="1"/>
  <c r="E217" i="13" s="1"/>
  <c r="E218" i="13" s="1"/>
  <c r="E219" i="13" s="1"/>
  <c r="E220" i="13" s="1"/>
  <c r="E221" i="13" s="1"/>
  <c r="E222" i="13" s="1"/>
  <c r="E223" i="13" s="1"/>
  <c r="E224" i="13" s="1"/>
  <c r="E225" i="13" s="1"/>
  <c r="E226" i="13" s="1"/>
  <c r="E227" i="13" s="1"/>
  <c r="E228" i="13" s="1"/>
  <c r="E229" i="13" s="1"/>
  <c r="E230" i="13" s="1"/>
  <c r="E231" i="13" s="1"/>
  <c r="E232" i="13" s="1"/>
  <c r="E233" i="13" s="1"/>
  <c r="E234" i="13" s="1"/>
  <c r="E235" i="13" s="1"/>
  <c r="E236" i="13" s="1"/>
  <c r="E237" i="13" s="1"/>
  <c r="E238" i="13" s="1"/>
  <c r="E239" i="13" s="1"/>
  <c r="E240" i="13" s="1"/>
  <c r="E241" i="13" s="1"/>
  <c r="E242" i="13" s="1"/>
  <c r="E243" i="13" s="1"/>
  <c r="E244" i="13" s="1"/>
  <c r="E245" i="13" s="1"/>
  <c r="E246" i="13" s="1"/>
  <c r="E247" i="13" s="1"/>
  <c r="E248" i="13" s="1"/>
  <c r="E249" i="13" s="1"/>
  <c r="E250" i="13" s="1"/>
  <c r="E251" i="13" s="1"/>
  <c r="E252" i="13" s="1"/>
  <c r="E253" i="13" s="1"/>
  <c r="E254" i="13" s="1"/>
  <c r="E255" i="13" s="1"/>
  <c r="E256" i="13" s="1"/>
  <c r="E257" i="13" s="1"/>
  <c r="E258" i="13" s="1"/>
  <c r="E259" i="13" s="1"/>
  <c r="E260" i="13" s="1"/>
  <c r="E261" i="13" s="1"/>
  <c r="E262" i="13" s="1"/>
  <c r="E263" i="13" s="1"/>
  <c r="E264" i="13" s="1"/>
  <c r="E265" i="13" s="1"/>
  <c r="E266" i="13" s="1"/>
  <c r="E267" i="13" s="1"/>
  <c r="E268" i="13" s="1"/>
  <c r="E269" i="13" s="1"/>
  <c r="E270" i="13" s="1"/>
  <c r="E271" i="13" s="1"/>
  <c r="E272" i="13" s="1"/>
  <c r="E273" i="13" s="1"/>
  <c r="E274" i="13" s="1"/>
  <c r="E275" i="13" s="1"/>
  <c r="E276" i="13" s="1"/>
  <c r="E277" i="13" s="1"/>
  <c r="E278" i="13" s="1"/>
  <c r="E279" i="13" s="1"/>
  <c r="E280" i="13" s="1"/>
  <c r="E281" i="13" s="1"/>
  <c r="E282" i="13" s="1"/>
  <c r="E283" i="13" s="1"/>
  <c r="E284" i="13" s="1"/>
  <c r="E285" i="13" s="1"/>
  <c r="E286" i="13" s="1"/>
  <c r="E287" i="13" s="1"/>
  <c r="E288" i="13" s="1"/>
  <c r="E289" i="13" s="1"/>
  <c r="E290" i="13" s="1"/>
  <c r="E291" i="13" s="1"/>
  <c r="E292" i="13" s="1"/>
  <c r="E293" i="13" s="1"/>
  <c r="E294" i="13" s="1"/>
  <c r="E295" i="13" s="1"/>
  <c r="E296" i="13" s="1"/>
  <c r="E297" i="13" s="1"/>
  <c r="E298" i="13" s="1"/>
  <c r="E299" i="13" s="1"/>
  <c r="E300" i="13" s="1"/>
  <c r="E301" i="13" s="1"/>
  <c r="E302" i="13" s="1"/>
  <c r="E303" i="13" s="1"/>
  <c r="E304" i="13" s="1"/>
  <c r="E305" i="13" s="1"/>
  <c r="E306" i="13" s="1"/>
  <c r="E307" i="13" s="1"/>
  <c r="E308" i="13" s="1"/>
  <c r="E309" i="13" s="1"/>
  <c r="E310" i="13" s="1"/>
  <c r="E311" i="13" s="1"/>
  <c r="E312" i="13" s="1"/>
  <c r="E313" i="13" s="1"/>
  <c r="E314" i="13" s="1"/>
  <c r="G10787" i="13"/>
  <c r="G10788" i="13"/>
  <c r="G10789" i="13"/>
  <c r="G10790" i="13"/>
  <c r="G10791" i="13"/>
  <c r="G10792" i="13"/>
  <c r="G10793" i="13"/>
  <c r="G10782" i="13"/>
  <c r="G10783" i="13"/>
  <c r="G10784" i="13"/>
  <c r="G10785" i="13"/>
  <c r="G10786" i="13"/>
  <c r="G10775" i="13"/>
  <c r="G10776" i="13"/>
  <c r="G10777" i="13"/>
  <c r="G10778" i="13"/>
  <c r="G10779" i="13"/>
  <c r="G10780" i="13"/>
  <c r="G10781" i="13"/>
  <c r="G10768" i="13"/>
  <c r="G10769" i="13"/>
  <c r="G10770" i="13"/>
  <c r="G10771" i="13"/>
  <c r="G10772" i="13"/>
  <c r="G10773" i="13"/>
  <c r="G10774" i="13"/>
  <c r="G10761" i="13"/>
  <c r="G10762" i="13"/>
  <c r="G10763" i="13"/>
  <c r="G10764" i="13"/>
  <c r="G10765" i="13"/>
  <c r="G10766" i="13"/>
  <c r="G10767" i="13"/>
  <c r="G10754" i="13"/>
  <c r="G10755" i="13"/>
  <c r="G10756" i="13"/>
  <c r="G10757" i="13"/>
  <c r="G10758" i="13"/>
  <c r="G10759" i="13"/>
  <c r="G10760" i="13"/>
  <c r="G10747" i="13"/>
  <c r="G10748" i="13"/>
  <c r="G10749" i="13"/>
  <c r="G10750" i="13"/>
  <c r="G10751" i="13"/>
  <c r="G10752" i="13"/>
  <c r="G10753" i="13"/>
  <c r="E10641" i="13" l="1"/>
  <c r="G10745" i="13"/>
  <c r="G10746" i="13"/>
  <c r="G10698" i="13"/>
  <c r="G10699" i="13"/>
  <c r="G10700" i="13"/>
  <c r="G10701" i="13"/>
  <c r="G10702" i="13"/>
  <c r="G10703" i="13"/>
  <c r="G10704" i="13"/>
  <c r="G10705" i="13"/>
  <c r="G10706" i="13"/>
  <c r="G10707" i="13"/>
  <c r="G10708" i="13"/>
  <c r="G10709" i="13"/>
  <c r="G10710" i="13"/>
  <c r="G10711" i="13"/>
  <c r="G10712" i="13"/>
  <c r="G10713" i="13"/>
  <c r="G10714" i="13"/>
  <c r="G10715" i="13"/>
  <c r="G10716" i="13"/>
  <c r="G10717" i="13"/>
  <c r="G10718" i="13"/>
  <c r="G10719" i="13"/>
  <c r="G10720" i="13"/>
  <c r="G10721" i="13"/>
  <c r="G10722" i="13"/>
  <c r="G10723" i="13"/>
  <c r="G10724" i="13"/>
  <c r="G10725" i="13"/>
  <c r="G10726" i="13"/>
  <c r="G10727" i="13"/>
  <c r="G10728" i="13"/>
  <c r="G10729" i="13"/>
  <c r="G10730" i="13"/>
  <c r="G10731" i="13"/>
  <c r="G10732" i="13"/>
  <c r="G10733" i="13"/>
  <c r="G10734" i="13"/>
  <c r="G10735" i="13"/>
  <c r="G10736" i="13"/>
  <c r="G10737" i="13"/>
  <c r="G10738" i="13"/>
  <c r="G10739" i="13"/>
  <c r="G10740" i="13"/>
  <c r="G10741" i="13"/>
  <c r="G10742" i="13"/>
  <c r="G10743" i="13"/>
  <c r="G10744" i="13"/>
  <c r="AO100" i="1"/>
  <c r="AO101" i="1"/>
  <c r="AO96" i="1"/>
  <c r="AO97" i="1"/>
  <c r="AO99" i="1"/>
  <c r="AO95" i="1"/>
  <c r="AO94" i="1"/>
  <c r="AO93" i="1"/>
  <c r="AO92" i="1"/>
  <c r="AO8" i="1"/>
  <c r="AC52" i="4"/>
  <c r="E10642" i="13" l="1"/>
  <c r="E10643" i="13" s="1"/>
  <c r="E10644" i="13" s="1"/>
  <c r="E10645" i="13" s="1"/>
  <c r="E10646" i="13" s="1"/>
  <c r="E10647" i="13" s="1"/>
  <c r="E10648" i="13" s="1"/>
  <c r="E10649" i="13" s="1"/>
  <c r="E10650" i="13" s="1"/>
  <c r="E10651" i="13" s="1"/>
  <c r="E10652" i="13" s="1"/>
  <c r="E10653" i="13" s="1"/>
  <c r="E10654" i="13" s="1"/>
  <c r="E10655" i="13" s="1"/>
  <c r="E10656" i="13" s="1"/>
  <c r="E10657" i="13" s="1"/>
  <c r="E10658" i="13" s="1"/>
  <c r="E10659" i="13" s="1"/>
  <c r="E10660" i="13" s="1"/>
  <c r="E10661" i="13" s="1"/>
  <c r="E10662" i="13" s="1"/>
  <c r="E10663" i="13" s="1"/>
  <c r="E10664" i="13" s="1"/>
  <c r="E10665" i="13" s="1"/>
  <c r="E10666" i="13" s="1"/>
  <c r="E10667" i="13" s="1"/>
  <c r="E10668" i="13" s="1"/>
  <c r="E10669" i="13" s="1"/>
  <c r="E10670" i="13" s="1"/>
  <c r="E10671" i="13" s="1"/>
  <c r="E10672" i="13" s="1"/>
  <c r="E10673" i="13" s="1"/>
  <c r="E10674" i="13" s="1"/>
  <c r="E10675" i="13" s="1"/>
  <c r="E10676" i="13" s="1"/>
  <c r="E10677" i="13" s="1"/>
  <c r="E10678" i="13" s="1"/>
  <c r="E10679" i="13" s="1"/>
  <c r="E10680" i="13" s="1"/>
  <c r="E10681" i="13" s="1"/>
  <c r="E10682" i="13" s="1"/>
  <c r="E10683" i="13" s="1"/>
  <c r="E10684" i="13" s="1"/>
  <c r="E10685" i="13" s="1"/>
  <c r="E10686" i="13" s="1"/>
  <c r="E10687" i="13" s="1"/>
  <c r="E10688" i="13" s="1"/>
  <c r="E10689" i="13" s="1"/>
  <c r="E10690" i="13" s="1"/>
  <c r="E10691" i="13" s="1"/>
  <c r="E10692" i="13" s="1"/>
  <c r="E10693" i="13" s="1"/>
  <c r="E10694" i="13" s="1"/>
  <c r="E10695" i="13" s="1"/>
  <c r="E10696" i="13" s="1"/>
  <c r="E10697" i="13" s="1"/>
  <c r="E10698" i="13" s="1"/>
  <c r="E10699" i="13" s="1"/>
  <c r="E10700" i="13" s="1"/>
  <c r="E10701" i="13" s="1"/>
  <c r="E10702" i="13" s="1"/>
  <c r="E10703" i="13" s="1"/>
  <c r="E10704" i="13" s="1"/>
  <c r="E10705" i="13" s="1"/>
  <c r="E10706" i="13" s="1"/>
  <c r="E10707" i="13" s="1"/>
  <c r="E10708" i="13" s="1"/>
  <c r="E10709" i="13" s="1"/>
  <c r="E10710" i="13" s="1"/>
  <c r="E10711" i="13" s="1"/>
  <c r="E10712" i="13" s="1"/>
  <c r="E10713" i="13" s="1"/>
  <c r="E10714" i="13" s="1"/>
  <c r="E10715" i="13" s="1"/>
  <c r="E10716" i="13" s="1"/>
  <c r="E10717" i="13" s="1"/>
  <c r="E10718" i="13" s="1"/>
  <c r="E10719" i="13" s="1"/>
  <c r="E10720" i="13" s="1"/>
  <c r="E10721" i="13" s="1"/>
  <c r="E10722" i="13" s="1"/>
  <c r="E10723" i="13" s="1"/>
  <c r="E10724" i="13" s="1"/>
  <c r="E10725" i="13" s="1"/>
  <c r="E10726" i="13" s="1"/>
  <c r="E10727" i="13" s="1"/>
  <c r="E10728" i="13" s="1"/>
  <c r="E10729" i="13" s="1"/>
  <c r="E10730" i="13" s="1"/>
  <c r="E10731" i="13" s="1"/>
  <c r="E10732" i="13" s="1"/>
  <c r="E10733" i="13" s="1"/>
  <c r="E10734" i="13" s="1"/>
  <c r="E10735" i="13" s="1"/>
  <c r="E10736" i="13" s="1"/>
  <c r="E10737" i="13" s="1"/>
  <c r="E10738" i="13" s="1"/>
  <c r="E10739" i="13" s="1"/>
  <c r="E10740" i="13" s="1"/>
  <c r="E10741" i="13" s="1"/>
  <c r="E10742" i="13" s="1"/>
  <c r="E10743" i="13" s="1"/>
  <c r="E10744" i="13" s="1"/>
  <c r="E10745" i="13" s="1"/>
  <c r="E10746" i="13" s="1"/>
  <c r="E10747" i="13" s="1"/>
  <c r="E10748" i="13" s="1"/>
  <c r="E10749" i="13" s="1"/>
  <c r="E10750" i="13" s="1"/>
  <c r="E10751" i="13" s="1"/>
  <c r="E10752" i="13" s="1"/>
  <c r="E10753" i="13" s="1"/>
  <c r="E10754" i="13" s="1"/>
  <c r="E10755" i="13" s="1"/>
  <c r="E10756" i="13" s="1"/>
  <c r="E10757" i="13" s="1"/>
  <c r="E10758" i="13" s="1"/>
  <c r="E10759" i="13" s="1"/>
  <c r="E10760" i="13" s="1"/>
  <c r="E10761" i="13" s="1"/>
  <c r="E10762" i="13" s="1"/>
  <c r="E10763" i="13" s="1"/>
  <c r="E10764" i="13" s="1"/>
  <c r="E10765" i="13" s="1"/>
  <c r="E10766" i="13" s="1"/>
  <c r="E10767" i="13" s="1"/>
  <c r="E10768" i="13" s="1"/>
  <c r="E10769" i="13" s="1"/>
  <c r="E10770" i="13" s="1"/>
  <c r="E10771" i="13" s="1"/>
  <c r="E10772" i="13" s="1"/>
  <c r="E10773" i="13" s="1"/>
  <c r="E10774" i="13" s="1"/>
  <c r="E10775" i="13" s="1"/>
  <c r="E10776" i="13" s="1"/>
  <c r="E10777" i="13" s="1"/>
  <c r="E10778" i="13" s="1"/>
  <c r="E10779" i="13" s="1"/>
  <c r="E10780" i="13" s="1"/>
  <c r="E10781" i="13" s="1"/>
  <c r="E10782" i="13" s="1"/>
  <c r="E10783" i="13" s="1"/>
  <c r="E10784" i="13" s="1"/>
  <c r="E10785" i="13" s="1"/>
  <c r="E10786" i="13" s="1"/>
  <c r="E10787" i="13" s="1"/>
  <c r="E10788" i="13" s="1"/>
  <c r="E10789" i="13" s="1"/>
  <c r="E10790" i="13" s="1"/>
  <c r="E10791" i="13" s="1"/>
  <c r="E10792" i="13" s="1"/>
  <c r="E10793" i="13" s="1"/>
  <c r="E10794" i="13" s="1"/>
  <c r="E10795" i="13" s="1"/>
  <c r="E10796" i="13" s="1"/>
  <c r="E10797" i="13" s="1"/>
  <c r="E10798" i="13" s="1"/>
  <c r="E10799" i="13" s="1"/>
  <c r="E10800" i="13" s="1"/>
  <c r="E10801" i="13" s="1"/>
  <c r="E10802" i="13" s="1"/>
  <c r="E10803" i="13" s="1"/>
  <c r="E10804" i="13" s="1"/>
  <c r="E10805" i="13" s="1"/>
  <c r="E10806" i="13" s="1"/>
  <c r="E10807" i="13" s="1"/>
  <c r="E10808" i="13" s="1"/>
  <c r="E10809" i="13" s="1"/>
  <c r="E10810" i="13" s="1"/>
  <c r="E10811" i="13" s="1"/>
  <c r="E10812" i="13" s="1"/>
  <c r="E10813" i="13" s="1"/>
  <c r="E10814" i="13" s="1"/>
  <c r="E10815" i="13" s="1"/>
  <c r="E10816" i="13" s="1"/>
  <c r="E10817" i="13" s="1"/>
  <c r="E10818" i="13" s="1"/>
  <c r="E10819" i="13" s="1"/>
  <c r="E10820" i="13" s="1"/>
  <c r="E10821" i="13" s="1"/>
  <c r="E10822" i="13" s="1"/>
  <c r="E10823" i="13" s="1"/>
  <c r="E10824" i="13" s="1"/>
  <c r="E10825" i="13" s="1"/>
  <c r="E10826" i="13" s="1"/>
  <c r="E10827" i="13" s="1"/>
  <c r="E10828" i="13" s="1"/>
  <c r="E10829" i="13" s="1"/>
  <c r="E10830" i="13" s="1"/>
  <c r="E10831" i="13" s="1"/>
  <c r="E10832" i="13" s="1"/>
  <c r="E10833" i="13" s="1"/>
  <c r="E10834" i="13" s="1"/>
  <c r="E10835" i="13" s="1"/>
  <c r="E10836" i="13" s="1"/>
  <c r="E10837" i="13" s="1"/>
  <c r="E10838" i="13" s="1"/>
  <c r="E10839" i="13" s="1"/>
  <c r="E10840" i="13" s="1"/>
  <c r="E10841" i="13" s="1"/>
  <c r="E10842" i="13" s="1"/>
  <c r="E10843" i="13" s="1"/>
  <c r="E10844" i="13" s="1"/>
  <c r="E10845" i="13" s="1"/>
  <c r="E10846" i="13" s="1"/>
  <c r="E10847" i="13" s="1"/>
  <c r="E10848" i="13" s="1"/>
  <c r="E10849" i="13" s="1"/>
  <c r="E10850" i="13" s="1"/>
  <c r="E10851" i="13" s="1"/>
  <c r="E10852" i="13" s="1"/>
  <c r="E10853" i="13" s="1"/>
  <c r="E10854" i="13" s="1"/>
  <c r="E10855" i="13" s="1"/>
  <c r="E10856" i="13" s="1"/>
  <c r="E10857" i="13" s="1"/>
  <c r="E10858" i="13" s="1"/>
  <c r="E10859" i="13" s="1"/>
  <c r="E10860" i="13" s="1"/>
  <c r="E10861" i="13" s="1"/>
  <c r="E10862" i="13" s="1"/>
  <c r="E10863" i="13" s="1"/>
  <c r="E10864" i="13" s="1"/>
  <c r="E10865" i="13" s="1"/>
  <c r="E10866" i="13" s="1"/>
  <c r="E10867" i="13" s="1"/>
  <c r="E10868" i="13" s="1"/>
  <c r="E10869" i="13" s="1"/>
  <c r="E10870" i="13" s="1"/>
  <c r="E10871" i="13" s="1"/>
  <c r="E10872" i="13" s="1"/>
  <c r="E10873" i="13" s="1"/>
  <c r="E10874" i="13" s="1"/>
  <c r="E10875" i="13" s="1"/>
  <c r="E10876" i="13" s="1"/>
  <c r="E10877" i="13" s="1"/>
  <c r="E10878" i="13" s="1"/>
  <c r="E10879" i="13" s="1"/>
  <c r="E10880" i="13" s="1"/>
  <c r="E10881" i="13" s="1"/>
  <c r="E10882" i="13" s="1"/>
  <c r="E10883" i="13" s="1"/>
  <c r="E10884" i="13" s="1"/>
  <c r="E10885" i="13" s="1"/>
  <c r="E10886" i="13" s="1"/>
  <c r="E10887" i="13" s="1"/>
  <c r="E10888" i="13" s="1"/>
  <c r="E10889" i="13" s="1"/>
  <c r="E10890" i="13" s="1"/>
  <c r="E10891" i="13" s="1"/>
  <c r="E10892" i="13" s="1"/>
  <c r="E10893" i="13" s="1"/>
  <c r="E10894" i="13" s="1"/>
  <c r="E10895" i="13" s="1"/>
  <c r="E10896" i="13" s="1"/>
  <c r="E10897" i="13" s="1"/>
  <c r="E10898" i="13" s="1"/>
  <c r="E10899" i="13" s="1"/>
  <c r="E10900" i="13" s="1"/>
  <c r="E10901" i="13" s="1"/>
  <c r="E10902" i="13" s="1"/>
  <c r="E10903" i="13" s="1"/>
  <c r="E10904" i="13" s="1"/>
  <c r="E10905" i="13" s="1"/>
  <c r="E10906" i="13" s="1"/>
  <c r="E10907" i="13" s="1"/>
  <c r="E10908" i="13" s="1"/>
  <c r="E10909" i="13" s="1"/>
  <c r="E10910" i="13" s="1"/>
  <c r="E10911" i="13" s="1"/>
  <c r="E10912" i="13" s="1"/>
  <c r="E10913" i="13" s="1"/>
  <c r="E10914" i="13" s="1"/>
  <c r="E10915" i="13" s="1"/>
  <c r="E10916" i="13" s="1"/>
  <c r="E10917" i="13" s="1"/>
  <c r="E10918" i="13" s="1"/>
  <c r="E10919" i="13" s="1"/>
  <c r="E10920" i="13" s="1"/>
  <c r="E10921" i="13" s="1"/>
  <c r="E10922" i="13" s="1"/>
  <c r="E10923" i="13" s="1"/>
  <c r="E10924" i="13" s="1"/>
  <c r="E10925" i="13" s="1"/>
  <c r="E10926" i="13" s="1"/>
  <c r="E10927" i="13" s="1"/>
  <c r="E10928" i="13" s="1"/>
  <c r="E10929" i="13" s="1"/>
  <c r="E10930" i="13" s="1"/>
  <c r="E10931" i="13" s="1"/>
  <c r="E10932" i="13" s="1"/>
  <c r="E10933" i="13" s="1"/>
  <c r="E10934" i="13" s="1"/>
  <c r="E10935" i="13" s="1"/>
  <c r="E10936" i="13" s="1"/>
  <c r="E10937" i="13" s="1"/>
  <c r="E10938" i="13" s="1"/>
  <c r="E10939" i="13" s="1"/>
  <c r="E10940" i="13" s="1"/>
  <c r="E10941" i="13" s="1"/>
  <c r="E10942" i="13" s="1"/>
  <c r="E10943" i="13" s="1"/>
  <c r="E10944" i="13" s="1"/>
  <c r="E10945" i="13" s="1"/>
  <c r="E10946" i="13" s="1"/>
  <c r="E10947" i="13" s="1"/>
  <c r="E10948" i="13" s="1"/>
  <c r="E10949" i="13" s="1"/>
  <c r="E10950" i="13" s="1"/>
  <c r="E10951" i="13" s="1"/>
  <c r="E10952" i="13" s="1"/>
  <c r="E10953" i="13" s="1"/>
  <c r="E10954" i="13" s="1"/>
  <c r="E10955" i="13" s="1"/>
  <c r="E10956" i="13" s="1"/>
  <c r="E10957" i="13" s="1"/>
  <c r="E10958" i="13" s="1"/>
  <c r="E10959" i="13" s="1"/>
  <c r="E10960" i="13" s="1"/>
  <c r="E10961" i="13" s="1"/>
  <c r="E10962" i="13" s="1"/>
  <c r="E10963" i="13" s="1"/>
  <c r="E10964" i="13" s="1"/>
  <c r="E10965" i="13" s="1"/>
  <c r="E10966" i="13" s="1"/>
  <c r="E10967" i="13" s="1"/>
  <c r="E10968" i="13" s="1"/>
  <c r="E10969" i="13" s="1"/>
  <c r="E10970" i="13" s="1"/>
  <c r="E10971" i="13" s="1"/>
  <c r="E10972" i="13" s="1"/>
  <c r="E10973" i="13" s="1"/>
  <c r="E10974" i="13" s="1"/>
  <c r="E10975" i="13" s="1"/>
  <c r="E10976" i="13" s="1"/>
  <c r="E10977" i="13" s="1"/>
  <c r="E10978" i="13" s="1"/>
  <c r="E10979" i="13" s="1"/>
  <c r="E10980" i="13" s="1"/>
  <c r="E10981" i="13" s="1"/>
  <c r="E10982" i="13" s="1"/>
  <c r="E10983" i="13" s="1"/>
  <c r="E10984" i="13" s="1"/>
  <c r="E10985" i="13" s="1"/>
  <c r="E10986" i="13" s="1"/>
  <c r="E10987" i="13" s="1"/>
  <c r="E10988" i="13" s="1"/>
  <c r="E10989" i="13" s="1"/>
  <c r="E10990" i="13" s="1"/>
  <c r="E10991" i="13" s="1"/>
  <c r="E10992" i="13" s="1"/>
  <c r="E10993" i="13" s="1"/>
  <c r="E10994" i="13" s="1"/>
  <c r="E10995" i="13" s="1"/>
  <c r="E10996" i="13" s="1"/>
  <c r="E10997" i="13" s="1"/>
  <c r="E10998" i="13" s="1"/>
  <c r="E10999" i="13" s="1"/>
  <c r="E11000" i="13" s="1"/>
  <c r="E11001" i="13" s="1"/>
  <c r="E11002" i="13" s="1"/>
  <c r="E11003" i="13" s="1"/>
  <c r="E11004" i="13" s="1"/>
  <c r="E11005" i="13" s="1"/>
  <c r="E11006" i="13" s="1"/>
  <c r="E11007" i="13" s="1"/>
  <c r="E11008" i="13" s="1"/>
  <c r="E11009" i="13" s="1"/>
  <c r="E11010" i="13" s="1"/>
  <c r="E11011" i="13" s="1"/>
  <c r="E11012" i="13" s="1"/>
  <c r="E11013" i="13" s="1"/>
  <c r="E11014" i="13" s="1"/>
  <c r="E11015" i="13" s="1"/>
  <c r="E11016" i="13" s="1"/>
  <c r="E11017" i="13" s="1"/>
  <c r="E11018" i="13" s="1"/>
  <c r="E11019" i="13" s="1"/>
  <c r="E11020" i="13" s="1"/>
  <c r="E11021" i="13" s="1"/>
  <c r="E11022" i="13" s="1"/>
  <c r="E11023" i="13" s="1"/>
  <c r="E11024" i="13" s="1"/>
  <c r="E11025" i="13" s="1"/>
  <c r="E11026" i="13" s="1"/>
  <c r="E11027" i="13" s="1"/>
  <c r="E11028" i="13" s="1"/>
  <c r="E11029" i="13" s="1"/>
  <c r="E11030" i="13" s="1"/>
  <c r="E11031" i="13" s="1"/>
  <c r="E11032" i="13" s="1"/>
  <c r="E11033" i="13" s="1"/>
  <c r="E11034" i="13" s="1"/>
  <c r="E11035" i="13" s="1"/>
  <c r="E11036" i="13" s="1"/>
  <c r="E11037" i="13" s="1"/>
  <c r="E11038" i="13" s="1"/>
  <c r="E11039" i="13" s="1"/>
  <c r="E11040" i="13" s="1"/>
  <c r="E11041" i="13" s="1"/>
  <c r="E11042" i="13" s="1"/>
  <c r="E11043" i="13" s="1"/>
  <c r="E11044" i="13" s="1"/>
  <c r="E11045" i="13" s="1"/>
  <c r="E11046" i="13" s="1"/>
  <c r="E11047" i="13" s="1"/>
  <c r="E11048" i="13" s="1"/>
  <c r="E11049" i="13" s="1"/>
  <c r="E11050" i="13" s="1"/>
  <c r="E11051" i="13" s="1"/>
  <c r="E11052" i="13" s="1"/>
  <c r="E11053" i="13" s="1"/>
  <c r="E11054" i="13" s="1"/>
  <c r="E11055" i="13" s="1"/>
  <c r="E11056" i="13" s="1"/>
  <c r="E11057" i="13" s="1"/>
  <c r="E11058" i="13" s="1"/>
  <c r="E11059" i="13" s="1"/>
  <c r="E11060" i="13" s="1"/>
  <c r="E11061" i="13" s="1"/>
  <c r="E11062" i="13" s="1"/>
  <c r="E11063" i="13" s="1"/>
  <c r="E11064" i="13" s="1"/>
  <c r="E11065" i="13" s="1"/>
  <c r="E11066" i="13" s="1"/>
  <c r="E11067" i="13" s="1"/>
  <c r="E11068" i="13" s="1"/>
  <c r="E11069" i="13" s="1"/>
  <c r="E11070" i="13" s="1"/>
  <c r="E11071" i="13" s="1"/>
  <c r="E11072" i="13" s="1"/>
  <c r="E11073" i="13" s="1"/>
  <c r="E11074" i="13" s="1"/>
  <c r="E11075" i="13" s="1"/>
  <c r="E11076" i="13" s="1"/>
  <c r="E11077" i="13" s="1"/>
  <c r="E11078" i="13" s="1"/>
  <c r="E11079" i="13" s="1"/>
  <c r="E11080" i="13" s="1"/>
  <c r="E11081" i="13" s="1"/>
  <c r="E11082" i="13" s="1"/>
  <c r="E11083" i="13" s="1"/>
  <c r="E11084" i="13" s="1"/>
  <c r="E11085" i="13" s="1"/>
  <c r="E11086" i="13" s="1"/>
  <c r="E11087" i="13" s="1"/>
  <c r="E11088" i="13" s="1"/>
  <c r="E11089" i="13" s="1"/>
  <c r="E11090" i="13" s="1"/>
  <c r="E11091" i="13" s="1"/>
  <c r="E11092" i="13" s="1"/>
  <c r="E11093" i="13" s="1"/>
  <c r="E11094" i="13" s="1"/>
  <c r="E11095" i="13" s="1"/>
  <c r="E11096" i="13" s="1"/>
  <c r="E11097" i="13" s="1"/>
  <c r="E11098" i="13" s="1"/>
  <c r="E11099" i="13" s="1"/>
  <c r="E11100" i="13" s="1"/>
  <c r="E11101" i="13" s="1"/>
  <c r="E11102" i="13" s="1"/>
  <c r="E11103" i="13" s="1"/>
  <c r="E11104" i="13" s="1"/>
  <c r="E11105" i="13" s="1"/>
  <c r="E11106" i="13" s="1"/>
  <c r="E11107" i="13" s="1"/>
  <c r="E11108" i="13" s="1"/>
  <c r="E11109" i="13" s="1"/>
  <c r="E11110" i="13" s="1"/>
  <c r="E11111" i="13" s="1"/>
  <c r="E11112" i="13" s="1"/>
  <c r="E11113" i="13" s="1"/>
  <c r="E11114" i="13" s="1"/>
  <c r="E11115" i="13" s="1"/>
  <c r="E11116" i="13" s="1"/>
  <c r="E11117" i="13" s="1"/>
  <c r="E11118" i="13" s="1"/>
  <c r="E11119" i="13" s="1"/>
  <c r="E11120" i="13" s="1"/>
  <c r="E11121" i="13" s="1"/>
  <c r="E11122" i="13" s="1"/>
  <c r="E11123" i="13" s="1"/>
  <c r="E11124" i="13" s="1"/>
  <c r="E11125" i="13" s="1"/>
  <c r="E11126" i="13" s="1"/>
  <c r="E11127" i="13" s="1"/>
  <c r="E11128" i="13" s="1"/>
  <c r="E11129" i="13" s="1"/>
  <c r="E11130" i="13" s="1"/>
  <c r="E11131" i="13" s="1"/>
  <c r="E11132" i="13" s="1"/>
  <c r="E11133" i="13" s="1"/>
  <c r="E11134" i="13" s="1"/>
  <c r="E11135" i="13" s="1"/>
  <c r="E11136" i="13" s="1"/>
  <c r="E11137" i="13" s="1"/>
  <c r="E11138" i="13" s="1"/>
  <c r="E11139" i="13" s="1"/>
  <c r="E11140" i="13" s="1"/>
  <c r="E11141" i="13" s="1"/>
  <c r="E11142" i="13" s="1"/>
  <c r="E11143" i="13" s="1"/>
  <c r="E11144" i="13" s="1"/>
  <c r="E11145" i="13" s="1"/>
  <c r="E11146" i="13" s="1"/>
  <c r="E11147" i="13" s="1"/>
  <c r="E11148" i="13" s="1"/>
  <c r="E11149" i="13" s="1"/>
  <c r="E11150" i="13" s="1"/>
  <c r="E11151" i="13" s="1"/>
  <c r="E11152" i="13" s="1"/>
  <c r="E11153" i="13" s="1"/>
  <c r="E11154" i="13" s="1"/>
  <c r="E11155" i="13" s="1"/>
  <c r="E11156" i="13" s="1"/>
  <c r="E11157" i="13" s="1"/>
  <c r="E11158" i="13" s="1"/>
  <c r="E11159" i="13" s="1"/>
  <c r="E11160" i="13" s="1"/>
  <c r="E11161" i="13" s="1"/>
  <c r="E11162" i="13" s="1"/>
  <c r="E11163" i="13" s="1"/>
  <c r="E11164" i="13" s="1"/>
  <c r="E11165" i="13" s="1"/>
  <c r="E11166" i="13" s="1"/>
  <c r="E11167" i="13" s="1"/>
  <c r="E11168" i="13" s="1"/>
  <c r="E11169" i="13" s="1"/>
  <c r="E11170" i="13" s="1"/>
  <c r="E11171" i="13" s="1"/>
  <c r="E11172" i="13" s="1"/>
  <c r="E11173" i="13" s="1"/>
  <c r="E11174" i="13" s="1"/>
  <c r="E11175" i="13" s="1"/>
  <c r="E11176" i="13" s="1"/>
  <c r="E11177" i="13" s="1"/>
  <c r="E11178" i="13" s="1"/>
  <c r="E11179" i="13" s="1"/>
  <c r="E11180" i="13" s="1"/>
  <c r="E11181" i="13" s="1"/>
  <c r="E11182" i="13" s="1"/>
  <c r="E11183" i="13" s="1"/>
  <c r="E11184" i="13" s="1"/>
  <c r="E11185" i="13" s="1"/>
  <c r="E11186" i="13" s="1"/>
  <c r="E11187" i="13" s="1"/>
  <c r="E11188" i="13" s="1"/>
  <c r="E11189" i="13" s="1"/>
  <c r="E11190" i="13" s="1"/>
  <c r="E11191" i="13" s="1"/>
  <c r="E11192" i="13" s="1"/>
  <c r="E11193" i="13" s="1"/>
  <c r="E11194" i="13" s="1"/>
  <c r="E11195" i="13" s="1"/>
  <c r="E11196" i="13" s="1"/>
  <c r="E11197" i="13" s="1"/>
  <c r="E11198" i="13" s="1"/>
  <c r="E11199" i="13" s="1"/>
  <c r="E11200" i="13" s="1"/>
  <c r="E11201" i="13" s="1"/>
  <c r="E11202" i="13" s="1"/>
  <c r="E11203" i="13" s="1"/>
  <c r="E11204" i="13" s="1"/>
  <c r="E11205" i="13" s="1"/>
  <c r="E11206" i="13" s="1"/>
  <c r="E11207" i="13" s="1"/>
  <c r="E11208" i="13" s="1"/>
  <c r="E11209" i="13" s="1"/>
  <c r="E11210" i="13" s="1"/>
  <c r="E11211" i="13" s="1"/>
  <c r="E11212" i="13" s="1"/>
  <c r="E11213" i="13" s="1"/>
  <c r="E11214" i="13" s="1"/>
  <c r="E11215" i="13" s="1"/>
  <c r="E11216" i="13" s="1"/>
  <c r="E11217" i="13" s="1"/>
  <c r="E11218" i="13" s="1"/>
  <c r="E11219" i="13" s="1"/>
  <c r="E11220" i="13" s="1"/>
  <c r="E11221" i="13" s="1"/>
  <c r="E11222" i="13" s="1"/>
  <c r="E11223" i="13" s="1"/>
  <c r="E11224" i="13" s="1"/>
  <c r="E11225" i="13" s="1"/>
  <c r="E11226" i="13" s="1"/>
  <c r="AB101" i="3"/>
  <c r="AC83" i="12" l="1"/>
  <c r="AC82" i="12"/>
  <c r="AC81" i="12"/>
  <c r="AC80" i="12"/>
  <c r="AC75" i="12"/>
  <c r="AC74" i="12"/>
  <c r="AC73" i="12"/>
  <c r="AC72" i="12"/>
  <c r="AC67" i="12"/>
  <c r="AC65" i="12"/>
  <c r="AC63" i="12"/>
  <c r="AC62" i="12"/>
  <c r="AC61" i="12"/>
  <c r="AC60" i="12"/>
  <c r="AC59" i="12"/>
  <c r="AC58" i="12"/>
  <c r="AC56" i="12"/>
  <c r="AC55" i="12"/>
  <c r="AC54" i="12"/>
  <c r="AC53" i="12"/>
  <c r="AC51" i="12"/>
  <c r="AC50" i="12"/>
  <c r="AC45" i="12"/>
  <c r="AC43" i="12"/>
  <c r="AC42" i="12"/>
  <c r="AC41" i="12"/>
  <c r="AC37" i="12"/>
  <c r="AC36" i="12"/>
  <c r="AC35" i="12"/>
  <c r="AC34" i="12"/>
  <c r="AC31" i="12"/>
  <c r="AC30" i="12"/>
  <c r="AC29" i="12"/>
  <c r="AC28" i="12"/>
  <c r="AC27" i="12"/>
  <c r="AC26" i="12"/>
  <c r="AC25" i="12"/>
  <c r="AC20" i="12"/>
  <c r="AC19" i="12"/>
  <c r="AC18" i="12"/>
  <c r="AC17" i="12"/>
  <c r="AC16" i="12"/>
  <c r="AC15" i="12"/>
  <c r="AC14" i="12"/>
  <c r="AC13" i="12"/>
  <c r="AC11" i="12"/>
  <c r="AC10" i="12"/>
  <c r="AC9" i="12"/>
  <c r="AC8" i="12"/>
  <c r="AC7" i="12"/>
  <c r="AC6" i="12"/>
  <c r="AC5" i="12"/>
  <c r="AC99" i="9"/>
  <c r="AC92" i="9"/>
  <c r="AC52" i="9"/>
  <c r="AC57" i="9" s="1"/>
  <c r="AC64" i="9" s="1"/>
  <c r="AC66" i="9" s="1"/>
  <c r="AC68" i="9" s="1"/>
  <c r="AC44" i="9"/>
  <c r="AC38" i="9"/>
  <c r="AC32" i="9"/>
  <c r="AC21" i="9"/>
  <c r="AC12" i="9"/>
  <c r="AC99" i="8"/>
  <c r="AC92" i="8"/>
  <c r="AC52" i="8"/>
  <c r="AC57" i="8" s="1"/>
  <c r="AC64" i="8" s="1"/>
  <c r="AC66" i="8" s="1"/>
  <c r="AC68" i="8" s="1"/>
  <c r="AC44" i="8"/>
  <c r="AC38" i="8"/>
  <c r="AC32" i="8"/>
  <c r="AC21" i="8"/>
  <c r="AC12" i="8"/>
  <c r="AC1" i="7"/>
  <c r="AC1" i="8" s="1"/>
  <c r="AC1" i="9" s="1"/>
  <c r="AC1" i="12" s="1"/>
  <c r="AC99" i="7"/>
  <c r="AC92" i="7"/>
  <c r="AC52" i="7"/>
  <c r="AC57" i="7" s="1"/>
  <c r="AC64" i="7" s="1"/>
  <c r="AC66" i="7" s="1"/>
  <c r="AC68" i="7" s="1"/>
  <c r="AC44" i="7"/>
  <c r="AC38" i="7"/>
  <c r="AC32" i="7"/>
  <c r="AC21" i="7"/>
  <c r="AC12" i="7"/>
  <c r="AC1" i="6"/>
  <c r="AC99" i="6"/>
  <c r="AC92" i="6"/>
  <c r="AC101" i="6" s="1"/>
  <c r="AC52" i="6"/>
  <c r="AC57" i="6" s="1"/>
  <c r="AC64" i="6" s="1"/>
  <c r="AC66" i="6" s="1"/>
  <c r="AC68" i="6" s="1"/>
  <c r="AC44" i="6"/>
  <c r="AC38" i="6"/>
  <c r="AC32" i="6"/>
  <c r="AC21" i="6"/>
  <c r="AC12" i="6"/>
  <c r="AC1" i="5"/>
  <c r="AC99" i="5"/>
  <c r="AC92" i="5"/>
  <c r="AC101" i="5" s="1"/>
  <c r="AC52" i="5"/>
  <c r="AC57" i="5" s="1"/>
  <c r="AC64" i="5" s="1"/>
  <c r="AC66" i="5" s="1"/>
  <c r="AC68" i="5" s="1"/>
  <c r="AC44" i="5"/>
  <c r="AC38" i="5"/>
  <c r="AC32" i="5"/>
  <c r="AC21" i="5"/>
  <c r="AC12" i="5"/>
  <c r="AC99" i="4"/>
  <c r="AC92" i="4"/>
  <c r="AC57" i="4"/>
  <c r="AC64" i="4" s="1"/>
  <c r="AC66" i="4" s="1"/>
  <c r="AC68" i="4" s="1"/>
  <c r="AC44" i="4"/>
  <c r="AC38" i="4"/>
  <c r="AC32" i="4"/>
  <c r="AC21" i="4"/>
  <c r="AC12" i="4"/>
  <c r="AC1" i="4"/>
  <c r="AC99" i="3"/>
  <c r="AC101" i="3" s="1"/>
  <c r="AC92" i="3"/>
  <c r="AC57" i="3"/>
  <c r="AC64" i="3" s="1"/>
  <c r="AC66" i="3" s="1"/>
  <c r="AC68" i="3" s="1"/>
  <c r="AC44" i="3"/>
  <c r="AC38" i="3"/>
  <c r="AC32" i="3"/>
  <c r="AC21" i="3"/>
  <c r="AC12" i="3"/>
  <c r="AB1" i="4"/>
  <c r="AC101" i="7" l="1"/>
  <c r="AC101" i="9"/>
  <c r="AC52" i="12"/>
  <c r="AC57" i="12" s="1"/>
  <c r="AC64" i="12" s="1"/>
  <c r="AC66" i="12" s="1"/>
  <c r="AC68" i="12" s="1"/>
  <c r="AC77" i="12"/>
  <c r="AC44" i="12"/>
  <c r="AC38" i="12"/>
  <c r="AC32" i="12"/>
  <c r="AC21" i="12"/>
  <c r="AC12" i="12"/>
  <c r="AC84" i="12"/>
  <c r="AC22" i="9"/>
  <c r="AC39" i="9"/>
  <c r="AC46" i="9" s="1"/>
  <c r="AC101" i="8"/>
  <c r="AC39" i="8"/>
  <c r="AC46" i="8" s="1"/>
  <c r="AC22" i="8"/>
  <c r="AC39" i="7"/>
  <c r="AC46" i="7" s="1"/>
  <c r="AC22" i="7"/>
  <c r="AC39" i="6"/>
  <c r="AC46" i="6" s="1"/>
  <c r="AC22" i="6"/>
  <c r="AC39" i="5"/>
  <c r="AC46" i="5" s="1"/>
  <c r="AC22" i="5"/>
  <c r="AC101" i="4"/>
  <c r="AC39" i="4"/>
  <c r="AC46" i="4" s="1"/>
  <c r="AC22" i="4"/>
  <c r="AC39" i="3"/>
  <c r="AC46" i="3" s="1"/>
  <c r="AC22" i="3"/>
  <c r="AC47" i="7" l="1"/>
  <c r="AC47" i="8"/>
  <c r="AC47" i="6"/>
  <c r="AC47" i="5"/>
  <c r="AC47" i="3"/>
  <c r="AC39" i="12"/>
  <c r="AC46" i="12" s="1"/>
  <c r="AC22" i="12"/>
  <c r="AC47" i="9"/>
  <c r="AC47" i="4"/>
  <c r="AC47" i="12" l="1"/>
  <c r="AC100" i="2"/>
  <c r="AC88" i="12" s="1"/>
  <c r="AC93" i="2"/>
  <c r="AC52" i="2"/>
  <c r="AC57" i="2" s="1"/>
  <c r="AC65" i="2" s="1"/>
  <c r="AC67" i="2" s="1"/>
  <c r="AC69" i="2" s="1"/>
  <c r="AC44" i="2"/>
  <c r="AC38" i="2"/>
  <c r="AC32" i="2"/>
  <c r="AC21" i="2"/>
  <c r="AC12" i="2"/>
  <c r="AO108" i="1"/>
  <c r="AO110" i="1" s="1"/>
  <c r="AO90" i="1"/>
  <c r="AO83" i="1"/>
  <c r="AO79" i="1" s="1"/>
  <c r="AO73" i="1"/>
  <c r="AO71" i="1"/>
  <c r="AO64" i="1"/>
  <c r="AO53" i="1"/>
  <c r="AO48" i="1"/>
  <c r="AO35" i="1"/>
  <c r="AO27" i="1"/>
  <c r="AO23" i="1"/>
  <c r="AO15" i="1"/>
  <c r="AO9" i="1"/>
  <c r="I3" i="15"/>
  <c r="AC87" i="12" l="1"/>
  <c r="AC89" i="12" s="1"/>
  <c r="AC102" i="2"/>
  <c r="AC39" i="2"/>
  <c r="AC46" i="2" s="1"/>
  <c r="AC22" i="2"/>
  <c r="AO103" i="1"/>
  <c r="AO112" i="1" s="1"/>
  <c r="AO85" i="1"/>
  <c r="AO54" i="1"/>
  <c r="AO28" i="1"/>
  <c r="AO36" i="1" s="1"/>
  <c r="AO16" i="1"/>
  <c r="G10691" i="13"/>
  <c r="G10692" i="13"/>
  <c r="G10693" i="13"/>
  <c r="G10694" i="13"/>
  <c r="G10695" i="13"/>
  <c r="G10696" i="13"/>
  <c r="G10697" i="13"/>
  <c r="G10684" i="13"/>
  <c r="G10685" i="13"/>
  <c r="G10686" i="13"/>
  <c r="G10687" i="13"/>
  <c r="G10688" i="13"/>
  <c r="G10689" i="13"/>
  <c r="G10690" i="13"/>
  <c r="G10670" i="13"/>
  <c r="G10671" i="13"/>
  <c r="G10672" i="13"/>
  <c r="G10673" i="13"/>
  <c r="G10674" i="13"/>
  <c r="G10675" i="13"/>
  <c r="G10676" i="13"/>
  <c r="G10677" i="13"/>
  <c r="G10678" i="13"/>
  <c r="G10679" i="13"/>
  <c r="G10680" i="13"/>
  <c r="G10681" i="13"/>
  <c r="G10682" i="13"/>
  <c r="G10683" i="13"/>
  <c r="G10663" i="13"/>
  <c r="G10664" i="13"/>
  <c r="G10665" i="13"/>
  <c r="G10666" i="13"/>
  <c r="G10667" i="13"/>
  <c r="G10668" i="13"/>
  <c r="G10669" i="13"/>
  <c r="G10656" i="13"/>
  <c r="G10657" i="13"/>
  <c r="G10658" i="13"/>
  <c r="G10659" i="13"/>
  <c r="G10660" i="13"/>
  <c r="G10661" i="13"/>
  <c r="G10662" i="13"/>
  <c r="G10647" i="13"/>
  <c r="G10648" i="13"/>
  <c r="G10649" i="13"/>
  <c r="G10650" i="13"/>
  <c r="G10651" i="13"/>
  <c r="G10652" i="13"/>
  <c r="G10653" i="13"/>
  <c r="G10654" i="13"/>
  <c r="G10655" i="13"/>
  <c r="AO56" i="1" l="1"/>
  <c r="AO58" i="1" s="1"/>
  <c r="AO60" i="1" s="1"/>
  <c r="AC47" i="2"/>
  <c r="AO38" i="1"/>
  <c r="G10641" i="13"/>
  <c r="G10642" i="13"/>
  <c r="G10643" i="13"/>
  <c r="G10644" i="13"/>
  <c r="G10645" i="13"/>
  <c r="G10646" i="13"/>
  <c r="B10505" i="13"/>
  <c r="G10640" i="13"/>
  <c r="G10639" i="13"/>
  <c r="G10638" i="13"/>
  <c r="G10637" i="13"/>
  <c r="G10636" i="13"/>
  <c r="G10635" i="13"/>
  <c r="G10634" i="13"/>
  <c r="G10633" i="13"/>
  <c r="G10632" i="13"/>
  <c r="G10631" i="13"/>
  <c r="G10630" i="13"/>
  <c r="G10629" i="13"/>
  <c r="B10506" i="13" l="1"/>
  <c r="F10871" i="13"/>
  <c r="AO87" i="1"/>
  <c r="AB83" i="12"/>
  <c r="AB82" i="12"/>
  <c r="AB81" i="12"/>
  <c r="AB80" i="12"/>
  <c r="AB84" i="12" s="1"/>
  <c r="AB73" i="12"/>
  <c r="AB72" i="12"/>
  <c r="AB67" i="12"/>
  <c r="AB65" i="12"/>
  <c r="AB63" i="12"/>
  <c r="AB62" i="12"/>
  <c r="AB61" i="12"/>
  <c r="AB60" i="12"/>
  <c r="AB59" i="12"/>
  <c r="AB58" i="12"/>
  <c r="AB56" i="12"/>
  <c r="AB55" i="12"/>
  <c r="AB54" i="12"/>
  <c r="AB53" i="12"/>
  <c r="AB51" i="12"/>
  <c r="AB50" i="12"/>
  <c r="AB45" i="12"/>
  <c r="AB43" i="12"/>
  <c r="AB42" i="12"/>
  <c r="AB41" i="12"/>
  <c r="AB37" i="12"/>
  <c r="AB36" i="12"/>
  <c r="AB35" i="12"/>
  <c r="AB34" i="12"/>
  <c r="AB31" i="12"/>
  <c r="AB30" i="12"/>
  <c r="AB29" i="12"/>
  <c r="AB28" i="12"/>
  <c r="AB27" i="12"/>
  <c r="AB26" i="12"/>
  <c r="AB25" i="12"/>
  <c r="AB20" i="12"/>
  <c r="AB19" i="12"/>
  <c r="AB18" i="12"/>
  <c r="AB17" i="12"/>
  <c r="AB16" i="12"/>
  <c r="AB15" i="12"/>
  <c r="AB14" i="12"/>
  <c r="AB13" i="12"/>
  <c r="AB11" i="12"/>
  <c r="AB10" i="12"/>
  <c r="AB9" i="12"/>
  <c r="AB8" i="12"/>
  <c r="AB7" i="12"/>
  <c r="AB6" i="12"/>
  <c r="AB5" i="12"/>
  <c r="AB83" i="9"/>
  <c r="AB84" i="9"/>
  <c r="AB89" i="9"/>
  <c r="AB82" i="9"/>
  <c r="AB53" i="9"/>
  <c r="AB37" i="9"/>
  <c r="AB28" i="9"/>
  <c r="AB19" i="9"/>
  <c r="AB15" i="9"/>
  <c r="AA19" i="9"/>
  <c r="AA15" i="9"/>
  <c r="AB20" i="9"/>
  <c r="B10507" i="13" l="1"/>
  <c r="F10872" i="13"/>
  <c r="AB52" i="12"/>
  <c r="AB57" i="12" s="1"/>
  <c r="AB64" i="12" s="1"/>
  <c r="AB66" i="12" s="1"/>
  <c r="AB68" i="12" s="1"/>
  <c r="AB44" i="12"/>
  <c r="AB38" i="12"/>
  <c r="AB32" i="12"/>
  <c r="AB21" i="12"/>
  <c r="AB12" i="12"/>
  <c r="AB99" i="9"/>
  <c r="AB92" i="9"/>
  <c r="AB52" i="9"/>
  <c r="AB57" i="9" s="1"/>
  <c r="AB64" i="9" s="1"/>
  <c r="AB66" i="9" s="1"/>
  <c r="AB68" i="9" s="1"/>
  <c r="AB44" i="9"/>
  <c r="AB38" i="9"/>
  <c r="AB32" i="9"/>
  <c r="AB21" i="9"/>
  <c r="AB12" i="9"/>
  <c r="AB83" i="8"/>
  <c r="AB82" i="8"/>
  <c r="AB87" i="8"/>
  <c r="B10508" i="13" l="1"/>
  <c r="F10873" i="13"/>
  <c r="AB22" i="12"/>
  <c r="AB39" i="12"/>
  <c r="AB46" i="12" s="1"/>
  <c r="AB101" i="9"/>
  <c r="AB39" i="9"/>
  <c r="AB46" i="9" s="1"/>
  <c r="AB22" i="9"/>
  <c r="B10509" i="13" l="1"/>
  <c r="F10874" i="13"/>
  <c r="AB47" i="12"/>
  <c r="AB47" i="9"/>
  <c r="B10510" i="13" l="1"/>
  <c r="F10875" i="13"/>
  <c r="AB99" i="8"/>
  <c r="AB92" i="8"/>
  <c r="AB52" i="8"/>
  <c r="AB57" i="8" s="1"/>
  <c r="AB64" i="8" s="1"/>
  <c r="AB66" i="8" s="1"/>
  <c r="AB68" i="8" s="1"/>
  <c r="AB44" i="8"/>
  <c r="AB38" i="8"/>
  <c r="AB32" i="8"/>
  <c r="AB21" i="8"/>
  <c r="AB12" i="8"/>
  <c r="B10511" i="13" l="1"/>
  <c r="F10876" i="13"/>
  <c r="AB101" i="8"/>
  <c r="AB39" i="8"/>
  <c r="AB46" i="8" s="1"/>
  <c r="AB22" i="8"/>
  <c r="AB83" i="7"/>
  <c r="AB75" i="12" s="1"/>
  <c r="AB82" i="7"/>
  <c r="AB89" i="7"/>
  <c r="AB74" i="12" s="1"/>
  <c r="AB77" i="12" s="1"/>
  <c r="AB99" i="7"/>
  <c r="AB92" i="7"/>
  <c r="AB52" i="7"/>
  <c r="AB57" i="7" s="1"/>
  <c r="AB64" i="7" s="1"/>
  <c r="AB66" i="7" s="1"/>
  <c r="AB68" i="7" s="1"/>
  <c r="AB44" i="7"/>
  <c r="AB38" i="7"/>
  <c r="AB32" i="7"/>
  <c r="AB21" i="7"/>
  <c r="AB12" i="7"/>
  <c r="AB83" i="6"/>
  <c r="AB82" i="6"/>
  <c r="AB99" i="6"/>
  <c r="AB92" i="6"/>
  <c r="AB52" i="6"/>
  <c r="AB57" i="6" s="1"/>
  <c r="AB64" i="6" s="1"/>
  <c r="AB66" i="6" s="1"/>
  <c r="AB68" i="6" s="1"/>
  <c r="AB44" i="6"/>
  <c r="AB38" i="6"/>
  <c r="AB32" i="6"/>
  <c r="AB21" i="6"/>
  <c r="AB12" i="6"/>
  <c r="AB90" i="5"/>
  <c r="AB83" i="5"/>
  <c r="AB82" i="5"/>
  <c r="AB85" i="5"/>
  <c r="AB87" i="5"/>
  <c r="AB72" i="5"/>
  <c r="B10512" i="13" l="1"/>
  <c r="F10877" i="13"/>
  <c r="AB47" i="8"/>
  <c r="AB101" i="7"/>
  <c r="AB39" i="7"/>
  <c r="AB46" i="7" s="1"/>
  <c r="AB22" i="7"/>
  <c r="AB101" i="6"/>
  <c r="AB39" i="6"/>
  <c r="AB46" i="6" s="1"/>
  <c r="AB22" i="6"/>
  <c r="AB99" i="5"/>
  <c r="AB92" i="5"/>
  <c r="AB52" i="5"/>
  <c r="AB57" i="5" s="1"/>
  <c r="AB64" i="5" s="1"/>
  <c r="AB66" i="5" s="1"/>
  <c r="AB68" i="5" s="1"/>
  <c r="AB44" i="5"/>
  <c r="AB38" i="5"/>
  <c r="AB32" i="5"/>
  <c r="AB21" i="5"/>
  <c r="AB12" i="5"/>
  <c r="B10513" i="13" l="1"/>
  <c r="F10878" i="13"/>
  <c r="AB47" i="7"/>
  <c r="AB47" i="6"/>
  <c r="AB22" i="5"/>
  <c r="AB101" i="5"/>
  <c r="AB39" i="5"/>
  <c r="AB46" i="5" s="1"/>
  <c r="B10514" i="13" l="1"/>
  <c r="F10879" i="13"/>
  <c r="AB47" i="5"/>
  <c r="AB59" i="4"/>
  <c r="B10515" i="13" l="1"/>
  <c r="F10880" i="13"/>
  <c r="AB99" i="4"/>
  <c r="AB92" i="4"/>
  <c r="AB52" i="4"/>
  <c r="AB57" i="4" s="1"/>
  <c r="AB64" i="4" s="1"/>
  <c r="AB66" i="4" s="1"/>
  <c r="AB68" i="4" s="1"/>
  <c r="AB44" i="4"/>
  <c r="AB38" i="4"/>
  <c r="AB32" i="4"/>
  <c r="AB21" i="4"/>
  <c r="AB12" i="4"/>
  <c r="B10516" i="13" l="1"/>
  <c r="F10881" i="13"/>
  <c r="AB101" i="4"/>
  <c r="AB39" i="4"/>
  <c r="AB46" i="4" s="1"/>
  <c r="AB22" i="4"/>
  <c r="B10517" i="13" l="1"/>
  <c r="F10882" i="13"/>
  <c r="AB47" i="4"/>
  <c r="AB99" i="3"/>
  <c r="AB88" i="12" s="1"/>
  <c r="AB92" i="3"/>
  <c r="AB87" i="12" s="1"/>
  <c r="AB52" i="3"/>
  <c r="AB57" i="3" s="1"/>
  <c r="AB64" i="3" s="1"/>
  <c r="AB66" i="3" s="1"/>
  <c r="AB68" i="3" s="1"/>
  <c r="AB44" i="3"/>
  <c r="AB38" i="3"/>
  <c r="AB32" i="3"/>
  <c r="AB21" i="3"/>
  <c r="AB12" i="3"/>
  <c r="AB83" i="2"/>
  <c r="AB84" i="2"/>
  <c r="AB88" i="2"/>
  <c r="AB81" i="2"/>
  <c r="AB86" i="2"/>
  <c r="AB90" i="2"/>
  <c r="AB85" i="2"/>
  <c r="AB73" i="2"/>
  <c r="AB64" i="2"/>
  <c r="B10518" i="13" l="1"/>
  <c r="F10883" i="13"/>
  <c r="AB89" i="12"/>
  <c r="AB39" i="3"/>
  <c r="AB46" i="3" s="1"/>
  <c r="AB22" i="3"/>
  <c r="AB37" i="2"/>
  <c r="AB36" i="2"/>
  <c r="AB29" i="2"/>
  <c r="AB28" i="2"/>
  <c r="AB26" i="2"/>
  <c r="AB15" i="2"/>
  <c r="B10519" i="13" l="1"/>
  <c r="F10884" i="13"/>
  <c r="AB47" i="3"/>
  <c r="B10520" i="13" l="1"/>
  <c r="F10885" i="13"/>
  <c r="AB100" i="2"/>
  <c r="AB93" i="2"/>
  <c r="AB52" i="2"/>
  <c r="AB57" i="2" s="1"/>
  <c r="AB65" i="2" s="1"/>
  <c r="AB67" i="2" s="1"/>
  <c r="AB69" i="2" s="1"/>
  <c r="AB44" i="2"/>
  <c r="AB38" i="2"/>
  <c r="AB32" i="2"/>
  <c r="AB21" i="2"/>
  <c r="AB12" i="2"/>
  <c r="AN100" i="1"/>
  <c r="AN96" i="1"/>
  <c r="AN97" i="1"/>
  <c r="AN99" i="1"/>
  <c r="AN95" i="1"/>
  <c r="AN94" i="1"/>
  <c r="AN93" i="1"/>
  <c r="AN92" i="1"/>
  <c r="AN91" i="1"/>
  <c r="AN56" i="1"/>
  <c r="AN8" i="1"/>
  <c r="AN108" i="1"/>
  <c r="AN110" i="1" s="1"/>
  <c r="AN101" i="1"/>
  <c r="AN90" i="1"/>
  <c r="AN83" i="1"/>
  <c r="AN79" i="1" s="1"/>
  <c r="AN73" i="1"/>
  <c r="AN71" i="1"/>
  <c r="AN64" i="1"/>
  <c r="AN53" i="1"/>
  <c r="AN48" i="1"/>
  <c r="AN35" i="1"/>
  <c r="AN27" i="1"/>
  <c r="AN23" i="1"/>
  <c r="AN15" i="1"/>
  <c r="AN9" i="1"/>
  <c r="B10521" i="13" l="1"/>
  <c r="F10886" i="13"/>
  <c r="AB102" i="2"/>
  <c r="AB39" i="2"/>
  <c r="AB46" i="2" s="1"/>
  <c r="AB22" i="2"/>
  <c r="AN103" i="1"/>
  <c r="AN112" i="1" s="1"/>
  <c r="AN85" i="1"/>
  <c r="AN54" i="1"/>
  <c r="AN58" i="1" s="1"/>
  <c r="AN60" i="1" s="1"/>
  <c r="AN28" i="1"/>
  <c r="AN36" i="1" s="1"/>
  <c r="AN16" i="1"/>
  <c r="B10522" i="13" l="1"/>
  <c r="F10887" i="13"/>
  <c r="AB47" i="2"/>
  <c r="AN87" i="1"/>
  <c r="AN38" i="1"/>
  <c r="B10523" i="13" l="1"/>
  <c r="F10888" i="13"/>
  <c r="G10621" i="13"/>
  <c r="G10622" i="13"/>
  <c r="G10623" i="13"/>
  <c r="G10624" i="13"/>
  <c r="G10625" i="13"/>
  <c r="G10626" i="13"/>
  <c r="G10627" i="13"/>
  <c r="G10628" i="13"/>
  <c r="G10614" i="13"/>
  <c r="G10615" i="13"/>
  <c r="G10616" i="13"/>
  <c r="G10617" i="13"/>
  <c r="G10618" i="13"/>
  <c r="G10619" i="13"/>
  <c r="G10620" i="13"/>
  <c r="G10608" i="13"/>
  <c r="G10609" i="13"/>
  <c r="G10610" i="13"/>
  <c r="G10611" i="13"/>
  <c r="G10612" i="13"/>
  <c r="G10613" i="13"/>
  <c r="G10604" i="13"/>
  <c r="G10605" i="13"/>
  <c r="G10606" i="13"/>
  <c r="G10607" i="13"/>
  <c r="B10524" i="13" l="1"/>
  <c r="F10889" i="13"/>
  <c r="G10590" i="13"/>
  <c r="G10591" i="13"/>
  <c r="G10592" i="13"/>
  <c r="G10593" i="13"/>
  <c r="G10594" i="13"/>
  <c r="G10595" i="13"/>
  <c r="G10596" i="13"/>
  <c r="G10597" i="13"/>
  <c r="G10598" i="13"/>
  <c r="G10599" i="13"/>
  <c r="G10600" i="13"/>
  <c r="G10601" i="13"/>
  <c r="G10602" i="13"/>
  <c r="G10603" i="13"/>
  <c r="G10585" i="13"/>
  <c r="G10586" i="13"/>
  <c r="G10587" i="13"/>
  <c r="G10588" i="13"/>
  <c r="G10589" i="13"/>
  <c r="G10579" i="13"/>
  <c r="G10580" i="13"/>
  <c r="G10581" i="13"/>
  <c r="G10582" i="13"/>
  <c r="G10583" i="13"/>
  <c r="G10584" i="13"/>
  <c r="G10576" i="13"/>
  <c r="G10577" i="13"/>
  <c r="G10578" i="13"/>
  <c r="G10572" i="13"/>
  <c r="G10573" i="13"/>
  <c r="G10574" i="13"/>
  <c r="G10575" i="13"/>
  <c r="G10570" i="13"/>
  <c r="G10571" i="13"/>
  <c r="G10569" i="13"/>
  <c r="G10566" i="13"/>
  <c r="G10567" i="13"/>
  <c r="G10568" i="13"/>
  <c r="G10565" i="13"/>
  <c r="G10564" i="13"/>
  <c r="B10525" i="13" l="1"/>
  <c r="F10890" i="13"/>
  <c r="G10563" i="13"/>
  <c r="G10549" i="13"/>
  <c r="G10550" i="13"/>
  <c r="G10551" i="13"/>
  <c r="G10552" i="13"/>
  <c r="G10553" i="13"/>
  <c r="G10554" i="13"/>
  <c r="G10555" i="13"/>
  <c r="G10556" i="13"/>
  <c r="G10557" i="13"/>
  <c r="G10558" i="13"/>
  <c r="G10559" i="13"/>
  <c r="G10560" i="13"/>
  <c r="G10561" i="13"/>
  <c r="G10562" i="13"/>
  <c r="B10526" i="13" l="1"/>
  <c r="F10891" i="13"/>
  <c r="AL83" i="1"/>
  <c r="AM83" i="1"/>
  <c r="AA83" i="12"/>
  <c r="AA82" i="12"/>
  <c r="AA81" i="12"/>
  <c r="AA80" i="12"/>
  <c r="AA84" i="12" s="1"/>
  <c r="AA75" i="12"/>
  <c r="AA74" i="12"/>
  <c r="AA73" i="12"/>
  <c r="AA72" i="12"/>
  <c r="AA67" i="12"/>
  <c r="AA65" i="12"/>
  <c r="AA63" i="12"/>
  <c r="AA62" i="12"/>
  <c r="AA61" i="12"/>
  <c r="AA60" i="12"/>
  <c r="AA59" i="12"/>
  <c r="AA58" i="12"/>
  <c r="AA56" i="12"/>
  <c r="AA55" i="12"/>
  <c r="AA54" i="12"/>
  <c r="AA53" i="12"/>
  <c r="AA51" i="12"/>
  <c r="AA50" i="12"/>
  <c r="AA52" i="12" s="1"/>
  <c r="AA45" i="12"/>
  <c r="AA43" i="12"/>
  <c r="AA42" i="12"/>
  <c r="AA41" i="12"/>
  <c r="AA37" i="12"/>
  <c r="AA36" i="12"/>
  <c r="AA35" i="12"/>
  <c r="AA34" i="12"/>
  <c r="AA31" i="12"/>
  <c r="AA30" i="12"/>
  <c r="AA29" i="12"/>
  <c r="AA28" i="12"/>
  <c r="AA27" i="12"/>
  <c r="AA26" i="12"/>
  <c r="AA25" i="12"/>
  <c r="AA20" i="12"/>
  <c r="AA19" i="12"/>
  <c r="AA18" i="12"/>
  <c r="AA17" i="12"/>
  <c r="AA16" i="12"/>
  <c r="AA15" i="12"/>
  <c r="AA14" i="12"/>
  <c r="AA13" i="12"/>
  <c r="AA11" i="12"/>
  <c r="AA10" i="12"/>
  <c r="AA9" i="12"/>
  <c r="AA8" i="12"/>
  <c r="AA7" i="12"/>
  <c r="AA6" i="12"/>
  <c r="AA5" i="12"/>
  <c r="AA97" i="9"/>
  <c r="B10527" i="13" l="1"/>
  <c r="F10892" i="13"/>
  <c r="AA38" i="12"/>
  <c r="AA57" i="12"/>
  <c r="AA64" i="12" s="1"/>
  <c r="AA66" i="12" s="1"/>
  <c r="AA68" i="12" s="1"/>
  <c r="AA77" i="12"/>
  <c r="AA12" i="12"/>
  <c r="AA44" i="12"/>
  <c r="AA32" i="12"/>
  <c r="AA39" i="12"/>
  <c r="AA21" i="12"/>
  <c r="AA22" i="12" s="1"/>
  <c r="AA46" i="12"/>
  <c r="AA25" i="9"/>
  <c r="AA42" i="9"/>
  <c r="AA41" i="9"/>
  <c r="AA37" i="9"/>
  <c r="AA36" i="9"/>
  <c r="AA34" i="9"/>
  <c r="AA30" i="9"/>
  <c r="AA28" i="9"/>
  <c r="AA29" i="9"/>
  <c r="AA99" i="9"/>
  <c r="AA92" i="9"/>
  <c r="AA52" i="9"/>
  <c r="AA12" i="9"/>
  <c r="AA52" i="8"/>
  <c r="AA57" i="8" s="1"/>
  <c r="AA64" i="8" s="1"/>
  <c r="AA66" i="8" s="1"/>
  <c r="AA68" i="8" s="1"/>
  <c r="AA44" i="8"/>
  <c r="AA38" i="8"/>
  <c r="AA32" i="8"/>
  <c r="AA21" i="8"/>
  <c r="AA12" i="8"/>
  <c r="AA99" i="7"/>
  <c r="AA88" i="12" s="1"/>
  <c r="AA52" i="7"/>
  <c r="AA57" i="7" s="1"/>
  <c r="AA64" i="7" s="1"/>
  <c r="AA66" i="7" s="1"/>
  <c r="AA68" i="7" s="1"/>
  <c r="AA44" i="7"/>
  <c r="AA38" i="7"/>
  <c r="AA32" i="7"/>
  <c r="AA21" i="7"/>
  <c r="AA12" i="7"/>
  <c r="AA52" i="6"/>
  <c r="AA99" i="6"/>
  <c r="AA21" i="5"/>
  <c r="AA99" i="5"/>
  <c r="B10528" i="13" l="1"/>
  <c r="F10893" i="13"/>
  <c r="AA47" i="12"/>
  <c r="AA38" i="9"/>
  <c r="AA21" i="9"/>
  <c r="AA22" i="9" s="1"/>
  <c r="AA44" i="9"/>
  <c r="AA32" i="9"/>
  <c r="AA101" i="9"/>
  <c r="AA57" i="9"/>
  <c r="AA64" i="9" s="1"/>
  <c r="AA66" i="9" s="1"/>
  <c r="AA68" i="9" s="1"/>
  <c r="AA99" i="8"/>
  <c r="AA92" i="8"/>
  <c r="AA39" i="8"/>
  <c r="AA46" i="8" s="1"/>
  <c r="AA22" i="8"/>
  <c r="AA92" i="7"/>
  <c r="AA39" i="7"/>
  <c r="AA46" i="7" s="1"/>
  <c r="AA22" i="7"/>
  <c r="AA92" i="6"/>
  <c r="AA101" i="6" s="1"/>
  <c r="AA57" i="6"/>
  <c r="AA64" i="6" s="1"/>
  <c r="AA66" i="6" s="1"/>
  <c r="AA68" i="6" s="1"/>
  <c r="AA44" i="6"/>
  <c r="AA38" i="6"/>
  <c r="AA32" i="6"/>
  <c r="AA21" i="6"/>
  <c r="AA12" i="6"/>
  <c r="AA92" i="5"/>
  <c r="AA101" i="5" s="1"/>
  <c r="AA52" i="5"/>
  <c r="AA57" i="5" s="1"/>
  <c r="AA64" i="5" s="1"/>
  <c r="AA66" i="5" s="1"/>
  <c r="AA68" i="5" s="1"/>
  <c r="AA44" i="5"/>
  <c r="AA38" i="5"/>
  <c r="AA32" i="5"/>
  <c r="AA12" i="5"/>
  <c r="AA22" i="5" s="1"/>
  <c r="B10529" i="13" l="1"/>
  <c r="F10894" i="13"/>
  <c r="AA101" i="7"/>
  <c r="AA87" i="12"/>
  <c r="AA89" i="12" s="1"/>
  <c r="AA39" i="9"/>
  <c r="AA46" i="9" s="1"/>
  <c r="AA47" i="9" s="1"/>
  <c r="AA101" i="8"/>
  <c r="AA47" i="8"/>
  <c r="AA47" i="7"/>
  <c r="AA39" i="6"/>
  <c r="AA46" i="6" s="1"/>
  <c r="AA22" i="6"/>
  <c r="AA39" i="5"/>
  <c r="AA46" i="5" s="1"/>
  <c r="AA47" i="5" s="1"/>
  <c r="AA99" i="4"/>
  <c r="AA92" i="4"/>
  <c r="AA52" i="4"/>
  <c r="AA57" i="4" s="1"/>
  <c r="AA64" i="4" s="1"/>
  <c r="AA66" i="4" s="1"/>
  <c r="AA68" i="4" s="1"/>
  <c r="AA44" i="4"/>
  <c r="AA38" i="4"/>
  <c r="AA32" i="4"/>
  <c r="AA21" i="4"/>
  <c r="AA12" i="4"/>
  <c r="B10530" i="13" l="1"/>
  <c r="F10895" i="13"/>
  <c r="AA47" i="6"/>
  <c r="AA101" i="4"/>
  <c r="AA39" i="4"/>
  <c r="AA46" i="4" s="1"/>
  <c r="AA22" i="4"/>
  <c r="AA99" i="3"/>
  <c r="AA92" i="3"/>
  <c r="AA52" i="3"/>
  <c r="AA57" i="3" s="1"/>
  <c r="AA64" i="3" s="1"/>
  <c r="AA66" i="3" s="1"/>
  <c r="AA68" i="3" s="1"/>
  <c r="AA44" i="3"/>
  <c r="AA38" i="3"/>
  <c r="AA32" i="3"/>
  <c r="AA21" i="3"/>
  <c r="AA12" i="3"/>
  <c r="B10531" i="13" l="1"/>
  <c r="F10896" i="13"/>
  <c r="AA47" i="4"/>
  <c r="AA101" i="3"/>
  <c r="AA39" i="3"/>
  <c r="AA46" i="3" s="1"/>
  <c r="AA22" i="3"/>
  <c r="B10532" i="13" l="1"/>
  <c r="F10897" i="13"/>
  <c r="AA47" i="3"/>
  <c r="AA100" i="2"/>
  <c r="AA93" i="2"/>
  <c r="AA52" i="2"/>
  <c r="AA57" i="2" s="1"/>
  <c r="AA65" i="2" s="1"/>
  <c r="AA67" i="2" s="1"/>
  <c r="AA69" i="2" s="1"/>
  <c r="AA44" i="2"/>
  <c r="AA38" i="2"/>
  <c r="AA32" i="2"/>
  <c r="AA21" i="2"/>
  <c r="AA12" i="2"/>
  <c r="AM108" i="1"/>
  <c r="B10533" i="13" l="1"/>
  <c r="F10898" i="13"/>
  <c r="AA102" i="2"/>
  <c r="AA39" i="2"/>
  <c r="AA46" i="2" s="1"/>
  <c r="AA22" i="2"/>
  <c r="AM110" i="1"/>
  <c r="AM101" i="1"/>
  <c r="AM90" i="1"/>
  <c r="AM79" i="1"/>
  <c r="AM73" i="1"/>
  <c r="AM71" i="1"/>
  <c r="AM64" i="1"/>
  <c r="AM53" i="1"/>
  <c r="AM48" i="1"/>
  <c r="AM35" i="1"/>
  <c r="AM27" i="1"/>
  <c r="AM28" i="1" s="1"/>
  <c r="AM23" i="1"/>
  <c r="AM15" i="1"/>
  <c r="AM16" i="1" s="1"/>
  <c r="AM9" i="1"/>
  <c r="B10535" i="13" l="1"/>
  <c r="F10899" i="13"/>
  <c r="AA47" i="2"/>
  <c r="AM103" i="1"/>
  <c r="AM112" i="1" s="1"/>
  <c r="AM85" i="1"/>
  <c r="AM54" i="1"/>
  <c r="AM56" i="1" s="1"/>
  <c r="AM58" i="1" s="1"/>
  <c r="AM60" i="1" s="1"/>
  <c r="AM36" i="1"/>
  <c r="AM38" i="1" s="1"/>
  <c r="B10536" i="13" l="1"/>
  <c r="F10901" i="13"/>
  <c r="AM87" i="1"/>
  <c r="B10537" i="13" l="1"/>
  <c r="F10902" i="13"/>
  <c r="G10542" i="13"/>
  <c r="G10543" i="13"/>
  <c r="G10544" i="13"/>
  <c r="G10545" i="13"/>
  <c r="G10546" i="13"/>
  <c r="G10547" i="13"/>
  <c r="G10548" i="13"/>
  <c r="G10529" i="13"/>
  <c r="G10530" i="13"/>
  <c r="G10531" i="13"/>
  <c r="G10532" i="13"/>
  <c r="G10533" i="13"/>
  <c r="G10534" i="13"/>
  <c r="G10535" i="13"/>
  <c r="G10536" i="13"/>
  <c r="G10537" i="13"/>
  <c r="G10538" i="13"/>
  <c r="G10539" i="13"/>
  <c r="G10540" i="13"/>
  <c r="G10541" i="13"/>
  <c r="G10524" i="13"/>
  <c r="G10525" i="13"/>
  <c r="G10520" i="13"/>
  <c r="G10521" i="13"/>
  <c r="G10522" i="13"/>
  <c r="G10523" i="13"/>
  <c r="G10526" i="13"/>
  <c r="G10527" i="13"/>
  <c r="G10528" i="13"/>
  <c r="G10517" i="13"/>
  <c r="G10518" i="13"/>
  <c r="G10519" i="13"/>
  <c r="G10516" i="13"/>
  <c r="G10515" i="13"/>
  <c r="G10514" i="13"/>
  <c r="G10513" i="13"/>
  <c r="G10510" i="13"/>
  <c r="G10511" i="13"/>
  <c r="G10512" i="13"/>
  <c r="G10508" i="13"/>
  <c r="G10509" i="13"/>
  <c r="G10507" i="13"/>
  <c r="G10494" i="13"/>
  <c r="G10495" i="13"/>
  <c r="G10496" i="13"/>
  <c r="G10497" i="13"/>
  <c r="G10498" i="13"/>
  <c r="G10499" i="13"/>
  <c r="G10500" i="13"/>
  <c r="G10501" i="13"/>
  <c r="G10502" i="13"/>
  <c r="G10503" i="13"/>
  <c r="G10504" i="13"/>
  <c r="G10505" i="13"/>
  <c r="G10506" i="13"/>
  <c r="Z98" i="9"/>
  <c r="Z12" i="9"/>
  <c r="Z15" i="9"/>
  <c r="Z19" i="9"/>
  <c r="Z21" i="9" s="1"/>
  <c r="Z22" i="9" s="1"/>
  <c r="Z30" i="9"/>
  <c r="Z32" i="9" s="1"/>
  <c r="Z37" i="9"/>
  <c r="Z38" i="9"/>
  <c r="Z39" i="9" s="1"/>
  <c r="Z44" i="9"/>
  <c r="Z52" i="9"/>
  <c r="Z57" i="9" s="1"/>
  <c r="Z64" i="9" s="1"/>
  <c r="Z66" i="9" s="1"/>
  <c r="Z68" i="9" s="1"/>
  <c r="Z53" i="9"/>
  <c r="Z82" i="9"/>
  <c r="Z83" i="9"/>
  <c r="Z92" i="9"/>
  <c r="Z97" i="9"/>
  <c r="Z99" i="9"/>
  <c r="B10538" i="13" l="1"/>
  <c r="F10903" i="13"/>
  <c r="Z101" i="9"/>
  <c r="Z46" i="9"/>
  <c r="Z47" i="9" s="1"/>
  <c r="Z83" i="12"/>
  <c r="Z82" i="12"/>
  <c r="Z81" i="12"/>
  <c r="Z80" i="12"/>
  <c r="Z74" i="12"/>
  <c r="Z73" i="12"/>
  <c r="Z72" i="12"/>
  <c r="Z67" i="12"/>
  <c r="Z65" i="12"/>
  <c r="Z63" i="12"/>
  <c r="Z62" i="12"/>
  <c r="Z61" i="12"/>
  <c r="Z60" i="12"/>
  <c r="Z59" i="12"/>
  <c r="Z58" i="12"/>
  <c r="Z56" i="12"/>
  <c r="Z55" i="12"/>
  <c r="Z54" i="12"/>
  <c r="Z53" i="12"/>
  <c r="Z51" i="12"/>
  <c r="Z50" i="12"/>
  <c r="Z45" i="12"/>
  <c r="Z43" i="12"/>
  <c r="Z42" i="12"/>
  <c r="Z41" i="12"/>
  <c r="Z37" i="12"/>
  <c r="Z36" i="12"/>
  <c r="Z35" i="12"/>
  <c r="Z34" i="12"/>
  <c r="Z31" i="12"/>
  <c r="Z30" i="12"/>
  <c r="Z29" i="12"/>
  <c r="Z28" i="12"/>
  <c r="Z27" i="12"/>
  <c r="Z26" i="12"/>
  <c r="Z25" i="12"/>
  <c r="Z20" i="12"/>
  <c r="Z19" i="12"/>
  <c r="Z18" i="12"/>
  <c r="Z17" i="12"/>
  <c r="Z16" i="12"/>
  <c r="Z15" i="12"/>
  <c r="Z14" i="12"/>
  <c r="Z13" i="12"/>
  <c r="Z11" i="12"/>
  <c r="Z10" i="12"/>
  <c r="Z9" i="12"/>
  <c r="Z8" i="12"/>
  <c r="Z7" i="12"/>
  <c r="Z6" i="12"/>
  <c r="Z5" i="12"/>
  <c r="K52" i="10"/>
  <c r="K57" i="10" s="1"/>
  <c r="K64" i="10" s="1"/>
  <c r="K66" i="10" s="1"/>
  <c r="K68" i="10" s="1"/>
  <c r="K44" i="10"/>
  <c r="K38" i="10"/>
  <c r="K32" i="10"/>
  <c r="K21" i="10"/>
  <c r="K12" i="10"/>
  <c r="K52" i="11"/>
  <c r="K57" i="11" s="1"/>
  <c r="K64" i="11" s="1"/>
  <c r="K66" i="11" s="1"/>
  <c r="K68" i="11" s="1"/>
  <c r="K44" i="11"/>
  <c r="K38" i="11"/>
  <c r="K32" i="11"/>
  <c r="K21" i="11"/>
  <c r="K12" i="11"/>
  <c r="B10539" i="13" l="1"/>
  <c r="F10904" i="13"/>
  <c r="Z38" i="12"/>
  <c r="Z12" i="12"/>
  <c r="Z52" i="12"/>
  <c r="Z57" i="12" s="1"/>
  <c r="Z64" i="12" s="1"/>
  <c r="Z66" i="12" s="1"/>
  <c r="Z68" i="12" s="1"/>
  <c r="Z21" i="12"/>
  <c r="Z32" i="12"/>
  <c r="Z44" i="12"/>
  <c r="Z84" i="12"/>
  <c r="K39" i="10"/>
  <c r="K22" i="10"/>
  <c r="K39" i="11"/>
  <c r="K46" i="11" s="1"/>
  <c r="K22" i="11"/>
  <c r="K46" i="10"/>
  <c r="G10486" i="13"/>
  <c r="G10487" i="13"/>
  <c r="G10488" i="13"/>
  <c r="G10489" i="13"/>
  <c r="G10490" i="13"/>
  <c r="G10491" i="13"/>
  <c r="G10492" i="13"/>
  <c r="G10493" i="13"/>
  <c r="B10540" i="13" l="1"/>
  <c r="F10905" i="13"/>
  <c r="Z39" i="12"/>
  <c r="Z46" i="12" s="1"/>
  <c r="Z22" i="12"/>
  <c r="K47" i="10"/>
  <c r="K47" i="11"/>
  <c r="B10080" i="13"/>
  <c r="B10081" i="13" l="1"/>
  <c r="F10444" i="13"/>
  <c r="B10541" i="13"/>
  <c r="F10906" i="13"/>
  <c r="Z47" i="12"/>
  <c r="Z83" i="8"/>
  <c r="Z82" i="8"/>
  <c r="Z83" i="7"/>
  <c r="Z82" i="7"/>
  <c r="Z83" i="6"/>
  <c r="Z82" i="6"/>
  <c r="Z83" i="5"/>
  <c r="Z83" i="4"/>
  <c r="Z82" i="4"/>
  <c r="Z83" i="3"/>
  <c r="Z82" i="3"/>
  <c r="Z89" i="3"/>
  <c r="Z98" i="2"/>
  <c r="Z96" i="2"/>
  <c r="Z84" i="2"/>
  <c r="Z83" i="2"/>
  <c r="Z53" i="2"/>
  <c r="AL101" i="1"/>
  <c r="AL100" i="1"/>
  <c r="AL90" i="1"/>
  <c r="AL56" i="1"/>
  <c r="AL54" i="1"/>
  <c r="AL110" i="1"/>
  <c r="AL79" i="1"/>
  <c r="AL73" i="1"/>
  <c r="AL71" i="1"/>
  <c r="AL64" i="1"/>
  <c r="AL58" i="1"/>
  <c r="AL60" i="1" s="1"/>
  <c r="AL53" i="1"/>
  <c r="AL48" i="1"/>
  <c r="AL35" i="1"/>
  <c r="AL27" i="1"/>
  <c r="AL23" i="1"/>
  <c r="AL15" i="1"/>
  <c r="AL9" i="1"/>
  <c r="B10542" i="13" l="1"/>
  <c r="F10907" i="13"/>
  <c r="B10082" i="13"/>
  <c r="F10445" i="13"/>
  <c r="Z75" i="12"/>
  <c r="Z77" i="12" s="1"/>
  <c r="AL103" i="1"/>
  <c r="AL112" i="1" s="1"/>
  <c r="AL85" i="1"/>
  <c r="AL87" i="1" s="1"/>
  <c r="AL16" i="1"/>
  <c r="AL28" i="1"/>
  <c r="AL36" i="1" s="1"/>
  <c r="B10083" i="13" l="1"/>
  <c r="F10446" i="13"/>
  <c r="B10543" i="13"/>
  <c r="F10908" i="13"/>
  <c r="AL38" i="1"/>
  <c r="B10544" i="13" l="1"/>
  <c r="F10909" i="13"/>
  <c r="B10084" i="13"/>
  <c r="F10447" i="13"/>
  <c r="G10417" i="13"/>
  <c r="G10418" i="13"/>
  <c r="G10419" i="13"/>
  <c r="G10420" i="13"/>
  <c r="G10421" i="13"/>
  <c r="G10422" i="13"/>
  <c r="G10423" i="13"/>
  <c r="G10424" i="13"/>
  <c r="G10425" i="13"/>
  <c r="G10426" i="13"/>
  <c r="G10427" i="13"/>
  <c r="G10428" i="13"/>
  <c r="G10429" i="13"/>
  <c r="G10430" i="13"/>
  <c r="G10431" i="13"/>
  <c r="G10432" i="13"/>
  <c r="G10433" i="13"/>
  <c r="G10434" i="13"/>
  <c r="G10435" i="13"/>
  <c r="G10436" i="13"/>
  <c r="G10437" i="13"/>
  <c r="G10438" i="13"/>
  <c r="G10439" i="13"/>
  <c r="G10440" i="13"/>
  <c r="G10441" i="13"/>
  <c r="G10442" i="13"/>
  <c r="G10443" i="13"/>
  <c r="G10444" i="13"/>
  <c r="G10445" i="13"/>
  <c r="G10446" i="13"/>
  <c r="G10447" i="13"/>
  <c r="G10448" i="13"/>
  <c r="G10449" i="13"/>
  <c r="G10450" i="13"/>
  <c r="G10451" i="13"/>
  <c r="G10452" i="13"/>
  <c r="G10453" i="13"/>
  <c r="G10454" i="13"/>
  <c r="G10455" i="13"/>
  <c r="G10456" i="13"/>
  <c r="G10457" i="13"/>
  <c r="G10458" i="13"/>
  <c r="G10459" i="13"/>
  <c r="G10460" i="13"/>
  <c r="G10461" i="13"/>
  <c r="G10462" i="13"/>
  <c r="G10463" i="13"/>
  <c r="G10464" i="13"/>
  <c r="G10465" i="13"/>
  <c r="G10466" i="13"/>
  <c r="G10467" i="13"/>
  <c r="G10468" i="13"/>
  <c r="G10469" i="13"/>
  <c r="G10470" i="13"/>
  <c r="G10471" i="13"/>
  <c r="G10472" i="13"/>
  <c r="G10473" i="13"/>
  <c r="G10474" i="13"/>
  <c r="G10475" i="13"/>
  <c r="G10476" i="13"/>
  <c r="G10477" i="13"/>
  <c r="G10478" i="13"/>
  <c r="G10479" i="13"/>
  <c r="G10480" i="13"/>
  <c r="G10481" i="13"/>
  <c r="G10482" i="13"/>
  <c r="G10483" i="13"/>
  <c r="G10484" i="13"/>
  <c r="G10485" i="13"/>
  <c r="W5" i="12"/>
  <c r="X5" i="12"/>
  <c r="Y5" i="12"/>
  <c r="W6" i="12"/>
  <c r="X6" i="12"/>
  <c r="Y6" i="12"/>
  <c r="W7" i="12"/>
  <c r="X7" i="12"/>
  <c r="Y7" i="12"/>
  <c r="W8" i="12"/>
  <c r="X8" i="12"/>
  <c r="Y8" i="12"/>
  <c r="W9" i="12"/>
  <c r="X9" i="12"/>
  <c r="Y9" i="12"/>
  <c r="W10" i="12"/>
  <c r="X10" i="12"/>
  <c r="Y10" i="12"/>
  <c r="W11" i="12"/>
  <c r="X11" i="12"/>
  <c r="Y11" i="12"/>
  <c r="W13" i="12"/>
  <c r="X13" i="12"/>
  <c r="Y13" i="12"/>
  <c r="W14" i="12"/>
  <c r="X14" i="12"/>
  <c r="Y14" i="12"/>
  <c r="W15" i="12"/>
  <c r="X15" i="12"/>
  <c r="Y15" i="12"/>
  <c r="W16" i="12"/>
  <c r="X16" i="12"/>
  <c r="Y16" i="12"/>
  <c r="W17" i="12"/>
  <c r="X17" i="12"/>
  <c r="Y17" i="12"/>
  <c r="W18" i="12"/>
  <c r="X18" i="12"/>
  <c r="Y18" i="12"/>
  <c r="W19" i="12"/>
  <c r="X19" i="12"/>
  <c r="Y19" i="12"/>
  <c r="W20" i="12"/>
  <c r="X20" i="12"/>
  <c r="Y20" i="12"/>
  <c r="W25" i="12"/>
  <c r="X25" i="12"/>
  <c r="Y25" i="12"/>
  <c r="W26" i="12"/>
  <c r="X26" i="12"/>
  <c r="Y26" i="12"/>
  <c r="W27" i="12"/>
  <c r="X27" i="12"/>
  <c r="Y27" i="12"/>
  <c r="W28" i="12"/>
  <c r="X28" i="12"/>
  <c r="Y28" i="12"/>
  <c r="W29" i="12"/>
  <c r="X29" i="12"/>
  <c r="Y29" i="12"/>
  <c r="W30" i="12"/>
  <c r="X30" i="12"/>
  <c r="Y30" i="12"/>
  <c r="W31" i="12"/>
  <c r="X31" i="12"/>
  <c r="Y31" i="12"/>
  <c r="W34" i="12"/>
  <c r="X34" i="12"/>
  <c r="Y34" i="12"/>
  <c r="W35" i="12"/>
  <c r="X35" i="12"/>
  <c r="Y35" i="12"/>
  <c r="W36" i="12"/>
  <c r="X36" i="12"/>
  <c r="Y36" i="12"/>
  <c r="W37" i="12"/>
  <c r="X37" i="12"/>
  <c r="Y37" i="12"/>
  <c r="W41" i="12"/>
  <c r="X41" i="12"/>
  <c r="Y41" i="12"/>
  <c r="W42" i="12"/>
  <c r="X42" i="12"/>
  <c r="Y42" i="12"/>
  <c r="W43" i="12"/>
  <c r="W44" i="12" s="1"/>
  <c r="X43" i="12"/>
  <c r="Y43" i="12"/>
  <c r="W45" i="12"/>
  <c r="X45" i="12"/>
  <c r="Y45" i="12"/>
  <c r="W50" i="12"/>
  <c r="X50" i="12"/>
  <c r="Y50" i="12"/>
  <c r="W51" i="12"/>
  <c r="X51" i="12"/>
  <c r="Y51" i="12"/>
  <c r="W53" i="12"/>
  <c r="X53" i="12"/>
  <c r="Y53" i="12"/>
  <c r="W54" i="12"/>
  <c r="X54" i="12"/>
  <c r="Y54" i="12"/>
  <c r="W55" i="12"/>
  <c r="X55" i="12"/>
  <c r="Y55" i="12"/>
  <c r="W56" i="12"/>
  <c r="X56" i="12"/>
  <c r="Y56" i="12"/>
  <c r="W58" i="12"/>
  <c r="X58" i="12"/>
  <c r="Y58" i="12"/>
  <c r="W59" i="12"/>
  <c r="X59" i="12"/>
  <c r="Y59" i="12"/>
  <c r="W60" i="12"/>
  <c r="X60" i="12"/>
  <c r="Y60" i="12"/>
  <c r="W61" i="12"/>
  <c r="X61" i="12"/>
  <c r="Y61" i="12"/>
  <c r="W62" i="12"/>
  <c r="X62" i="12"/>
  <c r="Y62" i="12"/>
  <c r="W63" i="12"/>
  <c r="X63" i="12"/>
  <c r="Y63" i="12"/>
  <c r="W65" i="12"/>
  <c r="X65" i="12"/>
  <c r="Y65" i="12"/>
  <c r="W67" i="12"/>
  <c r="X67" i="12"/>
  <c r="Y67" i="12"/>
  <c r="W72" i="12"/>
  <c r="W77" i="12" s="1"/>
  <c r="X72" i="12"/>
  <c r="Y72" i="12"/>
  <c r="W73" i="12"/>
  <c r="X73" i="12"/>
  <c r="Y73" i="12"/>
  <c r="W74" i="12"/>
  <c r="X74" i="12"/>
  <c r="Y74" i="12"/>
  <c r="W75" i="12"/>
  <c r="X75" i="12"/>
  <c r="Y75" i="12"/>
  <c r="W80" i="12"/>
  <c r="X80" i="12"/>
  <c r="Y80" i="12"/>
  <c r="W81" i="12"/>
  <c r="X81" i="12"/>
  <c r="Y81" i="12"/>
  <c r="W82" i="12"/>
  <c r="X82" i="12"/>
  <c r="Y82" i="12"/>
  <c r="W83" i="12"/>
  <c r="X83" i="12"/>
  <c r="Y83" i="12"/>
  <c r="S5" i="12"/>
  <c r="T5" i="12"/>
  <c r="U5" i="12"/>
  <c r="S6" i="12"/>
  <c r="T6" i="12"/>
  <c r="U6" i="12"/>
  <c r="S7" i="12"/>
  <c r="T7" i="12"/>
  <c r="U7" i="12"/>
  <c r="S8" i="12"/>
  <c r="T8" i="12"/>
  <c r="U8" i="12"/>
  <c r="S9" i="12"/>
  <c r="T9" i="12"/>
  <c r="U9" i="12"/>
  <c r="S10" i="12"/>
  <c r="T10" i="12"/>
  <c r="U10" i="12"/>
  <c r="S11" i="12"/>
  <c r="T11" i="12"/>
  <c r="U11" i="12"/>
  <c r="S13" i="12"/>
  <c r="T13" i="12"/>
  <c r="U13" i="12"/>
  <c r="S14" i="12"/>
  <c r="T14" i="12"/>
  <c r="U14" i="12"/>
  <c r="S15" i="12"/>
  <c r="T15" i="12"/>
  <c r="U15" i="12"/>
  <c r="S16" i="12"/>
  <c r="T16" i="12"/>
  <c r="U16" i="12"/>
  <c r="S17" i="12"/>
  <c r="T17" i="12"/>
  <c r="U17" i="12"/>
  <c r="S18" i="12"/>
  <c r="T18" i="12"/>
  <c r="U18" i="12"/>
  <c r="S19" i="12"/>
  <c r="T19" i="12"/>
  <c r="U19" i="12"/>
  <c r="S20" i="12"/>
  <c r="T20" i="12"/>
  <c r="U20" i="12"/>
  <c r="S25" i="12"/>
  <c r="T25" i="12"/>
  <c r="U25" i="12"/>
  <c r="S26" i="12"/>
  <c r="T26" i="12"/>
  <c r="U26" i="12"/>
  <c r="S27" i="12"/>
  <c r="T27" i="12"/>
  <c r="U27" i="12"/>
  <c r="S28" i="12"/>
  <c r="T28" i="12"/>
  <c r="U28" i="12"/>
  <c r="S29" i="12"/>
  <c r="T29" i="12"/>
  <c r="U29" i="12"/>
  <c r="S30" i="12"/>
  <c r="T30" i="12"/>
  <c r="U30" i="12"/>
  <c r="S31" i="12"/>
  <c r="T31" i="12"/>
  <c r="U31" i="12"/>
  <c r="S34" i="12"/>
  <c r="T34" i="12"/>
  <c r="U34" i="12"/>
  <c r="S35" i="12"/>
  <c r="T35" i="12"/>
  <c r="U35" i="12"/>
  <c r="S36" i="12"/>
  <c r="T36" i="12"/>
  <c r="U36" i="12"/>
  <c r="S37" i="12"/>
  <c r="T37" i="12"/>
  <c r="U37" i="12"/>
  <c r="S41" i="12"/>
  <c r="T41" i="12"/>
  <c r="U41" i="12"/>
  <c r="S42" i="12"/>
  <c r="T42" i="12"/>
  <c r="U42" i="12"/>
  <c r="S43" i="12"/>
  <c r="T43" i="12"/>
  <c r="U43" i="12"/>
  <c r="S45" i="12"/>
  <c r="T45" i="12"/>
  <c r="U45" i="12"/>
  <c r="S50" i="12"/>
  <c r="T50" i="12"/>
  <c r="U50" i="12"/>
  <c r="S51" i="12"/>
  <c r="T51" i="12"/>
  <c r="U51" i="12"/>
  <c r="S53" i="12"/>
  <c r="T53" i="12"/>
  <c r="U53" i="12"/>
  <c r="S54" i="12"/>
  <c r="T54" i="12"/>
  <c r="U54" i="12"/>
  <c r="S55" i="12"/>
  <c r="T55" i="12"/>
  <c r="U55" i="12"/>
  <c r="S56" i="12"/>
  <c r="T56" i="12"/>
  <c r="U56" i="12"/>
  <c r="S58" i="12"/>
  <c r="T58" i="12"/>
  <c r="U58" i="12"/>
  <c r="S59" i="12"/>
  <c r="T59" i="12"/>
  <c r="U59" i="12"/>
  <c r="S60" i="12"/>
  <c r="T60" i="12"/>
  <c r="U60" i="12"/>
  <c r="S61" i="12"/>
  <c r="T61" i="12"/>
  <c r="U61" i="12"/>
  <c r="S62" i="12"/>
  <c r="T62" i="12"/>
  <c r="U62" i="12"/>
  <c r="S63" i="12"/>
  <c r="T63" i="12"/>
  <c r="U63" i="12"/>
  <c r="S65" i="12"/>
  <c r="T65" i="12"/>
  <c r="U65" i="12"/>
  <c r="S67" i="12"/>
  <c r="T67" i="12"/>
  <c r="U67" i="12"/>
  <c r="S72" i="12"/>
  <c r="T72" i="12"/>
  <c r="U72" i="12"/>
  <c r="S73" i="12"/>
  <c r="T73" i="12"/>
  <c r="U73" i="12"/>
  <c r="S74" i="12"/>
  <c r="T74" i="12"/>
  <c r="U74" i="12"/>
  <c r="S75" i="12"/>
  <c r="T75" i="12"/>
  <c r="U75" i="12"/>
  <c r="S80" i="12"/>
  <c r="T80" i="12"/>
  <c r="U80" i="12"/>
  <c r="S81" i="12"/>
  <c r="T81" i="12"/>
  <c r="U81" i="12"/>
  <c r="S82" i="12"/>
  <c r="T82" i="12"/>
  <c r="U82" i="12"/>
  <c r="S83" i="12"/>
  <c r="T83" i="12"/>
  <c r="U83" i="12"/>
  <c r="O5" i="12"/>
  <c r="P5" i="12"/>
  <c r="Q5" i="12"/>
  <c r="O6" i="12"/>
  <c r="P6" i="12"/>
  <c r="Q6" i="12"/>
  <c r="O7" i="12"/>
  <c r="P7" i="12"/>
  <c r="Q7" i="12"/>
  <c r="O8" i="12"/>
  <c r="P8" i="12"/>
  <c r="Q8" i="12"/>
  <c r="O9" i="12"/>
  <c r="P9" i="12"/>
  <c r="Q9" i="12"/>
  <c r="O10" i="12"/>
  <c r="P10" i="12"/>
  <c r="Q10" i="12"/>
  <c r="O11" i="12"/>
  <c r="P11" i="12"/>
  <c r="Q11" i="12"/>
  <c r="O13" i="12"/>
  <c r="P13" i="12"/>
  <c r="Q13" i="12"/>
  <c r="O14" i="12"/>
  <c r="P14" i="12"/>
  <c r="Q14" i="12"/>
  <c r="O15" i="12"/>
  <c r="P15" i="12"/>
  <c r="Q15" i="12"/>
  <c r="O16" i="12"/>
  <c r="P16" i="12"/>
  <c r="Q16" i="12"/>
  <c r="O17" i="12"/>
  <c r="P17" i="12"/>
  <c r="Q17" i="12"/>
  <c r="O18" i="12"/>
  <c r="P18" i="12"/>
  <c r="Q18" i="12"/>
  <c r="O19" i="12"/>
  <c r="P19" i="12"/>
  <c r="Q19" i="12"/>
  <c r="O20" i="12"/>
  <c r="P20" i="12"/>
  <c r="Q20" i="12"/>
  <c r="O25" i="12"/>
  <c r="P25" i="12"/>
  <c r="Q25" i="12"/>
  <c r="O26" i="12"/>
  <c r="P26" i="12"/>
  <c r="Q26" i="12"/>
  <c r="O27" i="12"/>
  <c r="P27" i="12"/>
  <c r="Q27" i="12"/>
  <c r="O28" i="12"/>
  <c r="P28" i="12"/>
  <c r="Q28" i="12"/>
  <c r="O29" i="12"/>
  <c r="P29" i="12"/>
  <c r="Q29" i="12"/>
  <c r="O30" i="12"/>
  <c r="P30" i="12"/>
  <c r="Q30" i="12"/>
  <c r="O31" i="12"/>
  <c r="P31" i="12"/>
  <c r="Q31" i="12"/>
  <c r="O34" i="12"/>
  <c r="P34" i="12"/>
  <c r="Q34" i="12"/>
  <c r="O35" i="12"/>
  <c r="P35" i="12"/>
  <c r="Q35" i="12"/>
  <c r="O36" i="12"/>
  <c r="P36" i="12"/>
  <c r="Q36" i="12"/>
  <c r="O37" i="12"/>
  <c r="P37" i="12"/>
  <c r="Q37" i="12"/>
  <c r="O41" i="12"/>
  <c r="P41" i="12"/>
  <c r="Q41" i="12"/>
  <c r="O42" i="12"/>
  <c r="P42" i="12"/>
  <c r="Q42" i="12"/>
  <c r="O43" i="12"/>
  <c r="P43" i="12"/>
  <c r="Q43" i="12"/>
  <c r="Q44" i="12" s="1"/>
  <c r="O45" i="12"/>
  <c r="P45" i="12"/>
  <c r="Q45" i="12"/>
  <c r="O50" i="12"/>
  <c r="P50" i="12"/>
  <c r="Q50" i="12"/>
  <c r="O51" i="12"/>
  <c r="P51" i="12"/>
  <c r="Q51" i="12"/>
  <c r="O53" i="12"/>
  <c r="P53" i="12"/>
  <c r="Q53" i="12"/>
  <c r="O54" i="12"/>
  <c r="P54" i="12"/>
  <c r="Q54" i="12"/>
  <c r="O55" i="12"/>
  <c r="P55" i="12"/>
  <c r="Q55" i="12"/>
  <c r="O56" i="12"/>
  <c r="P56" i="12"/>
  <c r="Q56" i="12"/>
  <c r="O58" i="12"/>
  <c r="P58" i="12"/>
  <c r="Q58" i="12"/>
  <c r="O59" i="12"/>
  <c r="P59" i="12"/>
  <c r="Q59" i="12"/>
  <c r="O60" i="12"/>
  <c r="P60" i="12"/>
  <c r="Q60" i="12"/>
  <c r="O61" i="12"/>
  <c r="P61" i="12"/>
  <c r="Q61" i="12"/>
  <c r="O62" i="12"/>
  <c r="P62" i="12"/>
  <c r="Q62" i="12"/>
  <c r="O63" i="12"/>
  <c r="P63" i="12"/>
  <c r="Q63" i="12"/>
  <c r="O65" i="12"/>
  <c r="P65" i="12"/>
  <c r="Q65" i="12"/>
  <c r="O67" i="12"/>
  <c r="P67" i="12"/>
  <c r="Q67" i="12"/>
  <c r="O72" i="12"/>
  <c r="P72" i="12"/>
  <c r="Q72" i="12"/>
  <c r="O73" i="12"/>
  <c r="P73" i="12"/>
  <c r="Q73" i="12"/>
  <c r="O74" i="12"/>
  <c r="P74" i="12"/>
  <c r="Q74" i="12"/>
  <c r="O75" i="12"/>
  <c r="P75" i="12"/>
  <c r="Q75" i="12"/>
  <c r="O80" i="12"/>
  <c r="P80" i="12"/>
  <c r="Q80" i="12"/>
  <c r="O81" i="12"/>
  <c r="P81" i="12"/>
  <c r="Q81" i="12"/>
  <c r="O82" i="12"/>
  <c r="O84" i="12" s="1"/>
  <c r="P82" i="12"/>
  <c r="Q82" i="12"/>
  <c r="O83" i="12"/>
  <c r="P83" i="12"/>
  <c r="Q83" i="12"/>
  <c r="K5" i="12"/>
  <c r="L5" i="12"/>
  <c r="M5" i="12"/>
  <c r="K6" i="12"/>
  <c r="L6" i="12"/>
  <c r="M6" i="12"/>
  <c r="K7" i="12"/>
  <c r="L7" i="12"/>
  <c r="M7" i="12"/>
  <c r="K8" i="12"/>
  <c r="L8" i="12"/>
  <c r="M8" i="12"/>
  <c r="K9" i="12"/>
  <c r="L9" i="12"/>
  <c r="M9" i="12"/>
  <c r="K10" i="12"/>
  <c r="L10" i="12"/>
  <c r="M10" i="12"/>
  <c r="K11" i="12"/>
  <c r="L11" i="12"/>
  <c r="M11" i="12"/>
  <c r="K13" i="12"/>
  <c r="L13" i="12"/>
  <c r="M13" i="12"/>
  <c r="K14" i="12"/>
  <c r="L14" i="12"/>
  <c r="M14" i="12"/>
  <c r="K15" i="12"/>
  <c r="L15" i="12"/>
  <c r="M15" i="12"/>
  <c r="K16" i="12"/>
  <c r="L16" i="12"/>
  <c r="M16" i="12"/>
  <c r="K17" i="12"/>
  <c r="L17" i="12"/>
  <c r="M17" i="12"/>
  <c r="K18" i="12"/>
  <c r="L18" i="12"/>
  <c r="M18" i="12"/>
  <c r="K19" i="12"/>
  <c r="L19" i="12"/>
  <c r="M19" i="12"/>
  <c r="K20" i="12"/>
  <c r="L20" i="12"/>
  <c r="M20" i="12"/>
  <c r="K25" i="12"/>
  <c r="L25" i="12"/>
  <c r="M25" i="12"/>
  <c r="K26" i="12"/>
  <c r="L26" i="12"/>
  <c r="M26" i="12"/>
  <c r="K27" i="12"/>
  <c r="L27" i="12"/>
  <c r="M27" i="12"/>
  <c r="K28" i="12"/>
  <c r="L28" i="12"/>
  <c r="M28" i="12"/>
  <c r="K29" i="12"/>
  <c r="L29" i="12"/>
  <c r="M29" i="12"/>
  <c r="K30" i="12"/>
  <c r="L30" i="12"/>
  <c r="M30" i="12"/>
  <c r="K31" i="12"/>
  <c r="L31" i="12"/>
  <c r="M31" i="12"/>
  <c r="K34" i="12"/>
  <c r="L34" i="12"/>
  <c r="M34" i="12"/>
  <c r="K35" i="12"/>
  <c r="L35" i="12"/>
  <c r="M35" i="12"/>
  <c r="K36" i="12"/>
  <c r="L36" i="12"/>
  <c r="M36" i="12"/>
  <c r="K37" i="12"/>
  <c r="L37" i="12"/>
  <c r="M37" i="12"/>
  <c r="K41" i="12"/>
  <c r="L41" i="12"/>
  <c r="M41" i="12"/>
  <c r="K42" i="12"/>
  <c r="L42" i="12"/>
  <c r="M42" i="12"/>
  <c r="K43" i="12"/>
  <c r="L43" i="12"/>
  <c r="M43" i="12"/>
  <c r="K45" i="12"/>
  <c r="L45" i="12"/>
  <c r="M45" i="12"/>
  <c r="K50" i="12"/>
  <c r="L50" i="12"/>
  <c r="M50" i="12"/>
  <c r="K51" i="12"/>
  <c r="L51" i="12"/>
  <c r="M51" i="12"/>
  <c r="K53" i="12"/>
  <c r="L53" i="12"/>
  <c r="M53" i="12"/>
  <c r="K54" i="12"/>
  <c r="L54" i="12"/>
  <c r="M54" i="12"/>
  <c r="K55" i="12"/>
  <c r="L55" i="12"/>
  <c r="M55" i="12"/>
  <c r="K56" i="12"/>
  <c r="L56" i="12"/>
  <c r="M56" i="12"/>
  <c r="K58" i="12"/>
  <c r="L58" i="12"/>
  <c r="M58" i="12"/>
  <c r="K59" i="12"/>
  <c r="L59" i="12"/>
  <c r="M59" i="12"/>
  <c r="K60" i="12"/>
  <c r="L60" i="12"/>
  <c r="M60" i="12"/>
  <c r="K61" i="12"/>
  <c r="L61" i="12"/>
  <c r="M61" i="12"/>
  <c r="K62" i="12"/>
  <c r="L62" i="12"/>
  <c r="M62" i="12"/>
  <c r="K63" i="12"/>
  <c r="L63" i="12"/>
  <c r="M63" i="12"/>
  <c r="K65" i="12"/>
  <c r="L65" i="12"/>
  <c r="M65" i="12"/>
  <c r="K67" i="12"/>
  <c r="L67" i="12"/>
  <c r="M67" i="12"/>
  <c r="K72" i="12"/>
  <c r="L72" i="12"/>
  <c r="M72" i="12"/>
  <c r="K73" i="12"/>
  <c r="L73" i="12"/>
  <c r="M73" i="12"/>
  <c r="K74" i="12"/>
  <c r="L74" i="12"/>
  <c r="M74" i="12"/>
  <c r="K75" i="12"/>
  <c r="L75" i="12"/>
  <c r="M75" i="12"/>
  <c r="K80" i="12"/>
  <c r="L80" i="12"/>
  <c r="M80" i="12"/>
  <c r="K81" i="12"/>
  <c r="L81" i="12"/>
  <c r="M81" i="12"/>
  <c r="K82" i="12"/>
  <c r="L82" i="12"/>
  <c r="M82" i="12"/>
  <c r="K83" i="12"/>
  <c r="L83" i="12"/>
  <c r="M83" i="12"/>
  <c r="H5" i="12"/>
  <c r="I5" i="12"/>
  <c r="H6" i="12"/>
  <c r="I6" i="12"/>
  <c r="H7" i="12"/>
  <c r="I7" i="12"/>
  <c r="H8" i="12"/>
  <c r="I8" i="12"/>
  <c r="H9" i="12"/>
  <c r="I9" i="12"/>
  <c r="H10" i="12"/>
  <c r="I10" i="12"/>
  <c r="H11" i="12"/>
  <c r="I11" i="12"/>
  <c r="H13" i="12"/>
  <c r="I13" i="12"/>
  <c r="H14" i="12"/>
  <c r="I14" i="12"/>
  <c r="H15" i="12"/>
  <c r="I15" i="12"/>
  <c r="H16" i="12"/>
  <c r="I16" i="12"/>
  <c r="H17" i="12"/>
  <c r="I17" i="12"/>
  <c r="H18" i="12"/>
  <c r="I18" i="12"/>
  <c r="H19" i="12"/>
  <c r="I19" i="12"/>
  <c r="H20" i="12"/>
  <c r="I20" i="12"/>
  <c r="H25" i="12"/>
  <c r="I25" i="12"/>
  <c r="H26" i="12"/>
  <c r="I26" i="12"/>
  <c r="H27" i="12"/>
  <c r="I27" i="12"/>
  <c r="H28" i="12"/>
  <c r="I28" i="12"/>
  <c r="H29" i="12"/>
  <c r="I29" i="12"/>
  <c r="H30" i="12"/>
  <c r="I30" i="12"/>
  <c r="H31" i="12"/>
  <c r="I31" i="12"/>
  <c r="H34" i="12"/>
  <c r="I34" i="12"/>
  <c r="H35" i="12"/>
  <c r="I35" i="12"/>
  <c r="H36" i="12"/>
  <c r="I36" i="12"/>
  <c r="H37" i="12"/>
  <c r="I37" i="12"/>
  <c r="H41" i="12"/>
  <c r="I41" i="12"/>
  <c r="H42" i="12"/>
  <c r="I42" i="12"/>
  <c r="H43" i="12"/>
  <c r="I43" i="12"/>
  <c r="H45" i="12"/>
  <c r="I45" i="12"/>
  <c r="H50" i="12"/>
  <c r="I50" i="12"/>
  <c r="H51" i="12"/>
  <c r="I51" i="12"/>
  <c r="H53" i="12"/>
  <c r="I53" i="12"/>
  <c r="H54" i="12"/>
  <c r="I54" i="12"/>
  <c r="H55" i="12"/>
  <c r="I55" i="12"/>
  <c r="H56" i="12"/>
  <c r="I56" i="12"/>
  <c r="H58" i="12"/>
  <c r="I58" i="12"/>
  <c r="H59" i="12"/>
  <c r="I59" i="12"/>
  <c r="H60" i="12"/>
  <c r="I60" i="12"/>
  <c r="H61" i="12"/>
  <c r="I61" i="12"/>
  <c r="H62" i="12"/>
  <c r="I62" i="12"/>
  <c r="H63" i="12"/>
  <c r="I63" i="12"/>
  <c r="H65" i="12"/>
  <c r="I65" i="12"/>
  <c r="H67" i="12"/>
  <c r="I67" i="12"/>
  <c r="H72" i="12"/>
  <c r="I72" i="12"/>
  <c r="H73" i="12"/>
  <c r="I73" i="12"/>
  <c r="H74" i="12"/>
  <c r="I74" i="12"/>
  <c r="H75" i="12"/>
  <c r="I75" i="12"/>
  <c r="H80" i="12"/>
  <c r="I80" i="12"/>
  <c r="H81" i="12"/>
  <c r="I81" i="12"/>
  <c r="H82" i="12"/>
  <c r="I82" i="12"/>
  <c r="H83" i="12"/>
  <c r="I83" i="12"/>
  <c r="G83" i="12"/>
  <c r="G82" i="12"/>
  <c r="G81" i="12"/>
  <c r="G80" i="12"/>
  <c r="G74" i="12"/>
  <c r="G73" i="12"/>
  <c r="G72" i="12"/>
  <c r="G67" i="12"/>
  <c r="G65" i="12"/>
  <c r="G63" i="12"/>
  <c r="G62" i="12"/>
  <c r="G61" i="12"/>
  <c r="G60" i="12"/>
  <c r="G59" i="12"/>
  <c r="G58" i="12"/>
  <c r="G56" i="12"/>
  <c r="G55" i="12"/>
  <c r="G54" i="12"/>
  <c r="G53" i="12"/>
  <c r="G51" i="12"/>
  <c r="G50" i="12"/>
  <c r="G45" i="12"/>
  <c r="G43" i="12"/>
  <c r="G42" i="12"/>
  <c r="G41" i="12"/>
  <c r="G37" i="12"/>
  <c r="G36" i="12"/>
  <c r="G35" i="12"/>
  <c r="G34" i="12"/>
  <c r="G31" i="12"/>
  <c r="G30" i="12"/>
  <c r="G29" i="12"/>
  <c r="G28" i="12"/>
  <c r="G27" i="12"/>
  <c r="G26" i="12"/>
  <c r="G25" i="12"/>
  <c r="G20" i="12"/>
  <c r="G19" i="12"/>
  <c r="G18" i="12"/>
  <c r="G17" i="12"/>
  <c r="G16" i="12"/>
  <c r="G15" i="12"/>
  <c r="G14" i="12"/>
  <c r="G13" i="12"/>
  <c r="G11" i="12"/>
  <c r="G10" i="12"/>
  <c r="G9" i="12"/>
  <c r="G8" i="12"/>
  <c r="G7" i="12"/>
  <c r="G6" i="12"/>
  <c r="G5" i="12"/>
  <c r="Y37" i="9"/>
  <c r="Y30" i="9"/>
  <c r="V30" i="9"/>
  <c r="Y19" i="9"/>
  <c r="B10085" i="13" l="1"/>
  <c r="F10448" i="13"/>
  <c r="B10545" i="13"/>
  <c r="F10910" i="13"/>
  <c r="S44" i="12"/>
  <c r="S52" i="12"/>
  <c r="Y52" i="12"/>
  <c r="Y57" i="12" s="1"/>
  <c r="Y64" i="12" s="1"/>
  <c r="Y66" i="12" s="1"/>
  <c r="Y68" i="12" s="1"/>
  <c r="Y38" i="12"/>
  <c r="Y39" i="12" s="1"/>
  <c r="M52" i="12"/>
  <c r="M57" i="12" s="1"/>
  <c r="M64" i="12" s="1"/>
  <c r="M66" i="12" s="1"/>
  <c r="M68" i="12" s="1"/>
  <c r="U12" i="12"/>
  <c r="X52" i="12"/>
  <c r="X57" i="12" s="1"/>
  <c r="X64" i="12" s="1"/>
  <c r="X66" i="12" s="1"/>
  <c r="X68" i="12" s="1"/>
  <c r="W52" i="12"/>
  <c r="W57" i="12" s="1"/>
  <c r="W64" i="12" s="1"/>
  <c r="W66" i="12" s="1"/>
  <c r="W68" i="12" s="1"/>
  <c r="S84" i="12"/>
  <c r="S21" i="12"/>
  <c r="S12" i="12"/>
  <c r="Y12" i="12"/>
  <c r="X21" i="12"/>
  <c r="O38" i="12"/>
  <c r="T77" i="12"/>
  <c r="T44" i="12"/>
  <c r="T12" i="12"/>
  <c r="W84" i="12"/>
  <c r="X84" i="12"/>
  <c r="S32" i="12"/>
  <c r="W38" i="12"/>
  <c r="O52" i="12"/>
  <c r="S77" i="12"/>
  <c r="U52" i="12"/>
  <c r="U57" i="12" s="1"/>
  <c r="U64" i="12" s="1"/>
  <c r="U66" i="12" s="1"/>
  <c r="U68" i="12" s="1"/>
  <c r="U38" i="12"/>
  <c r="Y44" i="12"/>
  <c r="X38" i="12"/>
  <c r="U32" i="12"/>
  <c r="Y84" i="12"/>
  <c r="T52" i="12"/>
  <c r="T57" i="12" s="1"/>
  <c r="T64" i="12" s="1"/>
  <c r="T66" i="12" s="1"/>
  <c r="T68" i="12" s="1"/>
  <c r="U44" i="12"/>
  <c r="T38" i="12"/>
  <c r="Y32" i="12"/>
  <c r="W12" i="12"/>
  <c r="U84" i="12"/>
  <c r="S57" i="12"/>
  <c r="S64" i="12" s="1"/>
  <c r="S66" i="12" s="1"/>
  <c r="S68" i="12" s="1"/>
  <c r="S38" i="12"/>
  <c r="Y77" i="12"/>
  <c r="X32" i="12"/>
  <c r="X39" i="12" s="1"/>
  <c r="X46" i="12" s="1"/>
  <c r="X12" i="12"/>
  <c r="X22" i="12" s="1"/>
  <c r="U77" i="12"/>
  <c r="T32" i="12"/>
  <c r="O12" i="12"/>
  <c r="P12" i="12"/>
  <c r="T84" i="12"/>
  <c r="X77" i="12"/>
  <c r="X44" i="12"/>
  <c r="W32" i="12"/>
  <c r="W39" i="12" s="1"/>
  <c r="W46" i="12" s="1"/>
  <c r="Y21" i="12"/>
  <c r="Y22" i="12" s="1"/>
  <c r="W21" i="12"/>
  <c r="T21" i="12"/>
  <c r="U21" i="12"/>
  <c r="Q32" i="12"/>
  <c r="O32" i="12"/>
  <c r="P32" i="12"/>
  <c r="Q52" i="12"/>
  <c r="Q57" i="12" s="1"/>
  <c r="Q64" i="12" s="1"/>
  <c r="Q66" i="12" s="1"/>
  <c r="Q68" i="12" s="1"/>
  <c r="Q38" i="12"/>
  <c r="Q12" i="12"/>
  <c r="M12" i="12"/>
  <c r="P44" i="12"/>
  <c r="P77" i="12"/>
  <c r="O44" i="12"/>
  <c r="Q21" i="12"/>
  <c r="O21" i="12"/>
  <c r="P21" i="12"/>
  <c r="P52" i="12"/>
  <c r="P57" i="12" s="1"/>
  <c r="P64" i="12" s="1"/>
  <c r="P66" i="12" s="1"/>
  <c r="P68" i="12" s="1"/>
  <c r="P38" i="12"/>
  <c r="P39" i="12" s="1"/>
  <c r="Q84" i="12"/>
  <c r="O77" i="12"/>
  <c r="O57" i="12"/>
  <c r="O64" i="12" s="1"/>
  <c r="O66" i="12" s="1"/>
  <c r="O68" i="12" s="1"/>
  <c r="P84" i="12"/>
  <c r="Q77" i="12"/>
  <c r="L44" i="12"/>
  <c r="K77" i="12"/>
  <c r="M38" i="12"/>
  <c r="L52" i="12"/>
  <c r="L57" i="12" s="1"/>
  <c r="L64" i="12" s="1"/>
  <c r="L66" i="12" s="1"/>
  <c r="L68" i="12" s="1"/>
  <c r="K52" i="12"/>
  <c r="K57" i="12" s="1"/>
  <c r="K64" i="12" s="1"/>
  <c r="K66" i="12" s="1"/>
  <c r="K68" i="12" s="1"/>
  <c r="L21" i="12"/>
  <c r="M77" i="12"/>
  <c r="K44" i="12"/>
  <c r="L32" i="12"/>
  <c r="L12" i="12"/>
  <c r="L77" i="12"/>
  <c r="K32" i="12"/>
  <c r="K84" i="12"/>
  <c r="L38" i="12"/>
  <c r="M21" i="12"/>
  <c r="K21" i="12"/>
  <c r="M84" i="12"/>
  <c r="K38" i="12"/>
  <c r="G44" i="12"/>
  <c r="I38" i="12"/>
  <c r="I12" i="12"/>
  <c r="L84" i="12"/>
  <c r="M44" i="12"/>
  <c r="M32" i="12"/>
  <c r="K12" i="12"/>
  <c r="H38" i="12"/>
  <c r="I52" i="12"/>
  <c r="I57" i="12" s="1"/>
  <c r="I64" i="12" s="1"/>
  <c r="I66" i="12" s="1"/>
  <c r="I68" i="12" s="1"/>
  <c r="I44" i="12"/>
  <c r="G12" i="12"/>
  <c r="H77" i="12"/>
  <c r="G38" i="12"/>
  <c r="G52" i="12"/>
  <c r="G57" i="12" s="1"/>
  <c r="G64" i="12" s="1"/>
  <c r="G66" i="12" s="1"/>
  <c r="G68" i="12" s="1"/>
  <c r="H21" i="12"/>
  <c r="H12" i="12"/>
  <c r="I77" i="12"/>
  <c r="H44" i="12"/>
  <c r="G32" i="12"/>
  <c r="H84" i="12"/>
  <c r="I21" i="12"/>
  <c r="G84" i="12"/>
  <c r="I84" i="12"/>
  <c r="G21" i="12"/>
  <c r="I32" i="12"/>
  <c r="H52" i="12"/>
  <c r="H57" i="12" s="1"/>
  <c r="H64" i="12" s="1"/>
  <c r="H66" i="12" s="1"/>
  <c r="H68" i="12" s="1"/>
  <c r="H32" i="12"/>
  <c r="X85" i="9"/>
  <c r="B10546" i="13" l="1"/>
  <c r="F10911" i="13"/>
  <c r="B10086" i="13"/>
  <c r="F10449" i="13"/>
  <c r="T39" i="12"/>
  <c r="O22" i="12"/>
  <c r="T22" i="12"/>
  <c r="Y46" i="12"/>
  <c r="Y47" i="12" s="1"/>
  <c r="S22" i="12"/>
  <c r="U22" i="12"/>
  <c r="W22" i="12"/>
  <c r="W47" i="12" s="1"/>
  <c r="M22" i="12"/>
  <c r="O39" i="12"/>
  <c r="Q39" i="12"/>
  <c r="Q46" i="12" s="1"/>
  <c r="M39" i="12"/>
  <c r="M46" i="12" s="1"/>
  <c r="S39" i="12"/>
  <c r="S46" i="12" s="1"/>
  <c r="U39" i="12"/>
  <c r="U46" i="12" s="1"/>
  <c r="T46" i="12"/>
  <c r="T47" i="12" s="1"/>
  <c r="P46" i="12"/>
  <c r="P47" i="12" s="1"/>
  <c r="L22" i="12"/>
  <c r="P22" i="12"/>
  <c r="X47" i="12"/>
  <c r="Q22" i="12"/>
  <c r="Q47" i="12" s="1"/>
  <c r="I22" i="12"/>
  <c r="O46" i="12"/>
  <c r="O47" i="12" s="1"/>
  <c r="H39" i="12"/>
  <c r="H46" i="12" s="1"/>
  <c r="H47" i="12" s="1"/>
  <c r="K39" i="12"/>
  <c r="K46" i="12" s="1"/>
  <c r="L39" i="12"/>
  <c r="L46" i="12" s="1"/>
  <c r="G22" i="12"/>
  <c r="K22" i="12"/>
  <c r="H22" i="12"/>
  <c r="G39" i="12"/>
  <c r="G46" i="12" s="1"/>
  <c r="I39" i="12"/>
  <c r="I46" i="12" s="1"/>
  <c r="W97" i="9"/>
  <c r="B10087" i="13" l="1"/>
  <c r="F10450" i="13"/>
  <c r="B10547" i="13"/>
  <c r="F10912" i="13"/>
  <c r="L47" i="12"/>
  <c r="U47" i="12"/>
  <c r="S47" i="12"/>
  <c r="M47" i="12"/>
  <c r="K47" i="12"/>
  <c r="I47" i="12"/>
  <c r="G47" i="12"/>
  <c r="U42" i="9"/>
  <c r="U37" i="9"/>
  <c r="U26" i="9"/>
  <c r="U19" i="9"/>
  <c r="U15" i="9"/>
  <c r="U5" i="9"/>
  <c r="T43" i="9"/>
  <c r="T34" i="9"/>
  <c r="T36" i="9"/>
  <c r="T26" i="9"/>
  <c r="T25" i="9"/>
  <c r="T15" i="9"/>
  <c r="T7" i="9"/>
  <c r="T8" i="9"/>
  <c r="T5" i="9"/>
  <c r="B10548" i="13" l="1"/>
  <c r="F10913" i="13"/>
  <c r="B10088" i="13"/>
  <c r="F10451" i="13"/>
  <c r="Q59" i="9"/>
  <c r="Q43" i="9"/>
  <c r="Q26" i="9"/>
  <c r="Q15" i="9"/>
  <c r="Q5" i="9"/>
  <c r="P97" i="9"/>
  <c r="O83" i="9"/>
  <c r="P59" i="9"/>
  <c r="P37" i="9"/>
  <c r="P43" i="9"/>
  <c r="P36" i="9"/>
  <c r="P26" i="9"/>
  <c r="P15" i="9"/>
  <c r="P19" i="9"/>
  <c r="P7" i="9"/>
  <c r="P8" i="9"/>
  <c r="P5" i="9"/>
  <c r="O44" i="9"/>
  <c r="O38" i="9"/>
  <c r="O32" i="9"/>
  <c r="O21" i="9"/>
  <c r="O12" i="9"/>
  <c r="B10089" i="13" l="1"/>
  <c r="F10452" i="13"/>
  <c r="B10549" i="13"/>
  <c r="F10914" i="13"/>
  <c r="O99" i="9"/>
  <c r="P99" i="9"/>
  <c r="Q99" i="9"/>
  <c r="R99" i="9"/>
  <c r="S99" i="9"/>
  <c r="T99" i="9"/>
  <c r="U99" i="9"/>
  <c r="V99" i="9"/>
  <c r="W99" i="9"/>
  <c r="X99" i="9"/>
  <c r="Y99" i="9"/>
  <c r="O92" i="9"/>
  <c r="P92" i="9"/>
  <c r="Q92" i="9"/>
  <c r="R92" i="9"/>
  <c r="S92" i="9"/>
  <c r="T92" i="9"/>
  <c r="U92" i="9"/>
  <c r="V92" i="9"/>
  <c r="W92" i="9"/>
  <c r="X92" i="9"/>
  <c r="Y92" i="9"/>
  <c r="R64" i="9"/>
  <c r="R66" i="9" s="1"/>
  <c r="R68" i="9" s="1"/>
  <c r="V64" i="9"/>
  <c r="V66" i="9" s="1"/>
  <c r="V68" i="9" s="1"/>
  <c r="R57" i="9"/>
  <c r="V57" i="9"/>
  <c r="X57" i="9"/>
  <c r="X64" i="9" s="1"/>
  <c r="X66" i="9" s="1"/>
  <c r="X68" i="9" s="1"/>
  <c r="O52" i="9"/>
  <c r="O57" i="9" s="1"/>
  <c r="O64" i="9" s="1"/>
  <c r="O66" i="9" s="1"/>
  <c r="O68" i="9" s="1"/>
  <c r="P52" i="9"/>
  <c r="P57" i="9" s="1"/>
  <c r="P64" i="9" s="1"/>
  <c r="P66" i="9" s="1"/>
  <c r="P68" i="9" s="1"/>
  <c r="Q52" i="9"/>
  <c r="Q57" i="9" s="1"/>
  <c r="Q64" i="9" s="1"/>
  <c r="Q66" i="9" s="1"/>
  <c r="Q68" i="9" s="1"/>
  <c r="R52" i="9"/>
  <c r="S52" i="9"/>
  <c r="S57" i="9" s="1"/>
  <c r="S64" i="9" s="1"/>
  <c r="S66" i="9" s="1"/>
  <c r="S68" i="9" s="1"/>
  <c r="T52" i="9"/>
  <c r="T57" i="9" s="1"/>
  <c r="T64" i="9" s="1"/>
  <c r="T66" i="9" s="1"/>
  <c r="T68" i="9" s="1"/>
  <c r="U52" i="9"/>
  <c r="U57" i="9" s="1"/>
  <c r="U64" i="9" s="1"/>
  <c r="U66" i="9" s="1"/>
  <c r="U68" i="9" s="1"/>
  <c r="V52" i="9"/>
  <c r="W52" i="9"/>
  <c r="W57" i="9" s="1"/>
  <c r="W64" i="9" s="1"/>
  <c r="W66" i="9" s="1"/>
  <c r="W68" i="9" s="1"/>
  <c r="X52" i="9"/>
  <c r="Y52" i="9"/>
  <c r="Y57" i="9" s="1"/>
  <c r="Y64" i="9" s="1"/>
  <c r="Y66" i="9" s="1"/>
  <c r="Y68" i="9" s="1"/>
  <c r="P44" i="9"/>
  <c r="Q44" i="9"/>
  <c r="R44" i="9"/>
  <c r="S44" i="9"/>
  <c r="T44" i="9"/>
  <c r="U44" i="9"/>
  <c r="V44" i="9"/>
  <c r="W44" i="9"/>
  <c r="X44" i="9"/>
  <c r="Y44" i="9"/>
  <c r="P38" i="9"/>
  <c r="Q38" i="9"/>
  <c r="R38" i="9"/>
  <c r="S38" i="9"/>
  <c r="T38" i="9"/>
  <c r="U38" i="9"/>
  <c r="V38" i="9"/>
  <c r="W38" i="9"/>
  <c r="X38" i="9"/>
  <c r="Y38" i="9"/>
  <c r="P32" i="9"/>
  <c r="Q32" i="9"/>
  <c r="R32" i="9"/>
  <c r="R39" i="9" s="1"/>
  <c r="R46" i="9" s="1"/>
  <c r="S32" i="9"/>
  <c r="T32" i="9"/>
  <c r="U32" i="9"/>
  <c r="V32" i="9"/>
  <c r="W32" i="9"/>
  <c r="X32" i="9"/>
  <c r="Y32" i="9"/>
  <c r="Q21" i="9"/>
  <c r="R21" i="9"/>
  <c r="R22" i="9" s="1"/>
  <c r="S21" i="9"/>
  <c r="T21" i="9"/>
  <c r="U21" i="9"/>
  <c r="V21" i="9"/>
  <c r="W21" i="9"/>
  <c r="X21" i="9"/>
  <c r="Y21" i="9"/>
  <c r="P12" i="9"/>
  <c r="Q12" i="9"/>
  <c r="R12" i="9"/>
  <c r="S12" i="9"/>
  <c r="T12" i="9"/>
  <c r="U12" i="9"/>
  <c r="V12" i="9"/>
  <c r="W12" i="9"/>
  <c r="X12" i="9"/>
  <c r="Y12" i="9"/>
  <c r="B10550" i="13" l="1"/>
  <c r="F10915" i="13"/>
  <c r="B10090" i="13"/>
  <c r="F10453" i="13"/>
  <c r="Y39" i="9"/>
  <c r="Y46" i="9" s="1"/>
  <c r="Y22" i="9"/>
  <c r="V39" i="9"/>
  <c r="V46" i="9" s="1"/>
  <c r="R47" i="9"/>
  <c r="V22" i="9"/>
  <c r="X101" i="9"/>
  <c r="X22" i="9"/>
  <c r="X39" i="9"/>
  <c r="X46" i="9" s="1"/>
  <c r="W39" i="9"/>
  <c r="W46" i="9" s="1"/>
  <c r="W22" i="9"/>
  <c r="U101" i="9"/>
  <c r="U39" i="9"/>
  <c r="U46" i="9" s="1"/>
  <c r="U22" i="9"/>
  <c r="T101" i="9"/>
  <c r="T39" i="9"/>
  <c r="T46" i="9" s="1"/>
  <c r="T22" i="9"/>
  <c r="S101" i="9"/>
  <c r="Y101" i="9"/>
  <c r="S39" i="9"/>
  <c r="S46" i="9" s="1"/>
  <c r="S22" i="9"/>
  <c r="Q101" i="9"/>
  <c r="Q39" i="9"/>
  <c r="Q46" i="9" s="1"/>
  <c r="Q22" i="9"/>
  <c r="P101" i="9"/>
  <c r="P39" i="9"/>
  <c r="P46" i="9" s="1"/>
  <c r="O39" i="9"/>
  <c r="O46" i="9" s="1"/>
  <c r="W101" i="9"/>
  <c r="O101" i="9"/>
  <c r="V101" i="9"/>
  <c r="K99" i="8"/>
  <c r="K92" i="8"/>
  <c r="K52" i="8"/>
  <c r="K57" i="8" s="1"/>
  <c r="K64" i="8" s="1"/>
  <c r="K66" i="8" s="1"/>
  <c r="K68" i="8" s="1"/>
  <c r="K44" i="8"/>
  <c r="K38" i="8"/>
  <c r="K32" i="8"/>
  <c r="K21" i="8"/>
  <c r="K12" i="8"/>
  <c r="I99" i="8"/>
  <c r="I44" i="8"/>
  <c r="I38" i="8"/>
  <c r="I39" i="8" s="1"/>
  <c r="I32" i="8"/>
  <c r="I21" i="8"/>
  <c r="I12" i="8"/>
  <c r="I22" i="8" s="1"/>
  <c r="B10091" i="13" l="1"/>
  <c r="F10454" i="13"/>
  <c r="B10551" i="13"/>
  <c r="F10916" i="13"/>
  <c r="Y47" i="9"/>
  <c r="V47" i="9"/>
  <c r="X47" i="9"/>
  <c r="S47" i="9"/>
  <c r="W47" i="9"/>
  <c r="U47" i="9"/>
  <c r="T47" i="9"/>
  <c r="Q47" i="9"/>
  <c r="O22" i="9"/>
  <c r="O47" i="9" s="1"/>
  <c r="K101" i="8"/>
  <c r="K39" i="8"/>
  <c r="K46" i="8" s="1"/>
  <c r="K22" i="8"/>
  <c r="I92" i="8"/>
  <c r="I101" i="8" s="1"/>
  <c r="I52" i="8"/>
  <c r="I57" i="8" s="1"/>
  <c r="I64" i="8" s="1"/>
  <c r="I66" i="8" s="1"/>
  <c r="I68" i="8" s="1"/>
  <c r="I46" i="8"/>
  <c r="I47" i="8" s="1"/>
  <c r="B10552" i="13" l="1"/>
  <c r="F10917" i="13"/>
  <c r="B10092" i="13"/>
  <c r="F10455" i="13"/>
  <c r="P21" i="9"/>
  <c r="P22" i="9" s="1"/>
  <c r="P47" i="9" s="1"/>
  <c r="K47" i="8"/>
  <c r="Z99" i="8"/>
  <c r="Y99" i="8"/>
  <c r="X99" i="8"/>
  <c r="W99" i="8"/>
  <c r="Z92" i="8"/>
  <c r="Y92" i="8"/>
  <c r="X92" i="8"/>
  <c r="W92" i="8"/>
  <c r="Z52" i="8"/>
  <c r="Z57" i="8" s="1"/>
  <c r="Z64" i="8" s="1"/>
  <c r="Z66" i="8" s="1"/>
  <c r="Z68" i="8" s="1"/>
  <c r="Y52" i="8"/>
  <c r="Y57" i="8" s="1"/>
  <c r="Y64" i="8" s="1"/>
  <c r="Y66" i="8" s="1"/>
  <c r="Y68" i="8" s="1"/>
  <c r="X52" i="8"/>
  <c r="X57" i="8" s="1"/>
  <c r="X64" i="8" s="1"/>
  <c r="X66" i="8" s="1"/>
  <c r="X68" i="8" s="1"/>
  <c r="W52" i="8"/>
  <c r="W57" i="8" s="1"/>
  <c r="W64" i="8" s="1"/>
  <c r="W66" i="8" s="1"/>
  <c r="W68" i="8" s="1"/>
  <c r="Z44" i="8"/>
  <c r="Y44" i="8"/>
  <c r="X44" i="8"/>
  <c r="W44" i="8"/>
  <c r="Z38" i="8"/>
  <c r="Y38" i="8"/>
  <c r="X38" i="8"/>
  <c r="W38" i="8"/>
  <c r="Z32" i="8"/>
  <c r="Y32" i="8"/>
  <c r="X32" i="8"/>
  <c r="W32" i="8"/>
  <c r="Z21" i="8"/>
  <c r="Y21" i="8"/>
  <c r="X21" i="8"/>
  <c r="W21" i="8"/>
  <c r="Z12" i="8"/>
  <c r="Y12" i="8"/>
  <c r="X12" i="8"/>
  <c r="W12" i="8"/>
  <c r="U99" i="8"/>
  <c r="T99" i="8"/>
  <c r="S99" i="8"/>
  <c r="U92" i="8"/>
  <c r="T92" i="8"/>
  <c r="S92" i="8"/>
  <c r="U52" i="8"/>
  <c r="U57" i="8" s="1"/>
  <c r="U64" i="8" s="1"/>
  <c r="U66" i="8" s="1"/>
  <c r="U68" i="8" s="1"/>
  <c r="T52" i="8"/>
  <c r="T57" i="8" s="1"/>
  <c r="T64" i="8" s="1"/>
  <c r="T66" i="8" s="1"/>
  <c r="T68" i="8" s="1"/>
  <c r="S52" i="8"/>
  <c r="S57" i="8" s="1"/>
  <c r="S64" i="8" s="1"/>
  <c r="S66" i="8" s="1"/>
  <c r="S68" i="8" s="1"/>
  <c r="U44" i="8"/>
  <c r="T44" i="8"/>
  <c r="S44" i="8"/>
  <c r="U38" i="8"/>
  <c r="T38" i="8"/>
  <c r="S38" i="8"/>
  <c r="U32" i="8"/>
  <c r="T32" i="8"/>
  <c r="S32" i="8"/>
  <c r="U21" i="8"/>
  <c r="T21" i="8"/>
  <c r="S21" i="8"/>
  <c r="U12" i="8"/>
  <c r="T12" i="8"/>
  <c r="S12" i="8"/>
  <c r="Q99" i="8"/>
  <c r="P99" i="8"/>
  <c r="O99" i="8"/>
  <c r="Q92" i="8"/>
  <c r="P92" i="8"/>
  <c r="P101" i="8" s="1"/>
  <c r="O92" i="8"/>
  <c r="Q52" i="8"/>
  <c r="Q57" i="8" s="1"/>
  <c r="Q64" i="8" s="1"/>
  <c r="Q66" i="8" s="1"/>
  <c r="Q68" i="8" s="1"/>
  <c r="P52" i="8"/>
  <c r="P57" i="8" s="1"/>
  <c r="P64" i="8" s="1"/>
  <c r="P66" i="8" s="1"/>
  <c r="P68" i="8" s="1"/>
  <c r="O52" i="8"/>
  <c r="O57" i="8" s="1"/>
  <c r="O64" i="8" s="1"/>
  <c r="O66" i="8" s="1"/>
  <c r="O68" i="8" s="1"/>
  <c r="Q44" i="8"/>
  <c r="P44" i="8"/>
  <c r="O44" i="8"/>
  <c r="Q38" i="8"/>
  <c r="P38" i="8"/>
  <c r="O38" i="8"/>
  <c r="Q32" i="8"/>
  <c r="P32" i="8"/>
  <c r="O32" i="8"/>
  <c r="Q21" i="8"/>
  <c r="P21" i="8"/>
  <c r="O21" i="8"/>
  <c r="O22" i="8" s="1"/>
  <c r="Q12" i="8"/>
  <c r="P12" i="8"/>
  <c r="O12" i="8"/>
  <c r="M99" i="8"/>
  <c r="L99" i="8"/>
  <c r="M92" i="8"/>
  <c r="L92" i="8"/>
  <c r="M52" i="8"/>
  <c r="M57" i="8" s="1"/>
  <c r="M64" i="8" s="1"/>
  <c r="M66" i="8" s="1"/>
  <c r="M68" i="8" s="1"/>
  <c r="L52" i="8"/>
  <c r="L57" i="8" s="1"/>
  <c r="L64" i="8" s="1"/>
  <c r="L66" i="8" s="1"/>
  <c r="L68" i="8" s="1"/>
  <c r="M44" i="8"/>
  <c r="L44" i="8"/>
  <c r="M38" i="8"/>
  <c r="L38" i="8"/>
  <c r="M32" i="8"/>
  <c r="L32" i="8"/>
  <c r="M21" i="8"/>
  <c r="L21" i="8"/>
  <c r="M12" i="8"/>
  <c r="L12" i="8"/>
  <c r="G12" i="8"/>
  <c r="H12" i="8"/>
  <c r="G21" i="8"/>
  <c r="H21" i="8"/>
  <c r="G32" i="8"/>
  <c r="H32" i="8"/>
  <c r="G38" i="8"/>
  <c r="G39" i="8" s="1"/>
  <c r="H38" i="8"/>
  <c r="G44" i="8"/>
  <c r="H44" i="8"/>
  <c r="G52" i="8"/>
  <c r="G57" i="8" s="1"/>
  <c r="G64" i="8" s="1"/>
  <c r="G66" i="8" s="1"/>
  <c r="G68" i="8" s="1"/>
  <c r="H52" i="8"/>
  <c r="H57" i="8" s="1"/>
  <c r="H64" i="8" s="1"/>
  <c r="H66" i="8" s="1"/>
  <c r="H68" i="8" s="1"/>
  <c r="G92" i="8"/>
  <c r="G101" i="8" s="1"/>
  <c r="H92" i="8"/>
  <c r="G99" i="8"/>
  <c r="H99" i="8"/>
  <c r="B10093" i="13" l="1"/>
  <c r="F10456" i="13"/>
  <c r="B10553" i="13"/>
  <c r="F10918" i="13"/>
  <c r="Z101" i="8"/>
  <c r="Z39" i="8"/>
  <c r="Z46" i="8" s="1"/>
  <c r="Z22" i="8"/>
  <c r="Y101" i="8"/>
  <c r="Y39" i="8"/>
  <c r="Y46" i="8" s="1"/>
  <c r="Y22" i="8"/>
  <c r="X101" i="8"/>
  <c r="X39" i="8"/>
  <c r="X46" i="8" s="1"/>
  <c r="X22" i="8"/>
  <c r="W101" i="8"/>
  <c r="W39" i="8"/>
  <c r="W46" i="8" s="1"/>
  <c r="W22" i="8"/>
  <c r="U101" i="8"/>
  <c r="U39" i="8"/>
  <c r="U46" i="8" s="1"/>
  <c r="U22" i="8"/>
  <c r="T101" i="8"/>
  <c r="T39" i="8"/>
  <c r="T46" i="8"/>
  <c r="T22" i="8"/>
  <c r="S101" i="8"/>
  <c r="S39" i="8"/>
  <c r="S46" i="8" s="1"/>
  <c r="S22" i="8"/>
  <c r="Q101" i="8"/>
  <c r="Q39" i="8"/>
  <c r="Q46" i="8" s="1"/>
  <c r="Q22" i="8"/>
  <c r="P39" i="8"/>
  <c r="P46" i="8" s="1"/>
  <c r="P47" i="8" s="1"/>
  <c r="P22" i="8"/>
  <c r="O101" i="8"/>
  <c r="O39" i="8"/>
  <c r="O46" i="8" s="1"/>
  <c r="O47" i="8" s="1"/>
  <c r="M101" i="8"/>
  <c r="M39" i="8"/>
  <c r="M46" i="8" s="1"/>
  <c r="M22" i="8"/>
  <c r="L101" i="8"/>
  <c r="L39" i="8"/>
  <c r="L46" i="8" s="1"/>
  <c r="L22" i="8"/>
  <c r="H101" i="8"/>
  <c r="H39" i="8"/>
  <c r="H46" i="8" s="1"/>
  <c r="H22" i="8"/>
  <c r="G46" i="8"/>
  <c r="G22" i="8"/>
  <c r="G47" i="8" s="1"/>
  <c r="B10554" i="13" l="1"/>
  <c r="F10919" i="13"/>
  <c r="B10094" i="13"/>
  <c r="F10457" i="13"/>
  <c r="Z47" i="8"/>
  <c r="Y47" i="8"/>
  <c r="X47" i="8"/>
  <c r="W47" i="8"/>
  <c r="U47" i="8"/>
  <c r="T47" i="8"/>
  <c r="S47" i="8"/>
  <c r="Q47" i="8"/>
  <c r="M47" i="8"/>
  <c r="L47" i="8"/>
  <c r="H47" i="8"/>
  <c r="G83" i="7"/>
  <c r="G75" i="12" s="1"/>
  <c r="G77" i="12" s="1"/>
  <c r="B10095" i="13" l="1"/>
  <c r="F10458" i="13"/>
  <c r="B10555" i="13"/>
  <c r="F10920" i="13"/>
  <c r="Z99" i="7"/>
  <c r="Z88" i="12" s="1"/>
  <c r="Z89" i="12" s="1"/>
  <c r="Y99" i="7"/>
  <c r="Y88" i="12" s="1"/>
  <c r="Y89" i="12" s="1"/>
  <c r="X99" i="7"/>
  <c r="X88" i="12" s="1"/>
  <c r="X89" i="12" s="1"/>
  <c r="W99" i="7"/>
  <c r="W88" i="12" s="1"/>
  <c r="W89" i="12" s="1"/>
  <c r="V99" i="7"/>
  <c r="U99" i="7"/>
  <c r="U88" i="12" s="1"/>
  <c r="T99" i="7"/>
  <c r="T88" i="12" s="1"/>
  <c r="S99" i="7"/>
  <c r="S88" i="12" s="1"/>
  <c r="R99" i="7"/>
  <c r="Q99" i="7"/>
  <c r="Q88" i="12" s="1"/>
  <c r="P99" i="7"/>
  <c r="P88" i="12" s="1"/>
  <c r="O99" i="7"/>
  <c r="O88" i="12" s="1"/>
  <c r="N99" i="7"/>
  <c r="M99" i="7"/>
  <c r="M88" i="12" s="1"/>
  <c r="M89" i="12" s="1"/>
  <c r="L99" i="7"/>
  <c r="L88" i="12" s="1"/>
  <c r="L89" i="12" s="1"/>
  <c r="K99" i="7"/>
  <c r="K88" i="12" s="1"/>
  <c r="J99" i="7"/>
  <c r="I99" i="7"/>
  <c r="I88" i="12" s="1"/>
  <c r="H99" i="7"/>
  <c r="H88" i="12" s="1"/>
  <c r="G99" i="7"/>
  <c r="G88" i="12" s="1"/>
  <c r="Z92" i="7"/>
  <c r="Z87" i="12" s="1"/>
  <c r="Z52" i="7"/>
  <c r="Z57" i="7" s="1"/>
  <c r="Z64" i="7" s="1"/>
  <c r="Z66" i="7" s="1"/>
  <c r="Z68" i="7" s="1"/>
  <c r="Z44" i="7"/>
  <c r="Z38" i="7"/>
  <c r="Z32" i="7"/>
  <c r="Z21" i="7"/>
  <c r="Z12" i="7"/>
  <c r="X12" i="7"/>
  <c r="Y12" i="7"/>
  <c r="X21" i="7"/>
  <c r="Y21" i="7"/>
  <c r="X32" i="7"/>
  <c r="Y32" i="7"/>
  <c r="X38" i="7"/>
  <c r="Y38" i="7"/>
  <c r="X44" i="7"/>
  <c r="Y44" i="7"/>
  <c r="X52" i="7"/>
  <c r="X57" i="7" s="1"/>
  <c r="X64" i="7" s="1"/>
  <c r="X66" i="7" s="1"/>
  <c r="X68" i="7" s="1"/>
  <c r="Y52" i="7"/>
  <c r="Y57" i="7" s="1"/>
  <c r="Y64" i="7" s="1"/>
  <c r="Y66" i="7" s="1"/>
  <c r="Y68" i="7" s="1"/>
  <c r="G92" i="7"/>
  <c r="G87" i="12" s="1"/>
  <c r="H92" i="7"/>
  <c r="H87" i="12" s="1"/>
  <c r="I92" i="7"/>
  <c r="I87" i="12" s="1"/>
  <c r="K92" i="7"/>
  <c r="L92" i="7"/>
  <c r="L87" i="12" s="1"/>
  <c r="M92" i="7"/>
  <c r="M87" i="12" s="1"/>
  <c r="O92" i="7"/>
  <c r="O87" i="12" s="1"/>
  <c r="O89" i="12" s="1"/>
  <c r="P92" i="7"/>
  <c r="P87" i="12" s="1"/>
  <c r="P89" i="12" s="1"/>
  <c r="Q92" i="7"/>
  <c r="Q87" i="12" s="1"/>
  <c r="Q89" i="12" s="1"/>
  <c r="S92" i="7"/>
  <c r="S87" i="12" s="1"/>
  <c r="S89" i="12" s="1"/>
  <c r="T92" i="7"/>
  <c r="T87" i="12" s="1"/>
  <c r="T89" i="12" s="1"/>
  <c r="U92" i="7"/>
  <c r="U87" i="12" s="1"/>
  <c r="U89" i="12" s="1"/>
  <c r="W92" i="7"/>
  <c r="W87" i="12" s="1"/>
  <c r="X92" i="7"/>
  <c r="X87" i="12" s="1"/>
  <c r="Y92" i="7"/>
  <c r="Y87" i="12" s="1"/>
  <c r="V57" i="7"/>
  <c r="V64" i="7" s="1"/>
  <c r="V66" i="7" s="1"/>
  <c r="V68" i="7" s="1"/>
  <c r="G52" i="7"/>
  <c r="G57" i="7" s="1"/>
  <c r="G64" i="7" s="1"/>
  <c r="G66" i="7" s="1"/>
  <c r="G68" i="7" s="1"/>
  <c r="H52" i="7"/>
  <c r="H57" i="7" s="1"/>
  <c r="H64" i="7" s="1"/>
  <c r="H66" i="7" s="1"/>
  <c r="H68" i="7" s="1"/>
  <c r="I52" i="7"/>
  <c r="I57" i="7" s="1"/>
  <c r="I64" i="7" s="1"/>
  <c r="I66" i="7" s="1"/>
  <c r="I68" i="7" s="1"/>
  <c r="J52" i="7"/>
  <c r="J57" i="7" s="1"/>
  <c r="J64" i="7" s="1"/>
  <c r="J66" i="7" s="1"/>
  <c r="J68" i="7" s="1"/>
  <c r="K52" i="7"/>
  <c r="K57" i="7" s="1"/>
  <c r="K64" i="7" s="1"/>
  <c r="K66" i="7" s="1"/>
  <c r="K68" i="7" s="1"/>
  <c r="L52" i="7"/>
  <c r="L57" i="7" s="1"/>
  <c r="L64" i="7" s="1"/>
  <c r="L66" i="7" s="1"/>
  <c r="L68" i="7" s="1"/>
  <c r="M52" i="7"/>
  <c r="M57" i="7" s="1"/>
  <c r="M64" i="7" s="1"/>
  <c r="M66" i="7" s="1"/>
  <c r="M68" i="7" s="1"/>
  <c r="N52" i="7"/>
  <c r="N57" i="7" s="1"/>
  <c r="N64" i="7" s="1"/>
  <c r="N66" i="7" s="1"/>
  <c r="N68" i="7" s="1"/>
  <c r="O52" i="7"/>
  <c r="O57" i="7" s="1"/>
  <c r="O64" i="7" s="1"/>
  <c r="O66" i="7" s="1"/>
  <c r="O68" i="7" s="1"/>
  <c r="P52" i="7"/>
  <c r="P57" i="7" s="1"/>
  <c r="P64" i="7" s="1"/>
  <c r="P66" i="7" s="1"/>
  <c r="P68" i="7" s="1"/>
  <c r="Q52" i="7"/>
  <c r="Q57" i="7" s="1"/>
  <c r="Q64" i="7" s="1"/>
  <c r="Q66" i="7" s="1"/>
  <c r="Q68" i="7" s="1"/>
  <c r="R52" i="7"/>
  <c r="R57" i="7" s="1"/>
  <c r="R64" i="7" s="1"/>
  <c r="R66" i="7" s="1"/>
  <c r="R68" i="7" s="1"/>
  <c r="S52" i="7"/>
  <c r="S57" i="7" s="1"/>
  <c r="S64" i="7" s="1"/>
  <c r="S66" i="7" s="1"/>
  <c r="S68" i="7" s="1"/>
  <c r="T52" i="7"/>
  <c r="T57" i="7" s="1"/>
  <c r="T64" i="7" s="1"/>
  <c r="T66" i="7" s="1"/>
  <c r="T68" i="7" s="1"/>
  <c r="U52" i="7"/>
  <c r="U57" i="7" s="1"/>
  <c r="U64" i="7" s="1"/>
  <c r="U66" i="7" s="1"/>
  <c r="U68" i="7" s="1"/>
  <c r="V52" i="7"/>
  <c r="W52" i="7"/>
  <c r="W57" i="7" s="1"/>
  <c r="W64" i="7" s="1"/>
  <c r="W66" i="7" s="1"/>
  <c r="W68" i="7" s="1"/>
  <c r="G44" i="7"/>
  <c r="H44" i="7"/>
  <c r="I44" i="7"/>
  <c r="J44" i="7"/>
  <c r="K44" i="7"/>
  <c r="L44" i="7"/>
  <c r="M44" i="7"/>
  <c r="N44" i="7"/>
  <c r="N46" i="7" s="1"/>
  <c r="O44" i="7"/>
  <c r="P44" i="7"/>
  <c r="Q44" i="7"/>
  <c r="R44" i="7"/>
  <c r="S44" i="7"/>
  <c r="T44" i="7"/>
  <c r="U44" i="7"/>
  <c r="V44" i="7"/>
  <c r="W44" i="7"/>
  <c r="G38" i="7"/>
  <c r="H38" i="7"/>
  <c r="I38" i="7"/>
  <c r="J38" i="7"/>
  <c r="K38" i="7"/>
  <c r="L38" i="7"/>
  <c r="M38" i="7"/>
  <c r="N38" i="7"/>
  <c r="N39" i="7" s="1"/>
  <c r="O38" i="7"/>
  <c r="P38" i="7"/>
  <c r="Q38" i="7"/>
  <c r="R38" i="7"/>
  <c r="R39" i="7" s="1"/>
  <c r="R46" i="7" s="1"/>
  <c r="R47" i="7" s="1"/>
  <c r="S38" i="7"/>
  <c r="T38" i="7"/>
  <c r="U38" i="7"/>
  <c r="V38" i="7"/>
  <c r="V39" i="7" s="1"/>
  <c r="W38" i="7"/>
  <c r="G32" i="7"/>
  <c r="H32" i="7"/>
  <c r="I32" i="7"/>
  <c r="J32" i="7"/>
  <c r="J39" i="7" s="1"/>
  <c r="J46" i="7" s="1"/>
  <c r="K32" i="7"/>
  <c r="L32" i="7"/>
  <c r="M32" i="7"/>
  <c r="N32" i="7"/>
  <c r="O32" i="7"/>
  <c r="P32" i="7"/>
  <c r="Q32" i="7"/>
  <c r="R32" i="7"/>
  <c r="S32" i="7"/>
  <c r="T32" i="7"/>
  <c r="U32" i="7"/>
  <c r="V32" i="7"/>
  <c r="W32" i="7"/>
  <c r="G21" i="7"/>
  <c r="H21" i="7"/>
  <c r="I21" i="7"/>
  <c r="K21" i="7"/>
  <c r="L21" i="7"/>
  <c r="M21" i="7"/>
  <c r="N21" i="7"/>
  <c r="N22" i="7" s="1"/>
  <c r="O21" i="7"/>
  <c r="P21" i="7"/>
  <c r="Q21" i="7"/>
  <c r="R21" i="7"/>
  <c r="R22" i="7" s="1"/>
  <c r="S21" i="7"/>
  <c r="T21" i="7"/>
  <c r="U21" i="7"/>
  <c r="V21" i="7"/>
  <c r="W21" i="7"/>
  <c r="G12" i="7"/>
  <c r="H12" i="7"/>
  <c r="I12" i="7"/>
  <c r="J12" i="7"/>
  <c r="K12" i="7"/>
  <c r="L12" i="7"/>
  <c r="M12" i="7"/>
  <c r="N12" i="7"/>
  <c r="O12" i="7"/>
  <c r="P12" i="7"/>
  <c r="Q12" i="7"/>
  <c r="R12" i="7"/>
  <c r="S12" i="7"/>
  <c r="T12" i="7"/>
  <c r="U12" i="7"/>
  <c r="V12" i="7"/>
  <c r="V22" i="7" s="1"/>
  <c r="W12" i="7"/>
  <c r="W83" i="6"/>
  <c r="B10556" i="13" l="1"/>
  <c r="F10921" i="13"/>
  <c r="B10096" i="13"/>
  <c r="F10459" i="13"/>
  <c r="I89" i="12"/>
  <c r="V46" i="7"/>
  <c r="V47" i="7" s="1"/>
  <c r="N47" i="7"/>
  <c r="K101" i="7"/>
  <c r="K87" i="12"/>
  <c r="K89" i="12" s="1"/>
  <c r="G89" i="12"/>
  <c r="H89" i="12"/>
  <c r="B10139" i="13"/>
  <c r="F10503" i="13" s="1"/>
  <c r="Y101" i="7"/>
  <c r="X101" i="7"/>
  <c r="Y22" i="7"/>
  <c r="X39" i="7"/>
  <c r="W101" i="7"/>
  <c r="W39" i="7"/>
  <c r="W46" i="7" s="1"/>
  <c r="W22" i="7"/>
  <c r="T101" i="7"/>
  <c r="Q101" i="7"/>
  <c r="Q39" i="7"/>
  <c r="Q46" i="7" s="1"/>
  <c r="O39" i="7"/>
  <c r="M101" i="7"/>
  <c r="L22" i="7"/>
  <c r="I101" i="7"/>
  <c r="I39" i="7"/>
  <c r="H101" i="7"/>
  <c r="P101" i="7"/>
  <c r="O101" i="7"/>
  <c r="L101" i="7"/>
  <c r="U101" i="7"/>
  <c r="S101" i="7"/>
  <c r="Z101" i="7"/>
  <c r="O46" i="7"/>
  <c r="M39" i="7"/>
  <c r="M46" i="7" s="1"/>
  <c r="L39" i="7"/>
  <c r="L46" i="7" s="1"/>
  <c r="K39" i="7"/>
  <c r="K46" i="7" s="1"/>
  <c r="P39" i="7"/>
  <c r="P46" i="7" s="1"/>
  <c r="U39" i="7"/>
  <c r="U46" i="7" s="1"/>
  <c r="T39" i="7"/>
  <c r="T46" i="7" s="1"/>
  <c r="S39" i="7"/>
  <c r="S46" i="7" s="1"/>
  <c r="Z39" i="7"/>
  <c r="Z46" i="7" s="1"/>
  <c r="Y39" i="7"/>
  <c r="Y46" i="7" s="1"/>
  <c r="X46" i="7"/>
  <c r="G101" i="7"/>
  <c r="H39" i="7"/>
  <c r="H46" i="7" s="1"/>
  <c r="I46" i="7"/>
  <c r="M22" i="7"/>
  <c r="K22" i="7"/>
  <c r="O22" i="7"/>
  <c r="U22" i="7"/>
  <c r="S22" i="7"/>
  <c r="T22" i="7"/>
  <c r="Z22" i="7"/>
  <c r="X22" i="7"/>
  <c r="Q22" i="7"/>
  <c r="P22" i="7"/>
  <c r="H22" i="7"/>
  <c r="I22" i="7"/>
  <c r="G39" i="7"/>
  <c r="G46" i="7" s="1"/>
  <c r="G22" i="7"/>
  <c r="K83" i="6"/>
  <c r="B10097" i="13" l="1"/>
  <c r="F10460" i="13"/>
  <c r="B10557" i="13"/>
  <c r="F10922" i="13"/>
  <c r="W47" i="7"/>
  <c r="B10140" i="13"/>
  <c r="F10504" i="13" s="1"/>
  <c r="Y47" i="7"/>
  <c r="X47" i="7"/>
  <c r="S47" i="7"/>
  <c r="Q47" i="7"/>
  <c r="P47" i="7"/>
  <c r="M47" i="7"/>
  <c r="L47" i="7"/>
  <c r="K47" i="7"/>
  <c r="I47" i="7"/>
  <c r="Z47" i="7"/>
  <c r="O47" i="7"/>
  <c r="U47" i="7"/>
  <c r="T47" i="7"/>
  <c r="H47" i="7"/>
  <c r="G47" i="7"/>
  <c r="G52" i="6"/>
  <c r="G21" i="6"/>
  <c r="R101" i="6"/>
  <c r="J101" i="6"/>
  <c r="Z99" i="6"/>
  <c r="Y99" i="6"/>
  <c r="X99" i="6"/>
  <c r="W99" i="6"/>
  <c r="V99" i="6"/>
  <c r="V101" i="6" s="1"/>
  <c r="U99" i="6"/>
  <c r="T99" i="6"/>
  <c r="S99" i="6"/>
  <c r="R99" i="6"/>
  <c r="Q99" i="6"/>
  <c r="P99" i="6"/>
  <c r="O99" i="6"/>
  <c r="N99" i="6"/>
  <c r="N101" i="6" s="1"/>
  <c r="M99" i="6"/>
  <c r="L99" i="6"/>
  <c r="K99" i="6"/>
  <c r="J99" i="6"/>
  <c r="I99" i="6"/>
  <c r="H99" i="6"/>
  <c r="G99" i="6"/>
  <c r="H92" i="6"/>
  <c r="I92" i="6"/>
  <c r="J92" i="6"/>
  <c r="K92" i="6"/>
  <c r="L92" i="6"/>
  <c r="M92" i="6"/>
  <c r="N92" i="6"/>
  <c r="O92" i="6"/>
  <c r="P92" i="6"/>
  <c r="Q92" i="6"/>
  <c r="R92" i="6"/>
  <c r="S92" i="6"/>
  <c r="T92" i="6"/>
  <c r="U92" i="6"/>
  <c r="V92" i="6"/>
  <c r="W92" i="6"/>
  <c r="X92" i="6"/>
  <c r="Y92" i="6"/>
  <c r="Z92" i="6"/>
  <c r="J68" i="6"/>
  <c r="N68" i="6"/>
  <c r="R68" i="6"/>
  <c r="V68" i="6"/>
  <c r="J66" i="6"/>
  <c r="N66" i="6"/>
  <c r="R66" i="6"/>
  <c r="V66" i="6"/>
  <c r="J64" i="6"/>
  <c r="N64" i="6"/>
  <c r="R64" i="6"/>
  <c r="V64" i="6"/>
  <c r="J57" i="6"/>
  <c r="N57" i="6"/>
  <c r="R57" i="6"/>
  <c r="V57" i="6"/>
  <c r="H52" i="6"/>
  <c r="H57" i="6" s="1"/>
  <c r="H64" i="6" s="1"/>
  <c r="H66" i="6" s="1"/>
  <c r="H68" i="6" s="1"/>
  <c r="I52" i="6"/>
  <c r="I57" i="6" s="1"/>
  <c r="I64" i="6" s="1"/>
  <c r="I66" i="6" s="1"/>
  <c r="I68" i="6" s="1"/>
  <c r="J52" i="6"/>
  <c r="K52" i="6"/>
  <c r="K57" i="6" s="1"/>
  <c r="K64" i="6" s="1"/>
  <c r="K66" i="6" s="1"/>
  <c r="K68" i="6" s="1"/>
  <c r="L52" i="6"/>
  <c r="L57" i="6" s="1"/>
  <c r="L64" i="6" s="1"/>
  <c r="L66" i="6" s="1"/>
  <c r="L68" i="6" s="1"/>
  <c r="M52" i="6"/>
  <c r="M57" i="6" s="1"/>
  <c r="M64" i="6" s="1"/>
  <c r="M66" i="6" s="1"/>
  <c r="M68" i="6" s="1"/>
  <c r="N52" i="6"/>
  <c r="O52" i="6"/>
  <c r="O57" i="6" s="1"/>
  <c r="O64" i="6" s="1"/>
  <c r="O66" i="6" s="1"/>
  <c r="O68" i="6" s="1"/>
  <c r="P52" i="6"/>
  <c r="P57" i="6" s="1"/>
  <c r="P64" i="6" s="1"/>
  <c r="P66" i="6" s="1"/>
  <c r="P68" i="6" s="1"/>
  <c r="Q52" i="6"/>
  <c r="Q57" i="6" s="1"/>
  <c r="Q64" i="6" s="1"/>
  <c r="Q66" i="6" s="1"/>
  <c r="Q68" i="6" s="1"/>
  <c r="R52" i="6"/>
  <c r="S52" i="6"/>
  <c r="S57" i="6" s="1"/>
  <c r="S64" i="6" s="1"/>
  <c r="S66" i="6" s="1"/>
  <c r="S68" i="6" s="1"/>
  <c r="T52" i="6"/>
  <c r="T57" i="6" s="1"/>
  <c r="T64" i="6" s="1"/>
  <c r="T66" i="6" s="1"/>
  <c r="T68" i="6" s="1"/>
  <c r="U52" i="6"/>
  <c r="U57" i="6" s="1"/>
  <c r="U64" i="6" s="1"/>
  <c r="U66" i="6" s="1"/>
  <c r="U68" i="6" s="1"/>
  <c r="V52" i="6"/>
  <c r="W52" i="6"/>
  <c r="W57" i="6" s="1"/>
  <c r="W64" i="6" s="1"/>
  <c r="W66" i="6" s="1"/>
  <c r="W68" i="6" s="1"/>
  <c r="X52" i="6"/>
  <c r="X57" i="6" s="1"/>
  <c r="X64" i="6" s="1"/>
  <c r="X66" i="6" s="1"/>
  <c r="X68" i="6" s="1"/>
  <c r="Y52" i="6"/>
  <c r="Y57" i="6" s="1"/>
  <c r="Y64" i="6" s="1"/>
  <c r="Y66" i="6" s="1"/>
  <c r="Y68" i="6" s="1"/>
  <c r="Z52" i="6"/>
  <c r="Z57" i="6" s="1"/>
  <c r="Z64" i="6" s="1"/>
  <c r="Z66" i="6" s="1"/>
  <c r="Z68" i="6" s="1"/>
  <c r="H44" i="6"/>
  <c r="I44" i="6"/>
  <c r="J44" i="6"/>
  <c r="K44" i="6"/>
  <c r="L44" i="6"/>
  <c r="M44" i="6"/>
  <c r="N44" i="6"/>
  <c r="N46" i="6" s="1"/>
  <c r="O44" i="6"/>
  <c r="P44" i="6"/>
  <c r="Q44" i="6"/>
  <c r="R44" i="6"/>
  <c r="S44" i="6"/>
  <c r="T44" i="6"/>
  <c r="U44" i="6"/>
  <c r="V44" i="6"/>
  <c r="V46" i="6" s="1"/>
  <c r="W44" i="6"/>
  <c r="X44" i="6"/>
  <c r="Y44" i="6"/>
  <c r="Z44" i="6"/>
  <c r="J46" i="6"/>
  <c r="R46" i="6"/>
  <c r="H38" i="6"/>
  <c r="I38" i="6"/>
  <c r="J38" i="6"/>
  <c r="K38" i="6"/>
  <c r="L38" i="6"/>
  <c r="M38" i="6"/>
  <c r="N38" i="6"/>
  <c r="O38" i="6"/>
  <c r="P38" i="6"/>
  <c r="Q38" i="6"/>
  <c r="R38" i="6"/>
  <c r="S38" i="6"/>
  <c r="T38" i="6"/>
  <c r="U38" i="6"/>
  <c r="V38" i="6"/>
  <c r="W38" i="6"/>
  <c r="X38" i="6"/>
  <c r="Y38" i="6"/>
  <c r="Z38" i="6"/>
  <c r="J39" i="6"/>
  <c r="N39" i="6"/>
  <c r="R39" i="6"/>
  <c r="V39" i="6"/>
  <c r="H32" i="6"/>
  <c r="I32" i="6"/>
  <c r="J32" i="6"/>
  <c r="K32" i="6"/>
  <c r="L32" i="6"/>
  <c r="M32" i="6"/>
  <c r="N32" i="6"/>
  <c r="O32" i="6"/>
  <c r="P32" i="6"/>
  <c r="Q32" i="6"/>
  <c r="R32" i="6"/>
  <c r="S32" i="6"/>
  <c r="T32" i="6"/>
  <c r="U32" i="6"/>
  <c r="V32" i="6"/>
  <c r="W32" i="6"/>
  <c r="X32" i="6"/>
  <c r="Y32" i="6"/>
  <c r="Z32" i="6"/>
  <c r="H21" i="6"/>
  <c r="I21" i="6"/>
  <c r="J21" i="6"/>
  <c r="K21" i="6"/>
  <c r="L21" i="6"/>
  <c r="M21" i="6"/>
  <c r="N21" i="6"/>
  <c r="O21" i="6"/>
  <c r="P21" i="6"/>
  <c r="Q21" i="6"/>
  <c r="R21" i="6"/>
  <c r="S21" i="6"/>
  <c r="T21" i="6"/>
  <c r="U21" i="6"/>
  <c r="V21" i="6"/>
  <c r="W21" i="6"/>
  <c r="X21" i="6"/>
  <c r="Y21" i="6"/>
  <c r="Z21" i="6"/>
  <c r="G12" i="6"/>
  <c r="H12" i="6"/>
  <c r="I12" i="6"/>
  <c r="I22" i="6" s="1"/>
  <c r="J12" i="6"/>
  <c r="J22" i="6" s="1"/>
  <c r="K12" i="6"/>
  <c r="L12" i="6"/>
  <c r="M12" i="6"/>
  <c r="N12" i="6"/>
  <c r="O12" i="6"/>
  <c r="P12" i="6"/>
  <c r="Q12" i="6"/>
  <c r="R12" i="6"/>
  <c r="R22" i="6" s="1"/>
  <c r="S12" i="6"/>
  <c r="T12" i="6"/>
  <c r="U12" i="6"/>
  <c r="V12" i="6"/>
  <c r="W12" i="6"/>
  <c r="X12" i="6"/>
  <c r="Y12" i="6"/>
  <c r="Z12" i="6"/>
  <c r="B10558" i="13" l="1"/>
  <c r="F10923" i="13"/>
  <c r="B10098" i="13"/>
  <c r="F10461" i="13"/>
  <c r="B10141" i="13"/>
  <c r="F10505" i="13" s="1"/>
  <c r="Z39" i="6"/>
  <c r="Z46" i="6" s="1"/>
  <c r="Z47" i="6" s="1"/>
  <c r="Z22" i="6"/>
  <c r="Y22" i="6"/>
  <c r="X101" i="6"/>
  <c r="U39" i="6"/>
  <c r="U22" i="6"/>
  <c r="T101" i="6"/>
  <c r="T39" i="6"/>
  <c r="S101" i="6"/>
  <c r="P101" i="6"/>
  <c r="P22" i="6"/>
  <c r="V47" i="6"/>
  <c r="V22" i="6"/>
  <c r="N22" i="6"/>
  <c r="N47" i="6" s="1"/>
  <c r="R47" i="6"/>
  <c r="J47" i="6"/>
  <c r="M101" i="6"/>
  <c r="M39" i="6"/>
  <c r="M46" i="6" s="1"/>
  <c r="L39" i="6"/>
  <c r="L46" i="6" s="1"/>
  <c r="H101" i="6"/>
  <c r="G92" i="6"/>
  <c r="G101" i="6" s="1"/>
  <c r="G57" i="6"/>
  <c r="G64" i="6" s="1"/>
  <c r="G66" i="6" s="1"/>
  <c r="G68" i="6" s="1"/>
  <c r="G44" i="6"/>
  <c r="G38" i="6"/>
  <c r="G39" i="6" s="1"/>
  <c r="G46" i="6" s="1"/>
  <c r="G32" i="6"/>
  <c r="X22" i="6"/>
  <c r="W22" i="6"/>
  <c r="S22" i="6"/>
  <c r="T22" i="6"/>
  <c r="Q22" i="6"/>
  <c r="O22" i="6"/>
  <c r="K22" i="6"/>
  <c r="L22" i="6"/>
  <c r="M22" i="6"/>
  <c r="G22" i="6"/>
  <c r="H22" i="6"/>
  <c r="I39" i="6"/>
  <c r="I46" i="6" s="1"/>
  <c r="I47" i="6" s="1"/>
  <c r="H39" i="6"/>
  <c r="H46" i="6" s="1"/>
  <c r="K39" i="6"/>
  <c r="K46" i="6" s="1"/>
  <c r="Q39" i="6"/>
  <c r="Q46" i="6" s="1"/>
  <c r="P39" i="6"/>
  <c r="P46" i="6" s="1"/>
  <c r="O39" i="6"/>
  <c r="O46" i="6" s="1"/>
  <c r="S39" i="6"/>
  <c r="S46" i="6" s="1"/>
  <c r="Y39" i="6"/>
  <c r="Y46" i="6" s="1"/>
  <c r="Y47" i="6" s="1"/>
  <c r="W39" i="6"/>
  <c r="W46" i="6" s="1"/>
  <c r="X39" i="6"/>
  <c r="X46" i="6" s="1"/>
  <c r="T46" i="6"/>
  <c r="U46" i="6"/>
  <c r="I101" i="6"/>
  <c r="K101" i="6"/>
  <c r="L101" i="6"/>
  <c r="Q101" i="6"/>
  <c r="O101" i="6"/>
  <c r="U101" i="6"/>
  <c r="Y101" i="6"/>
  <c r="Z101" i="6"/>
  <c r="W101" i="6"/>
  <c r="B10099" i="13" l="1"/>
  <c r="F10462" i="13"/>
  <c r="B10559" i="13"/>
  <c r="F10924" i="13"/>
  <c r="B10142" i="13"/>
  <c r="F10506" i="13" s="1"/>
  <c r="U47" i="6"/>
  <c r="T47" i="6"/>
  <c r="P47" i="6"/>
  <c r="W47" i="6"/>
  <c r="X47" i="6"/>
  <c r="O47" i="6"/>
  <c r="L47" i="6"/>
  <c r="K47" i="6"/>
  <c r="H47" i="6"/>
  <c r="S47" i="6"/>
  <c r="Q47" i="6"/>
  <c r="M47" i="6"/>
  <c r="G47" i="6"/>
  <c r="B10560" i="13" l="1"/>
  <c r="B10561" i="13" s="1"/>
  <c r="B10562" i="13" s="1"/>
  <c r="B10563" i="13" s="1"/>
  <c r="F10925" i="13"/>
  <c r="B10100" i="13"/>
  <c r="F10463" i="13"/>
  <c r="B10143" i="13"/>
  <c r="F10507" i="13" s="1"/>
  <c r="R101" i="5"/>
  <c r="J101" i="5"/>
  <c r="Z99" i="5"/>
  <c r="Y99" i="5"/>
  <c r="X99" i="5"/>
  <c r="W99" i="5"/>
  <c r="V99" i="5"/>
  <c r="V101" i="5" s="1"/>
  <c r="U99" i="5"/>
  <c r="T99" i="5"/>
  <c r="S99" i="5"/>
  <c r="R99" i="5"/>
  <c r="Q99" i="5"/>
  <c r="P99" i="5"/>
  <c r="O99" i="5"/>
  <c r="N99" i="5"/>
  <c r="N101" i="5" s="1"/>
  <c r="M99" i="5"/>
  <c r="L99" i="5"/>
  <c r="K99" i="5"/>
  <c r="J99" i="5"/>
  <c r="I99" i="5"/>
  <c r="H99" i="5"/>
  <c r="G99" i="5"/>
  <c r="G92" i="5"/>
  <c r="H92" i="5"/>
  <c r="I92" i="5"/>
  <c r="J92" i="5"/>
  <c r="K92" i="5"/>
  <c r="L92" i="5"/>
  <c r="M92" i="5"/>
  <c r="N92" i="5"/>
  <c r="O92" i="5"/>
  <c r="P92" i="5"/>
  <c r="Q92" i="5"/>
  <c r="R92" i="5"/>
  <c r="S92" i="5"/>
  <c r="T92" i="5"/>
  <c r="U92" i="5"/>
  <c r="V92" i="5"/>
  <c r="W92" i="5"/>
  <c r="X92" i="5"/>
  <c r="Y92" i="5"/>
  <c r="Z92" i="5"/>
  <c r="V68" i="5"/>
  <c r="N68" i="5"/>
  <c r="V66" i="5"/>
  <c r="R66" i="5"/>
  <c r="R68" i="5" s="1"/>
  <c r="N66" i="5"/>
  <c r="J66" i="5"/>
  <c r="J68" i="5" s="1"/>
  <c r="J64" i="5"/>
  <c r="N64" i="5"/>
  <c r="R64" i="5"/>
  <c r="V64" i="5"/>
  <c r="J57" i="5"/>
  <c r="N57" i="5"/>
  <c r="R57" i="5"/>
  <c r="V57" i="5"/>
  <c r="G52" i="5"/>
  <c r="G57" i="5" s="1"/>
  <c r="G64" i="5" s="1"/>
  <c r="G66" i="5" s="1"/>
  <c r="G68" i="5" s="1"/>
  <c r="H52" i="5"/>
  <c r="H57" i="5" s="1"/>
  <c r="H64" i="5" s="1"/>
  <c r="H66" i="5" s="1"/>
  <c r="H68" i="5" s="1"/>
  <c r="I52" i="5"/>
  <c r="I57" i="5" s="1"/>
  <c r="I64" i="5" s="1"/>
  <c r="I66" i="5" s="1"/>
  <c r="I68" i="5" s="1"/>
  <c r="J52" i="5"/>
  <c r="K52" i="5"/>
  <c r="K57" i="5" s="1"/>
  <c r="K64" i="5" s="1"/>
  <c r="K66" i="5" s="1"/>
  <c r="K68" i="5" s="1"/>
  <c r="L52" i="5"/>
  <c r="L57" i="5" s="1"/>
  <c r="L64" i="5" s="1"/>
  <c r="L66" i="5" s="1"/>
  <c r="L68" i="5" s="1"/>
  <c r="M52" i="5"/>
  <c r="M57" i="5" s="1"/>
  <c r="M64" i="5" s="1"/>
  <c r="M66" i="5" s="1"/>
  <c r="M68" i="5" s="1"/>
  <c r="N52" i="5"/>
  <c r="O52" i="5"/>
  <c r="O57" i="5" s="1"/>
  <c r="O64" i="5" s="1"/>
  <c r="O66" i="5" s="1"/>
  <c r="O68" i="5" s="1"/>
  <c r="P52" i="5"/>
  <c r="P57" i="5" s="1"/>
  <c r="P64" i="5" s="1"/>
  <c r="P66" i="5" s="1"/>
  <c r="P68" i="5" s="1"/>
  <c r="Q52" i="5"/>
  <c r="Q57" i="5" s="1"/>
  <c r="Q64" i="5" s="1"/>
  <c r="Q66" i="5" s="1"/>
  <c r="Q68" i="5" s="1"/>
  <c r="R52" i="5"/>
  <c r="S52" i="5"/>
  <c r="S57" i="5" s="1"/>
  <c r="S64" i="5" s="1"/>
  <c r="S66" i="5" s="1"/>
  <c r="S68" i="5" s="1"/>
  <c r="T52" i="5"/>
  <c r="T57" i="5" s="1"/>
  <c r="T64" i="5" s="1"/>
  <c r="T66" i="5" s="1"/>
  <c r="T68" i="5" s="1"/>
  <c r="U52" i="5"/>
  <c r="U57" i="5" s="1"/>
  <c r="U64" i="5" s="1"/>
  <c r="U66" i="5" s="1"/>
  <c r="U68" i="5" s="1"/>
  <c r="V52" i="5"/>
  <c r="W52" i="5"/>
  <c r="W57" i="5" s="1"/>
  <c r="W64" i="5" s="1"/>
  <c r="W66" i="5" s="1"/>
  <c r="W68" i="5" s="1"/>
  <c r="X52" i="5"/>
  <c r="X57" i="5" s="1"/>
  <c r="X64" i="5" s="1"/>
  <c r="X66" i="5" s="1"/>
  <c r="X68" i="5" s="1"/>
  <c r="Y52" i="5"/>
  <c r="Y57" i="5" s="1"/>
  <c r="Y64" i="5" s="1"/>
  <c r="Y66" i="5" s="1"/>
  <c r="Y68" i="5" s="1"/>
  <c r="Z52" i="5"/>
  <c r="Z57" i="5" s="1"/>
  <c r="Z64" i="5" s="1"/>
  <c r="Z66" i="5" s="1"/>
  <c r="Z68" i="5" s="1"/>
  <c r="G44" i="5"/>
  <c r="H44" i="5"/>
  <c r="I44" i="5"/>
  <c r="J44" i="5"/>
  <c r="K44" i="5"/>
  <c r="L44" i="5"/>
  <c r="M44" i="5"/>
  <c r="N44" i="5"/>
  <c r="N46" i="5" s="1"/>
  <c r="N47" i="5" s="1"/>
  <c r="O44" i="5"/>
  <c r="P44" i="5"/>
  <c r="Q44" i="5"/>
  <c r="R44" i="5"/>
  <c r="S44" i="5"/>
  <c r="T44" i="5"/>
  <c r="U44" i="5"/>
  <c r="V44" i="5"/>
  <c r="V46" i="5" s="1"/>
  <c r="V47" i="5" s="1"/>
  <c r="W44" i="5"/>
  <c r="X44" i="5"/>
  <c r="Y44" i="5"/>
  <c r="Z44" i="5"/>
  <c r="J46" i="5"/>
  <c r="J47" i="5" s="1"/>
  <c r="R46" i="5"/>
  <c r="R47" i="5" s="1"/>
  <c r="G38" i="5"/>
  <c r="H38" i="5"/>
  <c r="I38" i="5"/>
  <c r="J38" i="5"/>
  <c r="K38" i="5"/>
  <c r="L38" i="5"/>
  <c r="M38" i="5"/>
  <c r="N38" i="5"/>
  <c r="N39" i="5" s="1"/>
  <c r="O38" i="5"/>
  <c r="P38" i="5"/>
  <c r="Q38" i="5"/>
  <c r="R38" i="5"/>
  <c r="S38" i="5"/>
  <c r="T38" i="5"/>
  <c r="U38" i="5"/>
  <c r="V38" i="5"/>
  <c r="V39" i="5" s="1"/>
  <c r="W38" i="5"/>
  <c r="X38" i="5"/>
  <c r="Y38" i="5"/>
  <c r="Z38" i="5"/>
  <c r="J39" i="5"/>
  <c r="R39" i="5"/>
  <c r="G32" i="5"/>
  <c r="H32" i="5"/>
  <c r="I32" i="5"/>
  <c r="J32" i="5"/>
  <c r="K32" i="5"/>
  <c r="L32" i="5"/>
  <c r="M32" i="5"/>
  <c r="N32" i="5"/>
  <c r="O32" i="5"/>
  <c r="P32" i="5"/>
  <c r="Q32" i="5"/>
  <c r="R32" i="5"/>
  <c r="S32" i="5"/>
  <c r="T32" i="5"/>
  <c r="U32" i="5"/>
  <c r="V32" i="5"/>
  <c r="W32" i="5"/>
  <c r="X32" i="5"/>
  <c r="Y32" i="5"/>
  <c r="Z32" i="5"/>
  <c r="G21" i="5"/>
  <c r="H21" i="5"/>
  <c r="I21" i="5"/>
  <c r="J21" i="5"/>
  <c r="K21" i="5"/>
  <c r="L21" i="5"/>
  <c r="M21" i="5"/>
  <c r="N21" i="5"/>
  <c r="N22" i="5" s="1"/>
  <c r="O21" i="5"/>
  <c r="P21" i="5"/>
  <c r="Q21" i="5"/>
  <c r="R21" i="5"/>
  <c r="S21" i="5"/>
  <c r="T21" i="5"/>
  <c r="U21" i="5"/>
  <c r="V21" i="5"/>
  <c r="V22" i="5" s="1"/>
  <c r="W21" i="5"/>
  <c r="X21" i="5"/>
  <c r="Y21" i="5"/>
  <c r="Z21" i="5"/>
  <c r="J22" i="5"/>
  <c r="R22" i="5"/>
  <c r="G12" i="5"/>
  <c r="H12" i="5"/>
  <c r="I12" i="5"/>
  <c r="J12" i="5"/>
  <c r="K12" i="5"/>
  <c r="L12" i="5"/>
  <c r="M12" i="5"/>
  <c r="N12" i="5"/>
  <c r="O12" i="5"/>
  <c r="P12" i="5"/>
  <c r="Q12" i="5"/>
  <c r="R12" i="5"/>
  <c r="S12" i="5"/>
  <c r="T12" i="5"/>
  <c r="U12" i="5"/>
  <c r="V12" i="5"/>
  <c r="W12" i="5"/>
  <c r="X12" i="5"/>
  <c r="Y12" i="5"/>
  <c r="Z12" i="5"/>
  <c r="B10101" i="13" l="1"/>
  <c r="F10464" i="13"/>
  <c r="B10564" i="13"/>
  <c r="F10926" i="13"/>
  <c r="B10144" i="13"/>
  <c r="F10508" i="13" s="1"/>
  <c r="Z22" i="5"/>
  <c r="Y101" i="5"/>
  <c r="Y39" i="5"/>
  <c r="Y22" i="5"/>
  <c r="X101" i="5"/>
  <c r="X39" i="5"/>
  <c r="X46" i="5" s="1"/>
  <c r="X22" i="5"/>
  <c r="W22" i="5"/>
  <c r="U39" i="5"/>
  <c r="U22" i="5"/>
  <c r="T22" i="5"/>
  <c r="Q101" i="5"/>
  <c r="P101" i="5"/>
  <c r="P22" i="5"/>
  <c r="M39" i="5"/>
  <c r="M46" i="5" s="1"/>
  <c r="L39" i="5"/>
  <c r="L46" i="5" s="1"/>
  <c r="K101" i="5"/>
  <c r="I101" i="5"/>
  <c r="I22" i="5"/>
  <c r="H101" i="5"/>
  <c r="H22" i="5"/>
  <c r="Y46" i="5"/>
  <c r="Y47" i="5" s="1"/>
  <c r="Z39" i="5"/>
  <c r="Z46" i="5" s="1"/>
  <c r="Z47" i="5" s="1"/>
  <c r="T39" i="5"/>
  <c r="T46" i="5" s="1"/>
  <c r="T47" i="5" s="1"/>
  <c r="S39" i="5"/>
  <c r="S46" i="5" s="1"/>
  <c r="W39" i="5"/>
  <c r="W46" i="5" s="1"/>
  <c r="U46" i="5"/>
  <c r="U47" i="5" s="1"/>
  <c r="S22" i="5"/>
  <c r="Q39" i="5"/>
  <c r="Q46" i="5" s="1"/>
  <c r="P39" i="5"/>
  <c r="P46" i="5" s="1"/>
  <c r="P47" i="5" s="1"/>
  <c r="O39" i="5"/>
  <c r="O46" i="5" s="1"/>
  <c r="Q22" i="5"/>
  <c r="O22" i="5"/>
  <c r="K39" i="5"/>
  <c r="K46" i="5" s="1"/>
  <c r="L22" i="5"/>
  <c r="K22" i="5"/>
  <c r="M22" i="5"/>
  <c r="I39" i="5"/>
  <c r="I46" i="5" s="1"/>
  <c r="H39" i="5"/>
  <c r="H46" i="5" s="1"/>
  <c r="G39" i="5"/>
  <c r="G46" i="5" s="1"/>
  <c r="G22" i="5"/>
  <c r="W101" i="5"/>
  <c r="Z101" i="5"/>
  <c r="S101" i="5"/>
  <c r="T101" i="5"/>
  <c r="U101" i="5"/>
  <c r="O101" i="5"/>
  <c r="L101" i="5"/>
  <c r="M101" i="5"/>
  <c r="G101" i="5"/>
  <c r="B10566" i="13" l="1"/>
  <c r="F10927" i="13"/>
  <c r="B10102" i="13"/>
  <c r="F10465" i="13"/>
  <c r="B10145" i="13"/>
  <c r="F10509" i="13" s="1"/>
  <c r="X47" i="5"/>
  <c r="W47" i="5"/>
  <c r="M47" i="5"/>
  <c r="I47" i="5"/>
  <c r="H47" i="5"/>
  <c r="S47" i="5"/>
  <c r="Q47" i="5"/>
  <c r="O47" i="5"/>
  <c r="L47" i="5"/>
  <c r="K47" i="5"/>
  <c r="G47" i="5"/>
  <c r="B10103" i="13" l="1"/>
  <c r="F10466" i="13"/>
  <c r="B10567" i="13"/>
  <c r="F10929" i="13"/>
  <c r="B10146" i="13"/>
  <c r="F10510" i="13" s="1"/>
  <c r="Z99" i="4"/>
  <c r="Y99" i="4"/>
  <c r="X99" i="4"/>
  <c r="W99" i="4"/>
  <c r="Z92" i="4"/>
  <c r="Y92" i="4"/>
  <c r="X92" i="4"/>
  <c r="W92" i="4"/>
  <c r="Z52" i="4"/>
  <c r="Z57" i="4" s="1"/>
  <c r="Z64" i="4" s="1"/>
  <c r="Z66" i="4" s="1"/>
  <c r="Z68" i="4" s="1"/>
  <c r="Y52" i="4"/>
  <c r="Y57" i="4" s="1"/>
  <c r="Y64" i="4" s="1"/>
  <c r="Y66" i="4" s="1"/>
  <c r="Y68" i="4" s="1"/>
  <c r="X52" i="4"/>
  <c r="X57" i="4" s="1"/>
  <c r="X64" i="4" s="1"/>
  <c r="X66" i="4" s="1"/>
  <c r="X68" i="4" s="1"/>
  <c r="W52" i="4"/>
  <c r="W57" i="4" s="1"/>
  <c r="W64" i="4" s="1"/>
  <c r="W66" i="4" s="1"/>
  <c r="W68" i="4" s="1"/>
  <c r="W44" i="4"/>
  <c r="X44" i="4"/>
  <c r="Y44" i="4"/>
  <c r="Z44" i="4"/>
  <c r="W38" i="4"/>
  <c r="X38" i="4"/>
  <c r="Y38" i="4"/>
  <c r="Z38" i="4"/>
  <c r="W32" i="4"/>
  <c r="X32" i="4"/>
  <c r="Y32" i="4"/>
  <c r="Z32" i="4"/>
  <c r="W21" i="4"/>
  <c r="X21" i="4"/>
  <c r="Y21" i="4"/>
  <c r="Z21" i="4"/>
  <c r="Z12" i="4"/>
  <c r="W12" i="4"/>
  <c r="X12" i="4"/>
  <c r="Y12" i="4"/>
  <c r="B10568" i="13" l="1"/>
  <c r="F10930" i="13"/>
  <c r="B10104" i="13"/>
  <c r="F10467" i="13"/>
  <c r="B10147" i="13"/>
  <c r="F10511" i="13" s="1"/>
  <c r="X39" i="4"/>
  <c r="X46" i="4" s="1"/>
  <c r="X22" i="4"/>
  <c r="W101" i="4"/>
  <c r="W39" i="4"/>
  <c r="W46" i="4" s="1"/>
  <c r="X101" i="4"/>
  <c r="Z101" i="4"/>
  <c r="Y101" i="4"/>
  <c r="Z39" i="4"/>
  <c r="Z46" i="4" s="1"/>
  <c r="Y39" i="4"/>
  <c r="Y46" i="4" s="1"/>
  <c r="Y22" i="4"/>
  <c r="Z22" i="4"/>
  <c r="W22" i="4"/>
  <c r="B10105" i="13" l="1"/>
  <c r="F10468" i="13"/>
  <c r="B10569" i="13"/>
  <c r="F10931" i="13"/>
  <c r="B10148" i="13"/>
  <c r="F10512" i="13" s="1"/>
  <c r="X47" i="4"/>
  <c r="W47" i="4"/>
  <c r="Z47" i="4"/>
  <c r="Y47" i="4"/>
  <c r="B10106" i="13" l="1"/>
  <c r="F10469" i="13"/>
  <c r="B10570" i="13"/>
  <c r="F10932" i="13"/>
  <c r="B10149" i="13"/>
  <c r="F10513" i="13" s="1"/>
  <c r="P83" i="4"/>
  <c r="B10571" i="13" l="1"/>
  <c r="F10933" i="13"/>
  <c r="B10108" i="13"/>
  <c r="F10470" i="13"/>
  <c r="B10150" i="13"/>
  <c r="F10514" i="13" s="1"/>
  <c r="M83" i="4"/>
  <c r="B10109" i="13" l="1"/>
  <c r="F10472" i="13"/>
  <c r="B10572" i="13"/>
  <c r="F10934" i="13"/>
  <c r="B10151" i="13"/>
  <c r="F10515" i="13" s="1"/>
  <c r="L83" i="4"/>
  <c r="B10573" i="13" l="1"/>
  <c r="F10935" i="13"/>
  <c r="B10110" i="13"/>
  <c r="F10473" i="13"/>
  <c r="B10152" i="13"/>
  <c r="F10516" i="13" s="1"/>
  <c r="K83" i="4"/>
  <c r="B10111" i="13" l="1"/>
  <c r="F10474" i="13"/>
  <c r="B10574" i="13"/>
  <c r="F10936" i="13"/>
  <c r="B10153" i="13"/>
  <c r="F10517" i="13" s="1"/>
  <c r="I83" i="4"/>
  <c r="B10112" i="13" l="1"/>
  <c r="F10475" i="13"/>
  <c r="B10575" i="13"/>
  <c r="F10937" i="13"/>
  <c r="B10154" i="13"/>
  <c r="F10518" i="13" s="1"/>
  <c r="H83" i="4"/>
  <c r="G83" i="4"/>
  <c r="G82" i="4"/>
  <c r="B10576" i="13" l="1"/>
  <c r="F10938" i="13"/>
  <c r="B10113" i="13"/>
  <c r="F10476" i="13"/>
  <c r="B10155" i="13"/>
  <c r="F10519" i="13" s="1"/>
  <c r="G52" i="4"/>
  <c r="G57" i="4" s="1"/>
  <c r="G64" i="4" s="1"/>
  <c r="G66" i="4" s="1"/>
  <c r="G68" i="4" s="1"/>
  <c r="H52" i="4"/>
  <c r="H57" i="4" s="1"/>
  <c r="H64" i="4" s="1"/>
  <c r="H66" i="4" s="1"/>
  <c r="H68" i="4" s="1"/>
  <c r="I52" i="4"/>
  <c r="I57" i="4" s="1"/>
  <c r="I64" i="4" s="1"/>
  <c r="I66" i="4" s="1"/>
  <c r="I68" i="4" s="1"/>
  <c r="J52" i="4"/>
  <c r="K52" i="4"/>
  <c r="K57" i="4" s="1"/>
  <c r="K64" i="4" s="1"/>
  <c r="K66" i="4" s="1"/>
  <c r="K68" i="4" s="1"/>
  <c r="L52" i="4"/>
  <c r="L57" i="4" s="1"/>
  <c r="L64" i="4" s="1"/>
  <c r="L66" i="4" s="1"/>
  <c r="L68" i="4" s="1"/>
  <c r="M52" i="4"/>
  <c r="M57" i="4" s="1"/>
  <c r="M64" i="4" s="1"/>
  <c r="M66" i="4" s="1"/>
  <c r="M68" i="4" s="1"/>
  <c r="N52" i="4"/>
  <c r="O52" i="4"/>
  <c r="P52" i="4"/>
  <c r="P57" i="4" s="1"/>
  <c r="P64" i="4" s="1"/>
  <c r="P66" i="4" s="1"/>
  <c r="P68" i="4" s="1"/>
  <c r="Q52" i="4"/>
  <c r="Q57" i="4" s="1"/>
  <c r="Q64" i="4" s="1"/>
  <c r="Q66" i="4" s="1"/>
  <c r="Q68" i="4" s="1"/>
  <c r="R52" i="4"/>
  <c r="S52" i="4"/>
  <c r="S57" i="4" s="1"/>
  <c r="S64" i="4" s="1"/>
  <c r="S66" i="4" s="1"/>
  <c r="S68" i="4" s="1"/>
  <c r="T52" i="4"/>
  <c r="T57" i="4" s="1"/>
  <c r="T64" i="4" s="1"/>
  <c r="T66" i="4" s="1"/>
  <c r="T68" i="4" s="1"/>
  <c r="U52" i="4"/>
  <c r="U57" i="4" s="1"/>
  <c r="U64" i="4" s="1"/>
  <c r="U66" i="4" s="1"/>
  <c r="U68" i="4" s="1"/>
  <c r="V52" i="4"/>
  <c r="V99" i="4"/>
  <c r="V101" i="4" s="1"/>
  <c r="U99" i="4"/>
  <c r="T99" i="4"/>
  <c r="S99" i="4"/>
  <c r="R99" i="4"/>
  <c r="R101" i="4" s="1"/>
  <c r="Q99" i="4"/>
  <c r="P99" i="4"/>
  <c r="O99" i="4"/>
  <c r="N99" i="4"/>
  <c r="N101" i="4" s="1"/>
  <c r="M99" i="4"/>
  <c r="L99" i="4"/>
  <c r="K99" i="4"/>
  <c r="J99" i="4"/>
  <c r="J101" i="4" s="1"/>
  <c r="I99" i="4"/>
  <c r="H99" i="4"/>
  <c r="G99" i="4"/>
  <c r="G92" i="4"/>
  <c r="H92" i="4"/>
  <c r="I92" i="4"/>
  <c r="J92" i="4"/>
  <c r="K92" i="4"/>
  <c r="L92" i="4"/>
  <c r="M92" i="4"/>
  <c r="N92" i="4"/>
  <c r="O92" i="4"/>
  <c r="P92" i="4"/>
  <c r="Q92" i="4"/>
  <c r="R92" i="4"/>
  <c r="S92" i="4"/>
  <c r="T92" i="4"/>
  <c r="U92" i="4"/>
  <c r="V92" i="4"/>
  <c r="N57" i="4"/>
  <c r="N64" i="4" s="1"/>
  <c r="N66" i="4" s="1"/>
  <c r="N68" i="4" s="1"/>
  <c r="O57" i="4"/>
  <c r="O64" i="4" s="1"/>
  <c r="O66" i="4" s="1"/>
  <c r="O68" i="4" s="1"/>
  <c r="R57" i="4"/>
  <c r="R64" i="4" s="1"/>
  <c r="R66" i="4" s="1"/>
  <c r="R68" i="4" s="1"/>
  <c r="V57" i="4"/>
  <c r="V64" i="4" s="1"/>
  <c r="V66" i="4" s="1"/>
  <c r="V68" i="4" s="1"/>
  <c r="V44" i="4"/>
  <c r="U44" i="4"/>
  <c r="T44" i="4"/>
  <c r="S44" i="4"/>
  <c r="R44" i="4"/>
  <c r="Q44" i="4"/>
  <c r="P44" i="4"/>
  <c r="O44" i="4"/>
  <c r="N44" i="4"/>
  <c r="M44" i="4"/>
  <c r="L44" i="4"/>
  <c r="K44" i="4"/>
  <c r="J44" i="4"/>
  <c r="I44" i="4"/>
  <c r="H44" i="4"/>
  <c r="G44" i="4"/>
  <c r="G38" i="4"/>
  <c r="H38" i="4"/>
  <c r="I38" i="4"/>
  <c r="J38" i="4"/>
  <c r="K38" i="4"/>
  <c r="L38" i="4"/>
  <c r="M38" i="4"/>
  <c r="N38" i="4"/>
  <c r="O38" i="4"/>
  <c r="P38" i="4"/>
  <c r="Q38" i="4"/>
  <c r="R38" i="4"/>
  <c r="S38" i="4"/>
  <c r="T38" i="4"/>
  <c r="U38" i="4"/>
  <c r="V38" i="4"/>
  <c r="G32" i="4"/>
  <c r="H32" i="4"/>
  <c r="I32" i="4"/>
  <c r="J32" i="4"/>
  <c r="J39" i="4" s="1"/>
  <c r="K32" i="4"/>
  <c r="L32" i="4"/>
  <c r="M32" i="4"/>
  <c r="N32" i="4"/>
  <c r="N39" i="4" s="1"/>
  <c r="O32" i="4"/>
  <c r="P32" i="4"/>
  <c r="Q32" i="4"/>
  <c r="R32" i="4"/>
  <c r="R39" i="4" s="1"/>
  <c r="S32" i="4"/>
  <c r="T32" i="4"/>
  <c r="U32" i="4"/>
  <c r="V32" i="4"/>
  <c r="V39" i="4" s="1"/>
  <c r="G21" i="4"/>
  <c r="H21" i="4"/>
  <c r="I21" i="4"/>
  <c r="J21" i="4"/>
  <c r="K21" i="4"/>
  <c r="L21" i="4"/>
  <c r="M21" i="4"/>
  <c r="N21" i="4"/>
  <c r="O21" i="4"/>
  <c r="P21" i="4"/>
  <c r="Q21" i="4"/>
  <c r="R21" i="4"/>
  <c r="S21" i="4"/>
  <c r="T21" i="4"/>
  <c r="U21" i="4"/>
  <c r="V21" i="4"/>
  <c r="V22" i="4" s="1"/>
  <c r="J22" i="4"/>
  <c r="N22" i="4"/>
  <c r="R22" i="4"/>
  <c r="G12" i="4"/>
  <c r="H12" i="4"/>
  <c r="I12" i="4"/>
  <c r="J12" i="4"/>
  <c r="K12" i="4"/>
  <c r="L12" i="4"/>
  <c r="M12" i="4"/>
  <c r="N12" i="4"/>
  <c r="O12" i="4"/>
  <c r="P12" i="4"/>
  <c r="Q12" i="4"/>
  <c r="R12" i="4"/>
  <c r="S12" i="4"/>
  <c r="T12" i="4"/>
  <c r="U12" i="4"/>
  <c r="V12" i="4"/>
  <c r="B10114" i="13" l="1"/>
  <c r="F10477" i="13"/>
  <c r="B10577" i="13"/>
  <c r="F10939" i="13"/>
  <c r="V46" i="4"/>
  <c r="V47" i="4" s="1"/>
  <c r="R46" i="4"/>
  <c r="R47" i="4" s="1"/>
  <c r="J46" i="4"/>
  <c r="J47" i="4" s="1"/>
  <c r="N46" i="4"/>
  <c r="N47" i="4" s="1"/>
  <c r="B10156" i="13"/>
  <c r="F10520" i="13" s="1"/>
  <c r="T39" i="4"/>
  <c r="T46" i="4" s="1"/>
  <c r="P39" i="4"/>
  <c r="P46" i="4" s="1"/>
  <c r="O22" i="4"/>
  <c r="M39" i="4"/>
  <c r="M46" i="4" s="1"/>
  <c r="H39" i="4"/>
  <c r="H46" i="4" s="1"/>
  <c r="H22" i="4"/>
  <c r="T101" i="4"/>
  <c r="U101" i="4"/>
  <c r="S101" i="4"/>
  <c r="O101" i="4"/>
  <c r="P101" i="4"/>
  <c r="Q101" i="4"/>
  <c r="M101" i="4"/>
  <c r="L101" i="4"/>
  <c r="K101" i="4"/>
  <c r="K39" i="4"/>
  <c r="K46" i="4" s="1"/>
  <c r="L39" i="4"/>
  <c r="L46" i="4" s="1"/>
  <c r="Q39" i="4"/>
  <c r="Q46" i="4" s="1"/>
  <c r="O39" i="4"/>
  <c r="O46" i="4" s="1"/>
  <c r="O47" i="4" s="1"/>
  <c r="S39" i="4"/>
  <c r="S46" i="4" s="1"/>
  <c r="U39" i="4"/>
  <c r="U46" i="4" s="1"/>
  <c r="G101" i="4"/>
  <c r="H101" i="4"/>
  <c r="I101" i="4"/>
  <c r="I39" i="4"/>
  <c r="I46" i="4" s="1"/>
  <c r="G39" i="4"/>
  <c r="G46" i="4" s="1"/>
  <c r="G22" i="4"/>
  <c r="I22" i="4"/>
  <c r="L22" i="4"/>
  <c r="K22" i="4"/>
  <c r="M22" i="4"/>
  <c r="P22" i="4"/>
  <c r="U22" i="4"/>
  <c r="S22" i="4"/>
  <c r="T22" i="4"/>
  <c r="Q22" i="4"/>
  <c r="J83" i="3"/>
  <c r="B10578" i="13" l="1"/>
  <c r="F10940" i="13"/>
  <c r="B10115" i="13"/>
  <c r="F10478" i="13"/>
  <c r="B10157" i="13"/>
  <c r="F10521" i="13" s="1"/>
  <c r="U47" i="4"/>
  <c r="T47" i="4"/>
  <c r="S47" i="4"/>
  <c r="Q47" i="4"/>
  <c r="P47" i="4"/>
  <c r="L47" i="4"/>
  <c r="K47" i="4"/>
  <c r="H47" i="4"/>
  <c r="M47" i="4"/>
  <c r="I47" i="4"/>
  <c r="G47" i="4"/>
  <c r="N101" i="3"/>
  <c r="R101" i="3"/>
  <c r="V101" i="3"/>
  <c r="B10116" i="13" l="1"/>
  <c r="F10479" i="13"/>
  <c r="B10579" i="13"/>
  <c r="F10941" i="13"/>
  <c r="B10158" i="13"/>
  <c r="F10522" i="13" s="1"/>
  <c r="K21" i="3"/>
  <c r="L21" i="3"/>
  <c r="M21" i="3"/>
  <c r="N21" i="3"/>
  <c r="O21" i="3"/>
  <c r="P21" i="3"/>
  <c r="Q21" i="3"/>
  <c r="R21" i="3"/>
  <c r="R22" i="3" s="1"/>
  <c r="S21" i="3"/>
  <c r="T21" i="3"/>
  <c r="U21" i="3"/>
  <c r="V21" i="3"/>
  <c r="W21" i="3"/>
  <c r="X21" i="3"/>
  <c r="Y21" i="3"/>
  <c r="Z21" i="3"/>
  <c r="N22" i="3"/>
  <c r="V22" i="3"/>
  <c r="K12" i="3"/>
  <c r="L12" i="3"/>
  <c r="M12" i="3"/>
  <c r="N12" i="3"/>
  <c r="O12" i="3"/>
  <c r="P12" i="3"/>
  <c r="Q12" i="3"/>
  <c r="R12" i="3"/>
  <c r="S12" i="3"/>
  <c r="S22" i="3" s="1"/>
  <c r="T12" i="3"/>
  <c r="U12" i="3"/>
  <c r="V12" i="3"/>
  <c r="W12" i="3"/>
  <c r="X12" i="3"/>
  <c r="Y12" i="3"/>
  <c r="Z12" i="3"/>
  <c r="G21" i="3"/>
  <c r="H21" i="3"/>
  <c r="I21" i="3"/>
  <c r="G12" i="3"/>
  <c r="H12" i="3"/>
  <c r="I12" i="3"/>
  <c r="G32" i="3"/>
  <c r="H32" i="3"/>
  <c r="I32" i="3"/>
  <c r="J32" i="3"/>
  <c r="K32" i="3"/>
  <c r="L32" i="3"/>
  <c r="M32" i="3"/>
  <c r="N32" i="3"/>
  <c r="O32" i="3"/>
  <c r="P32" i="3"/>
  <c r="Q32" i="3"/>
  <c r="R32" i="3"/>
  <c r="S32" i="3"/>
  <c r="T32" i="3"/>
  <c r="U32" i="3"/>
  <c r="V32" i="3"/>
  <c r="W32" i="3"/>
  <c r="X32" i="3"/>
  <c r="Y32" i="3"/>
  <c r="Z32" i="3"/>
  <c r="G38" i="3"/>
  <c r="H38" i="3"/>
  <c r="I38" i="3"/>
  <c r="J38" i="3"/>
  <c r="K38" i="3"/>
  <c r="L38" i="3"/>
  <c r="M38" i="3"/>
  <c r="N38" i="3"/>
  <c r="O38" i="3"/>
  <c r="P38" i="3"/>
  <c r="Q38" i="3"/>
  <c r="R38" i="3"/>
  <c r="S38" i="3"/>
  <c r="T38" i="3"/>
  <c r="U38" i="3"/>
  <c r="V38" i="3"/>
  <c r="W38" i="3"/>
  <c r="X38" i="3"/>
  <c r="Y38" i="3"/>
  <c r="Z38" i="3"/>
  <c r="J39" i="3"/>
  <c r="J46" i="3" s="1"/>
  <c r="R39" i="3"/>
  <c r="R46" i="3" s="1"/>
  <c r="G44" i="3"/>
  <c r="H44" i="3"/>
  <c r="I44" i="3"/>
  <c r="J44" i="3"/>
  <c r="K44" i="3"/>
  <c r="L44" i="3"/>
  <c r="M44" i="3"/>
  <c r="N44" i="3"/>
  <c r="O44" i="3"/>
  <c r="P44" i="3"/>
  <c r="Q44" i="3"/>
  <c r="R44" i="3"/>
  <c r="S44" i="3"/>
  <c r="T44" i="3"/>
  <c r="U44" i="3"/>
  <c r="V44" i="3"/>
  <c r="W44" i="3"/>
  <c r="X44" i="3"/>
  <c r="Y44" i="3"/>
  <c r="Z44" i="3"/>
  <c r="G52" i="3"/>
  <c r="H52" i="3"/>
  <c r="H57" i="3" s="1"/>
  <c r="H64" i="3" s="1"/>
  <c r="H66" i="3" s="1"/>
  <c r="H68" i="3" s="1"/>
  <c r="I52" i="3"/>
  <c r="I57" i="3" s="1"/>
  <c r="I64" i="3" s="1"/>
  <c r="I66" i="3" s="1"/>
  <c r="I68" i="3" s="1"/>
  <c r="J52" i="3"/>
  <c r="K52" i="3"/>
  <c r="K57" i="3" s="1"/>
  <c r="K64" i="3" s="1"/>
  <c r="K66" i="3" s="1"/>
  <c r="K68" i="3" s="1"/>
  <c r="L52" i="3"/>
  <c r="L57" i="3" s="1"/>
  <c r="L64" i="3" s="1"/>
  <c r="L66" i="3" s="1"/>
  <c r="L68" i="3" s="1"/>
  <c r="M52" i="3"/>
  <c r="M57" i="3" s="1"/>
  <c r="M64" i="3" s="1"/>
  <c r="M66" i="3" s="1"/>
  <c r="M68" i="3" s="1"/>
  <c r="N52" i="3"/>
  <c r="N57" i="3" s="1"/>
  <c r="N64" i="3" s="1"/>
  <c r="N66" i="3" s="1"/>
  <c r="N68" i="3" s="1"/>
  <c r="O52" i="3"/>
  <c r="O57" i="3" s="1"/>
  <c r="O64" i="3" s="1"/>
  <c r="O66" i="3" s="1"/>
  <c r="O68" i="3" s="1"/>
  <c r="P52" i="3"/>
  <c r="P57" i="3" s="1"/>
  <c r="P64" i="3" s="1"/>
  <c r="P66" i="3" s="1"/>
  <c r="P68" i="3" s="1"/>
  <c r="Q52" i="3"/>
  <c r="Q57" i="3" s="1"/>
  <c r="Q64" i="3" s="1"/>
  <c r="Q66" i="3" s="1"/>
  <c r="Q68" i="3" s="1"/>
  <c r="R52" i="3"/>
  <c r="S52" i="3"/>
  <c r="S57" i="3" s="1"/>
  <c r="S64" i="3" s="1"/>
  <c r="S66" i="3" s="1"/>
  <c r="S68" i="3" s="1"/>
  <c r="T52" i="3"/>
  <c r="T57" i="3" s="1"/>
  <c r="T64" i="3" s="1"/>
  <c r="T66" i="3" s="1"/>
  <c r="T68" i="3" s="1"/>
  <c r="U52" i="3"/>
  <c r="U57" i="3" s="1"/>
  <c r="U64" i="3" s="1"/>
  <c r="U66" i="3" s="1"/>
  <c r="U68" i="3" s="1"/>
  <c r="V52" i="3"/>
  <c r="V57" i="3" s="1"/>
  <c r="V64" i="3" s="1"/>
  <c r="V66" i="3" s="1"/>
  <c r="V68" i="3" s="1"/>
  <c r="W52" i="3"/>
  <c r="W57" i="3" s="1"/>
  <c r="W64" i="3" s="1"/>
  <c r="W66" i="3" s="1"/>
  <c r="W68" i="3" s="1"/>
  <c r="X52" i="3"/>
  <c r="X57" i="3" s="1"/>
  <c r="X64" i="3" s="1"/>
  <c r="X66" i="3" s="1"/>
  <c r="X68" i="3" s="1"/>
  <c r="Y52" i="3"/>
  <c r="Y57" i="3" s="1"/>
  <c r="Y64" i="3" s="1"/>
  <c r="Y66" i="3" s="1"/>
  <c r="Y68" i="3" s="1"/>
  <c r="Z52" i="3"/>
  <c r="Z57" i="3" s="1"/>
  <c r="Z64" i="3" s="1"/>
  <c r="Z66" i="3" s="1"/>
  <c r="Z68" i="3" s="1"/>
  <c r="G57" i="3"/>
  <c r="G64" i="3" s="1"/>
  <c r="G66" i="3" s="1"/>
  <c r="G68" i="3" s="1"/>
  <c r="J57" i="3"/>
  <c r="J64" i="3" s="1"/>
  <c r="J66" i="3" s="1"/>
  <c r="J68" i="3" s="1"/>
  <c r="R57" i="3"/>
  <c r="R64" i="3" s="1"/>
  <c r="R66" i="3" s="1"/>
  <c r="R68" i="3" s="1"/>
  <c r="G92" i="3"/>
  <c r="H92" i="3"/>
  <c r="I92" i="3"/>
  <c r="J92" i="3"/>
  <c r="J101" i="3" s="1"/>
  <c r="K92" i="3"/>
  <c r="L92" i="3"/>
  <c r="M92" i="3"/>
  <c r="N92" i="3"/>
  <c r="O92" i="3"/>
  <c r="P92" i="3"/>
  <c r="Q92" i="3"/>
  <c r="R92" i="3"/>
  <c r="S92" i="3"/>
  <c r="T92" i="3"/>
  <c r="U92" i="3"/>
  <c r="V92" i="3"/>
  <c r="W92" i="3"/>
  <c r="X92" i="3"/>
  <c r="Y92" i="3"/>
  <c r="Z92" i="3"/>
  <c r="G99" i="3"/>
  <c r="G101" i="3" s="1"/>
  <c r="H99" i="3"/>
  <c r="I99" i="3"/>
  <c r="J99" i="3"/>
  <c r="K99" i="3"/>
  <c r="L99" i="3"/>
  <c r="M99" i="3"/>
  <c r="N99" i="3"/>
  <c r="O99" i="3"/>
  <c r="P99" i="3"/>
  <c r="Q99" i="3"/>
  <c r="R99" i="3"/>
  <c r="S99" i="3"/>
  <c r="T99" i="3"/>
  <c r="U99" i="3"/>
  <c r="V99" i="3"/>
  <c r="W99" i="3"/>
  <c r="X99" i="3"/>
  <c r="Y99" i="3"/>
  <c r="Z99" i="3"/>
  <c r="B10580" i="13" l="1"/>
  <c r="F10942" i="13"/>
  <c r="B10117" i="13"/>
  <c r="F10480" i="13"/>
  <c r="B10159" i="13"/>
  <c r="F10523" i="13" s="1"/>
  <c r="Z101" i="3"/>
  <c r="Z39" i="3"/>
  <c r="Z46" i="3" s="1"/>
  <c r="Z22" i="3"/>
  <c r="Y101" i="3"/>
  <c r="Y39" i="3"/>
  <c r="Y46" i="3" s="1"/>
  <c r="Y47" i="3" s="1"/>
  <c r="Y22" i="3"/>
  <c r="X101" i="3"/>
  <c r="X39" i="3"/>
  <c r="X46" i="3" s="1"/>
  <c r="X47" i="3" s="1"/>
  <c r="X22" i="3"/>
  <c r="W101" i="3"/>
  <c r="W22" i="3"/>
  <c r="U101" i="3"/>
  <c r="U22" i="3"/>
  <c r="T101" i="3"/>
  <c r="T22" i="3"/>
  <c r="S101" i="3"/>
  <c r="Q101" i="3"/>
  <c r="Q22" i="3"/>
  <c r="P101" i="3"/>
  <c r="P39" i="3"/>
  <c r="P46" i="3" s="1"/>
  <c r="P22" i="3"/>
  <c r="O101" i="3"/>
  <c r="O39" i="3"/>
  <c r="O46" i="3" s="1"/>
  <c r="O22" i="3"/>
  <c r="M101" i="3"/>
  <c r="M39" i="3"/>
  <c r="M22" i="3"/>
  <c r="L101" i="3"/>
  <c r="L39" i="3"/>
  <c r="L46" i="3" s="1"/>
  <c r="L22" i="3"/>
  <c r="K101" i="3"/>
  <c r="K22" i="3"/>
  <c r="I101" i="3"/>
  <c r="I39" i="3"/>
  <c r="I46" i="3" s="1"/>
  <c r="I22" i="3"/>
  <c r="H101" i="3"/>
  <c r="H39" i="3"/>
  <c r="H46" i="3" s="1"/>
  <c r="H22" i="3"/>
  <c r="G39" i="3"/>
  <c r="G46" i="3" s="1"/>
  <c r="G22" i="3"/>
  <c r="M46" i="3"/>
  <c r="M47" i="3" s="1"/>
  <c r="W39" i="3"/>
  <c r="W46" i="3" s="1"/>
  <c r="U39" i="3"/>
  <c r="U46" i="3" s="1"/>
  <c r="T39" i="3"/>
  <c r="T46" i="3" s="1"/>
  <c r="S39" i="3"/>
  <c r="S46" i="3" s="1"/>
  <c r="S47" i="3" s="1"/>
  <c r="Q39" i="3"/>
  <c r="Q46" i="3" s="1"/>
  <c r="Q47" i="3" s="1"/>
  <c r="K39" i="3"/>
  <c r="K46" i="3" s="1"/>
  <c r="K47" i="3" s="1"/>
  <c r="V39" i="3"/>
  <c r="V46" i="3" s="1"/>
  <c r="N39" i="3"/>
  <c r="N46" i="3" s="1"/>
  <c r="B10118" i="13" l="1"/>
  <c r="F10481" i="13"/>
  <c r="B10581" i="13"/>
  <c r="F10943" i="13"/>
  <c r="B10160" i="13"/>
  <c r="Z47" i="3"/>
  <c r="W47" i="3"/>
  <c r="U47" i="3"/>
  <c r="T47" i="3"/>
  <c r="P47" i="3"/>
  <c r="O47" i="3"/>
  <c r="L47" i="3"/>
  <c r="I47" i="3"/>
  <c r="H47" i="3"/>
  <c r="G47" i="3"/>
  <c r="F10524" i="13" l="1"/>
  <c r="F10526" i="13"/>
  <c r="B10582" i="13"/>
  <c r="F10944" i="13"/>
  <c r="B10119" i="13"/>
  <c r="F10482" i="13"/>
  <c r="B10161" i="13"/>
  <c r="W93" i="2"/>
  <c r="X93" i="2"/>
  <c r="Y93" i="2"/>
  <c r="Z93" i="2"/>
  <c r="W100" i="2"/>
  <c r="X100" i="2"/>
  <c r="Y100" i="2"/>
  <c r="Z100" i="2"/>
  <c r="W52" i="2"/>
  <c r="W57" i="2" s="1"/>
  <c r="W65" i="2" s="1"/>
  <c r="W67" i="2" s="1"/>
  <c r="W69" i="2" s="1"/>
  <c r="X52" i="2"/>
  <c r="X57" i="2" s="1"/>
  <c r="X65" i="2" s="1"/>
  <c r="X67" i="2" s="1"/>
  <c r="X69" i="2" s="1"/>
  <c r="Y52" i="2"/>
  <c r="Y57" i="2" s="1"/>
  <c r="Y65" i="2" s="1"/>
  <c r="Y67" i="2" s="1"/>
  <c r="Y69" i="2" s="1"/>
  <c r="Z52" i="2"/>
  <c r="Z57" i="2" s="1"/>
  <c r="Z65" i="2" s="1"/>
  <c r="Z67" i="2" s="1"/>
  <c r="Z69" i="2" s="1"/>
  <c r="W44" i="2"/>
  <c r="X44" i="2"/>
  <c r="Y44" i="2"/>
  <c r="Z44" i="2"/>
  <c r="W38" i="2"/>
  <c r="X38" i="2"/>
  <c r="Y38" i="2"/>
  <c r="Z38" i="2"/>
  <c r="W32" i="2"/>
  <c r="X32" i="2"/>
  <c r="Y32" i="2"/>
  <c r="Z32" i="2"/>
  <c r="W21" i="2"/>
  <c r="X21" i="2"/>
  <c r="Y21" i="2"/>
  <c r="Z21" i="2"/>
  <c r="W12" i="2"/>
  <c r="X12" i="2"/>
  <c r="Y12" i="2"/>
  <c r="Z12" i="2"/>
  <c r="B10583" i="13" l="1"/>
  <c r="F10945" i="13"/>
  <c r="F10525" i="13"/>
  <c r="F10527" i="13"/>
  <c r="B10120" i="13"/>
  <c r="F10483" i="13"/>
  <c r="B10162" i="13"/>
  <c r="F10528" i="13" s="1"/>
  <c r="Y39" i="2"/>
  <c r="Y46" i="2" s="1"/>
  <c r="X39" i="2"/>
  <c r="X46" i="2" s="1"/>
  <c r="X22" i="2"/>
  <c r="W102" i="2"/>
  <c r="Z39" i="2"/>
  <c r="Z46" i="2" s="1"/>
  <c r="W39" i="2"/>
  <c r="W46" i="2" s="1"/>
  <c r="Z22" i="2"/>
  <c r="Y22" i="2"/>
  <c r="W22" i="2"/>
  <c r="Y102" i="2"/>
  <c r="X102" i="2"/>
  <c r="Z102" i="2"/>
  <c r="U100" i="2"/>
  <c r="T100" i="2"/>
  <c r="S100" i="2"/>
  <c r="S93" i="2"/>
  <c r="T93" i="2"/>
  <c r="U93" i="2"/>
  <c r="T52" i="2"/>
  <c r="T57" i="2" s="1"/>
  <c r="T65" i="2" s="1"/>
  <c r="T67" i="2" s="1"/>
  <c r="T69" i="2" s="1"/>
  <c r="U52" i="2"/>
  <c r="U57" i="2" s="1"/>
  <c r="U65" i="2" s="1"/>
  <c r="U67" i="2" s="1"/>
  <c r="U69" i="2" s="1"/>
  <c r="T44" i="2"/>
  <c r="U44" i="2"/>
  <c r="T38" i="2"/>
  <c r="U38" i="2"/>
  <c r="T32" i="2"/>
  <c r="U32" i="2"/>
  <c r="T21" i="2"/>
  <c r="U21" i="2"/>
  <c r="S12" i="2"/>
  <c r="T12" i="2"/>
  <c r="U12" i="2"/>
  <c r="B10121" i="13" l="1"/>
  <c r="F10484" i="13"/>
  <c r="B10584" i="13"/>
  <c r="F10946" i="13"/>
  <c r="B10163" i="13"/>
  <c r="F10529" i="13" s="1"/>
  <c r="Y47" i="2"/>
  <c r="X47" i="2"/>
  <c r="Z47" i="2"/>
  <c r="W47" i="2"/>
  <c r="T39" i="2"/>
  <c r="T46" i="2" s="1"/>
  <c r="U39" i="2"/>
  <c r="U46" i="2" s="1"/>
  <c r="U22" i="2"/>
  <c r="T22" i="2"/>
  <c r="U102" i="2"/>
  <c r="T102" i="2"/>
  <c r="S102" i="2"/>
  <c r="S52" i="2"/>
  <c r="S57" i="2" s="1"/>
  <c r="S65" i="2" s="1"/>
  <c r="S67" i="2" s="1"/>
  <c r="S69" i="2" s="1"/>
  <c r="S44" i="2"/>
  <c r="S38" i="2"/>
  <c r="S32" i="2"/>
  <c r="S21" i="2"/>
  <c r="S22" i="2" s="1"/>
  <c r="B10585" i="13" l="1"/>
  <c r="F10947" i="13"/>
  <c r="B10122" i="13"/>
  <c r="F10485" i="13"/>
  <c r="B10164" i="13"/>
  <c r="F10530" i="13" s="1"/>
  <c r="U47" i="2"/>
  <c r="T47" i="2"/>
  <c r="S39" i="2"/>
  <c r="S46" i="2" s="1"/>
  <c r="S47" i="2" s="1"/>
  <c r="F10486" i="13" l="1"/>
  <c r="B10123" i="13"/>
  <c r="B10586" i="13"/>
  <c r="F10948" i="13"/>
  <c r="B10165" i="13"/>
  <c r="F10531" i="13" s="1"/>
  <c r="O100" i="2"/>
  <c r="P100" i="2"/>
  <c r="Q100" i="2"/>
  <c r="R100" i="2"/>
  <c r="R102" i="2"/>
  <c r="O93" i="2"/>
  <c r="P93" i="2"/>
  <c r="Q93" i="2"/>
  <c r="R93" i="2"/>
  <c r="P52" i="2"/>
  <c r="P57" i="2" s="1"/>
  <c r="P65" i="2" s="1"/>
  <c r="P67" i="2" s="1"/>
  <c r="P69" i="2" s="1"/>
  <c r="Q52" i="2"/>
  <c r="Q57" i="2" s="1"/>
  <c r="Q65" i="2" s="1"/>
  <c r="Q67" i="2" s="1"/>
  <c r="Q69" i="2" s="1"/>
  <c r="P44" i="2"/>
  <c r="Q44" i="2"/>
  <c r="P38" i="2"/>
  <c r="Q38" i="2"/>
  <c r="P32" i="2"/>
  <c r="Q32" i="2"/>
  <c r="P21" i="2"/>
  <c r="Q21" i="2"/>
  <c r="O12" i="2"/>
  <c r="P12" i="2"/>
  <c r="Q12" i="2"/>
  <c r="B10587" i="13" l="1"/>
  <c r="F10949" i="13"/>
  <c r="F10487" i="13"/>
  <c r="B10124" i="13"/>
  <c r="B10166" i="13"/>
  <c r="F10532" i="13" s="1"/>
  <c r="Q102" i="2"/>
  <c r="Q39" i="2"/>
  <c r="Q46" i="2" s="1"/>
  <c r="Q22" i="2"/>
  <c r="P102" i="2"/>
  <c r="P39" i="2"/>
  <c r="P46" i="2" s="1"/>
  <c r="P22" i="2"/>
  <c r="O102" i="2"/>
  <c r="O52" i="2"/>
  <c r="O57" i="2" s="1"/>
  <c r="O65" i="2" s="1"/>
  <c r="O67" i="2" s="1"/>
  <c r="O69" i="2" s="1"/>
  <c r="O44" i="2"/>
  <c r="O38" i="2"/>
  <c r="O32" i="2"/>
  <c r="O21" i="2"/>
  <c r="O22" i="2" s="1"/>
  <c r="F10488" i="13" l="1"/>
  <c r="B10125" i="13"/>
  <c r="B10588" i="13"/>
  <c r="F10950" i="13"/>
  <c r="B10167" i="13"/>
  <c r="F10533" i="13" s="1"/>
  <c r="Q47" i="2"/>
  <c r="P47" i="2"/>
  <c r="O39" i="2"/>
  <c r="O46" i="2" s="1"/>
  <c r="O47" i="2" s="1"/>
  <c r="B10589" i="13" l="1"/>
  <c r="F10951" i="13"/>
  <c r="F10489" i="13"/>
  <c r="B10126" i="13"/>
  <c r="B10169" i="13"/>
  <c r="F10535" i="13" s="1"/>
  <c r="K83" i="2"/>
  <c r="K73" i="2"/>
  <c r="K100" i="2"/>
  <c r="L100" i="2"/>
  <c r="M100" i="2"/>
  <c r="L93" i="2"/>
  <c r="M93" i="2"/>
  <c r="L52" i="2"/>
  <c r="L57" i="2" s="1"/>
  <c r="L65" i="2" s="1"/>
  <c r="L67" i="2" s="1"/>
  <c r="L69" i="2" s="1"/>
  <c r="M52" i="2"/>
  <c r="M57" i="2" s="1"/>
  <c r="M65" i="2" s="1"/>
  <c r="M67" i="2" s="1"/>
  <c r="M69" i="2" s="1"/>
  <c r="L44" i="2"/>
  <c r="M44" i="2"/>
  <c r="L38" i="2"/>
  <c r="M38" i="2"/>
  <c r="L32" i="2"/>
  <c r="M32" i="2"/>
  <c r="L21" i="2"/>
  <c r="M21" i="2"/>
  <c r="L12" i="2"/>
  <c r="M12" i="2"/>
  <c r="K12" i="2"/>
  <c r="F10490" i="13" l="1"/>
  <c r="B10127" i="13"/>
  <c r="B10590" i="13"/>
  <c r="F10952" i="13"/>
  <c r="B10170" i="13"/>
  <c r="F10536" i="13" s="1"/>
  <c r="M102" i="2"/>
  <c r="M22" i="2"/>
  <c r="L102" i="2"/>
  <c r="L39" i="2"/>
  <c r="L46" i="2" s="1"/>
  <c r="L22" i="2"/>
  <c r="K93" i="2"/>
  <c r="K102" i="2" s="1"/>
  <c r="K52" i="2"/>
  <c r="K57" i="2" s="1"/>
  <c r="K65" i="2" s="1"/>
  <c r="K67" i="2" s="1"/>
  <c r="K69" i="2" s="1"/>
  <c r="K44" i="2"/>
  <c r="K38" i="2"/>
  <c r="K32" i="2"/>
  <c r="K21" i="2"/>
  <c r="K22" i="2" s="1"/>
  <c r="M39" i="2"/>
  <c r="M46" i="2" s="1"/>
  <c r="B10591" i="13" l="1"/>
  <c r="F10953" i="13"/>
  <c r="F10491" i="13"/>
  <c r="B10128" i="13"/>
  <c r="B10171" i="13"/>
  <c r="F10537" i="13" s="1"/>
  <c r="M47" i="2"/>
  <c r="L47" i="2"/>
  <c r="K39" i="2"/>
  <c r="K46" i="2" s="1"/>
  <c r="K47" i="2" s="1"/>
  <c r="F10492" i="13" l="1"/>
  <c r="B10129" i="13"/>
  <c r="B10592" i="13"/>
  <c r="F10954" i="13"/>
  <c r="B10172" i="13"/>
  <c r="F10538" i="13" s="1"/>
  <c r="H96" i="2"/>
  <c r="I84" i="2"/>
  <c r="I83" i="2"/>
  <c r="B10593" i="13" l="1"/>
  <c r="F10955" i="13"/>
  <c r="F10493" i="13"/>
  <c r="B10130" i="13"/>
  <c r="B10173" i="13"/>
  <c r="F10539" i="13" s="1"/>
  <c r="H83" i="2"/>
  <c r="F10494" i="13" l="1"/>
  <c r="B10131" i="13"/>
  <c r="B10594" i="13"/>
  <c r="F10956" i="13"/>
  <c r="B10174" i="13"/>
  <c r="F10540" i="13" s="1"/>
  <c r="G84" i="2"/>
  <c r="B10596" i="13" l="1"/>
  <c r="F10957" i="13"/>
  <c r="F10495" i="13"/>
  <c r="B10132" i="13"/>
  <c r="B10175" i="13"/>
  <c r="F10541" i="13" s="1"/>
  <c r="G100" i="2"/>
  <c r="H100" i="2"/>
  <c r="I100" i="2"/>
  <c r="G93" i="2"/>
  <c r="I93" i="2"/>
  <c r="G52" i="2"/>
  <c r="G57" i="2" s="1"/>
  <c r="G65" i="2" s="1"/>
  <c r="G67" i="2" s="1"/>
  <c r="G69" i="2" s="1"/>
  <c r="H52" i="2"/>
  <c r="H57" i="2" s="1"/>
  <c r="H65" i="2" s="1"/>
  <c r="H67" i="2" s="1"/>
  <c r="H69" i="2" s="1"/>
  <c r="I52" i="2"/>
  <c r="I57" i="2" s="1"/>
  <c r="I65" i="2" s="1"/>
  <c r="I67" i="2" s="1"/>
  <c r="I69" i="2" s="1"/>
  <c r="G44" i="2"/>
  <c r="H44" i="2"/>
  <c r="I44" i="2"/>
  <c r="G38" i="2"/>
  <c r="H38" i="2"/>
  <c r="I38" i="2"/>
  <c r="G32" i="2"/>
  <c r="H32" i="2"/>
  <c r="I32" i="2"/>
  <c r="G21" i="2"/>
  <c r="H21" i="2"/>
  <c r="I21" i="2"/>
  <c r="G12" i="2"/>
  <c r="H12" i="2"/>
  <c r="I12" i="2"/>
  <c r="A10416" i="13"/>
  <c r="A10417" i="13" s="1"/>
  <c r="A10418" i="13" s="1"/>
  <c r="A10419" i="13" s="1"/>
  <c r="A10420" i="13" s="1"/>
  <c r="A10421" i="13" s="1"/>
  <c r="A10422" i="13" s="1"/>
  <c r="A10423" i="13" s="1"/>
  <c r="A10424" i="13" s="1"/>
  <c r="A10425" i="13" s="1"/>
  <c r="A10426" i="13" s="1"/>
  <c r="A10427" i="13" s="1"/>
  <c r="A10428" i="13" s="1"/>
  <c r="A10429" i="13" s="1"/>
  <c r="A10430" i="13" s="1"/>
  <c r="A10431" i="13" s="1"/>
  <c r="A10432" i="13" s="1"/>
  <c r="A10433" i="13" s="1"/>
  <c r="A10434" i="13" s="1"/>
  <c r="A10435" i="13" s="1"/>
  <c r="A10436" i="13" s="1"/>
  <c r="A10437" i="13" s="1"/>
  <c r="A10438" i="13" s="1"/>
  <c r="A10439" i="13" s="1"/>
  <c r="A10440" i="13" s="1"/>
  <c r="A10441" i="13" s="1"/>
  <c r="A10442" i="13" s="1"/>
  <c r="A10443" i="13" s="1"/>
  <c r="A10444" i="13" s="1"/>
  <c r="A10445" i="13" s="1"/>
  <c r="A10446" i="13" s="1"/>
  <c r="A10447" i="13" s="1"/>
  <c r="A10448" i="13" s="1"/>
  <c r="A10449" i="13" s="1"/>
  <c r="A10450" i="13" s="1"/>
  <c r="A10451" i="13" s="1"/>
  <c r="A10452" i="13" s="1"/>
  <c r="A10453" i="13" s="1"/>
  <c r="A10454" i="13" s="1"/>
  <c r="A10455" i="13" s="1"/>
  <c r="A10456" i="13" s="1"/>
  <c r="A10457" i="13" s="1"/>
  <c r="A10458" i="13" s="1"/>
  <c r="A10459" i="13" s="1"/>
  <c r="A10460" i="13" s="1"/>
  <c r="A10461" i="13" s="1"/>
  <c r="A10462" i="13" s="1"/>
  <c r="A10463" i="13" s="1"/>
  <c r="A10464" i="13" s="1"/>
  <c r="A10465" i="13" s="1"/>
  <c r="A10466" i="13" s="1"/>
  <c r="A10467" i="13" s="1"/>
  <c r="A10468" i="13" s="1"/>
  <c r="A10469" i="13" s="1"/>
  <c r="A10470" i="13" s="1"/>
  <c r="A10471" i="13" s="1"/>
  <c r="A10472" i="13" s="1"/>
  <c r="A10473" i="13" s="1"/>
  <c r="A10474" i="13" s="1"/>
  <c r="A10475" i="13" s="1"/>
  <c r="A10476" i="13" s="1"/>
  <c r="A10477" i="13" s="1"/>
  <c r="A10478" i="13" s="1"/>
  <c r="A10479" i="13" s="1"/>
  <c r="A10480" i="13" s="1"/>
  <c r="A10481" i="13" s="1"/>
  <c r="A10482" i="13" s="1"/>
  <c r="A10483" i="13" s="1"/>
  <c r="A10484" i="13" s="1"/>
  <c r="A10485" i="13" s="1"/>
  <c r="A10486" i="13" s="1"/>
  <c r="A10487" i="13" s="1"/>
  <c r="A10488" i="13" s="1"/>
  <c r="A10489" i="13" s="1"/>
  <c r="A10490" i="13" s="1"/>
  <c r="A10491" i="13" s="1"/>
  <c r="A10492" i="13" s="1"/>
  <c r="A10493" i="13" s="1"/>
  <c r="A10494" i="13" s="1"/>
  <c r="A10495" i="13" s="1"/>
  <c r="A10496" i="13" s="1"/>
  <c r="A10497" i="13" s="1"/>
  <c r="A10498" i="13" s="1"/>
  <c r="A10499" i="13" s="1"/>
  <c r="A10500" i="13" s="1"/>
  <c r="A10501" i="13" s="1"/>
  <c r="A10502" i="13" s="1"/>
  <c r="A10503" i="13" s="1"/>
  <c r="A10504" i="13" s="1"/>
  <c r="A10505" i="13" s="1"/>
  <c r="A10506" i="13" s="1"/>
  <c r="A10507" i="13" s="1"/>
  <c r="G10416" i="13"/>
  <c r="AK100" i="1"/>
  <c r="AK101" i="1"/>
  <c r="AK32" i="1"/>
  <c r="AK30" i="1"/>
  <c r="AK8" i="1"/>
  <c r="AK48" i="1"/>
  <c r="AK53" i="1"/>
  <c r="AK64" i="1"/>
  <c r="AK71" i="1"/>
  <c r="AK73" i="1"/>
  <c r="AK80" i="1"/>
  <c r="AK108" i="1" s="1"/>
  <c r="AK110" i="1" s="1"/>
  <c r="AK81" i="1"/>
  <c r="AK90" i="1" s="1"/>
  <c r="AK82" i="1"/>
  <c r="AK83" i="1"/>
  <c r="AK27" i="1"/>
  <c r="AK23" i="1"/>
  <c r="AK15" i="1"/>
  <c r="AK9" i="1"/>
  <c r="AI8" i="1"/>
  <c r="AI9" i="1" s="1"/>
  <c r="AJ8" i="1"/>
  <c r="AJ9" i="1" s="1"/>
  <c r="AI15" i="1"/>
  <c r="AJ15" i="1"/>
  <c r="AJ16" i="1" s="1"/>
  <c r="AI23" i="1"/>
  <c r="AJ23" i="1"/>
  <c r="AI27" i="1"/>
  <c r="AI28" i="1" s="1"/>
  <c r="AI36" i="1" s="1"/>
  <c r="AJ27" i="1"/>
  <c r="AJ28" i="1"/>
  <c r="AJ36" i="1" s="1"/>
  <c r="AI35" i="1"/>
  <c r="AJ35" i="1"/>
  <c r="AI48" i="1"/>
  <c r="AJ48" i="1"/>
  <c r="AJ54" i="1" s="1"/>
  <c r="AJ56" i="1" s="1"/>
  <c r="AJ58" i="1" s="1"/>
  <c r="AJ60" i="1" s="1"/>
  <c r="AI53" i="1"/>
  <c r="AJ53" i="1"/>
  <c r="AI54" i="1"/>
  <c r="AI56" i="1" s="1"/>
  <c r="AI58" i="1" s="1"/>
  <c r="AI60" i="1" s="1"/>
  <c r="AI64" i="1"/>
  <c r="AJ64" i="1"/>
  <c r="AI71" i="1"/>
  <c r="AJ71" i="1"/>
  <c r="AI73" i="1"/>
  <c r="AJ73" i="1"/>
  <c r="AI80" i="1"/>
  <c r="AI79" i="1" s="1"/>
  <c r="AJ80" i="1"/>
  <c r="AJ79" i="1" s="1"/>
  <c r="AI81" i="1"/>
  <c r="AJ81" i="1"/>
  <c r="AI82" i="1"/>
  <c r="AJ82" i="1"/>
  <c r="AI83" i="1"/>
  <c r="AJ83" i="1"/>
  <c r="F10496" i="13" l="1"/>
  <c r="B10133" i="13"/>
  <c r="B10597" i="13"/>
  <c r="F10959" i="13"/>
  <c r="B10176" i="13"/>
  <c r="F10542" i="13" s="1"/>
  <c r="I102" i="2"/>
  <c r="I39" i="2"/>
  <c r="I46" i="2" s="1"/>
  <c r="I22" i="2"/>
  <c r="H39" i="2"/>
  <c r="H46" i="2" s="1"/>
  <c r="H22" i="2"/>
  <c r="G102" i="2"/>
  <c r="G39" i="2"/>
  <c r="G46" i="2" s="1"/>
  <c r="G47" i="2" s="1"/>
  <c r="G22" i="2"/>
  <c r="AK54" i="1"/>
  <c r="AK56" i="1" s="1"/>
  <c r="AK58" i="1" s="1"/>
  <c r="AK60" i="1" s="1"/>
  <c r="AK35" i="1"/>
  <c r="AK28" i="1"/>
  <c r="AK16" i="1"/>
  <c r="AK103" i="1"/>
  <c r="AK112" i="1" s="1"/>
  <c r="AK79" i="1"/>
  <c r="AK85" i="1" s="1"/>
  <c r="AI16" i="1"/>
  <c r="AI38" i="1" s="1"/>
  <c r="AJ38" i="1"/>
  <c r="B10598" i="13" l="1"/>
  <c r="F10960" i="13"/>
  <c r="F10497" i="13"/>
  <c r="B10134" i="13"/>
  <c r="B10177" i="13"/>
  <c r="F10543" i="13" s="1"/>
  <c r="I47" i="2"/>
  <c r="H47" i="2"/>
  <c r="AK87" i="1"/>
  <c r="AK36" i="1"/>
  <c r="AK38" i="1" s="1"/>
  <c r="F10498" i="13" l="1"/>
  <c r="B10135" i="13"/>
  <c r="B10599" i="13"/>
  <c r="F10961" i="13"/>
  <c r="B10178" i="13"/>
  <c r="F10544" i="13" s="1"/>
  <c r="G10284" i="13"/>
  <c r="G10285" i="13"/>
  <c r="G10286" i="13"/>
  <c r="G10287" i="13"/>
  <c r="G10288" i="13"/>
  <c r="G10289" i="13"/>
  <c r="G10290" i="13"/>
  <c r="G10291" i="13"/>
  <c r="G10292" i="13"/>
  <c r="G10293" i="13"/>
  <c r="G10294" i="13"/>
  <c r="G10295" i="13"/>
  <c r="G10296" i="13"/>
  <c r="G10297" i="13"/>
  <c r="G10298" i="13"/>
  <c r="G10299" i="13"/>
  <c r="G10300" i="13"/>
  <c r="G10301" i="13"/>
  <c r="G10302" i="13"/>
  <c r="G10303" i="13"/>
  <c r="G10304" i="13"/>
  <c r="G10305" i="13"/>
  <c r="G10306" i="13"/>
  <c r="G10307" i="13"/>
  <c r="G10308" i="13"/>
  <c r="G10309" i="13"/>
  <c r="G10310" i="13"/>
  <c r="G10311" i="13"/>
  <c r="G10312" i="13"/>
  <c r="G10313" i="13"/>
  <c r="G10314" i="13"/>
  <c r="G10315" i="13"/>
  <c r="G10316" i="13"/>
  <c r="G10317" i="13"/>
  <c r="G10318" i="13"/>
  <c r="B10600" i="13" l="1"/>
  <c r="F10962" i="13"/>
  <c r="F10499" i="13"/>
  <c r="B10136" i="13"/>
  <c r="B10179" i="13"/>
  <c r="F10545" i="13" s="1"/>
  <c r="G10186" i="13"/>
  <c r="G10187" i="13"/>
  <c r="G10188" i="13"/>
  <c r="G10189" i="13"/>
  <c r="G10190" i="13"/>
  <c r="G10191" i="13"/>
  <c r="G10192" i="13"/>
  <c r="G10193" i="13"/>
  <c r="G10194" i="13"/>
  <c r="G10195" i="13"/>
  <c r="G10196" i="13"/>
  <c r="G10197" i="13"/>
  <c r="G10198" i="13"/>
  <c r="G10199" i="13"/>
  <c r="G10200" i="13"/>
  <c r="G10201" i="13"/>
  <c r="G10202" i="13"/>
  <c r="G10203" i="13"/>
  <c r="G10204" i="13"/>
  <c r="G10205" i="13"/>
  <c r="G10206" i="13"/>
  <c r="G10207" i="13"/>
  <c r="G10208" i="13"/>
  <c r="G10209" i="13"/>
  <c r="G10210" i="13"/>
  <c r="G10211" i="13"/>
  <c r="G10212" i="13"/>
  <c r="G10213" i="13"/>
  <c r="G10214" i="13"/>
  <c r="G10215" i="13"/>
  <c r="G10216" i="13"/>
  <c r="G10217" i="13"/>
  <c r="G10218" i="13"/>
  <c r="G10219" i="13"/>
  <c r="G10220" i="13"/>
  <c r="G10221" i="13"/>
  <c r="G10222" i="13"/>
  <c r="G10223" i="13"/>
  <c r="G10224" i="13"/>
  <c r="G10225" i="13"/>
  <c r="G10226" i="13"/>
  <c r="G10227" i="13"/>
  <c r="G10228" i="13"/>
  <c r="G10229" i="13"/>
  <c r="G10230" i="13"/>
  <c r="G10231" i="13"/>
  <c r="G10232" i="13"/>
  <c r="G10233" i="13"/>
  <c r="G10234" i="13"/>
  <c r="G10235" i="13"/>
  <c r="G10236" i="13"/>
  <c r="G10237" i="13"/>
  <c r="G10238" i="13"/>
  <c r="G10239" i="13"/>
  <c r="G10240" i="13"/>
  <c r="G10241" i="13"/>
  <c r="G10242" i="13"/>
  <c r="G10243" i="13"/>
  <c r="G10244" i="13"/>
  <c r="G10245" i="13"/>
  <c r="G10246" i="13"/>
  <c r="G10247" i="13"/>
  <c r="G10248" i="13"/>
  <c r="G10249" i="13"/>
  <c r="G10250" i="13"/>
  <c r="G10251" i="13"/>
  <c r="G10252" i="13"/>
  <c r="G10253" i="13"/>
  <c r="G10254" i="13"/>
  <c r="G10255" i="13"/>
  <c r="G10256" i="13"/>
  <c r="G10257" i="13"/>
  <c r="G10258" i="13"/>
  <c r="G10259" i="13"/>
  <c r="G10260" i="13"/>
  <c r="G10261" i="13"/>
  <c r="G10262" i="13"/>
  <c r="G10263" i="13"/>
  <c r="G10264" i="13"/>
  <c r="G10265" i="13"/>
  <c r="G10266" i="13"/>
  <c r="G10267" i="13"/>
  <c r="G10268" i="13"/>
  <c r="G10269" i="13"/>
  <c r="G10270" i="13"/>
  <c r="G10271" i="13"/>
  <c r="G10272" i="13"/>
  <c r="G10273" i="13"/>
  <c r="G10274" i="13"/>
  <c r="G10275" i="13"/>
  <c r="G10276" i="13"/>
  <c r="G10277" i="13"/>
  <c r="G10278" i="13"/>
  <c r="G10279" i="13"/>
  <c r="G10280" i="13"/>
  <c r="G10281" i="13"/>
  <c r="G10282" i="13"/>
  <c r="G10283" i="13"/>
  <c r="AJ100" i="1"/>
  <c r="AJ108" i="1"/>
  <c r="AJ110" i="1" s="1"/>
  <c r="AJ101" i="1"/>
  <c r="AJ90" i="1"/>
  <c r="AI85" i="1"/>
  <c r="AI101" i="1"/>
  <c r="AI90" i="1"/>
  <c r="AI108" i="1"/>
  <c r="AI110" i="1" s="1"/>
  <c r="J44" i="10"/>
  <c r="J52" i="11"/>
  <c r="J57" i="11" s="1"/>
  <c r="J64" i="11" s="1"/>
  <c r="J66" i="11" s="1"/>
  <c r="J68" i="11" s="1"/>
  <c r="J44" i="11"/>
  <c r="J38" i="11"/>
  <c r="J32" i="11"/>
  <c r="J21" i="11"/>
  <c r="J12" i="11"/>
  <c r="J52" i="10"/>
  <c r="J57" i="10" s="1"/>
  <c r="J64" i="10" s="1"/>
  <c r="J66" i="10" s="1"/>
  <c r="J68" i="10" s="1"/>
  <c r="J38" i="10"/>
  <c r="J32" i="10"/>
  <c r="J39" i="10" s="1"/>
  <c r="J21" i="10"/>
  <c r="J12" i="10"/>
  <c r="V81" i="12"/>
  <c r="V80" i="12"/>
  <c r="V73" i="12"/>
  <c r="V72" i="12"/>
  <c r="V67" i="12"/>
  <c r="V65" i="12"/>
  <c r="V63" i="12"/>
  <c r="V62" i="12"/>
  <c r="V61" i="12"/>
  <c r="V60" i="12"/>
  <c r="V59" i="12"/>
  <c r="V58" i="12"/>
  <c r="V55" i="12"/>
  <c r="V54" i="12"/>
  <c r="V53" i="12"/>
  <c r="V51" i="12"/>
  <c r="V50" i="12"/>
  <c r="V45" i="12"/>
  <c r="V43" i="12"/>
  <c r="V42" i="12"/>
  <c r="V41" i="12"/>
  <c r="V36" i="12"/>
  <c r="V35" i="12"/>
  <c r="V34" i="12"/>
  <c r="V31" i="12"/>
  <c r="V30" i="12"/>
  <c r="V29" i="12"/>
  <c r="V28" i="12"/>
  <c r="V27" i="12"/>
  <c r="V26" i="12"/>
  <c r="V25" i="12"/>
  <c r="V20" i="12"/>
  <c r="V18" i="12"/>
  <c r="V17" i="12"/>
  <c r="V16" i="12"/>
  <c r="V14" i="12"/>
  <c r="V13" i="12"/>
  <c r="V11" i="12"/>
  <c r="V10" i="12"/>
  <c r="V9" i="12"/>
  <c r="V8" i="12"/>
  <c r="V7" i="12"/>
  <c r="V6" i="12"/>
  <c r="V5" i="12"/>
  <c r="V98" i="9"/>
  <c r="V83" i="12" s="1"/>
  <c r="V97" i="9"/>
  <c r="V83" i="9"/>
  <c r="V89" i="9"/>
  <c r="V37" i="9"/>
  <c r="V15" i="9"/>
  <c r="V15" i="12" s="1"/>
  <c r="V19" i="9"/>
  <c r="V19" i="12" s="1"/>
  <c r="V89" i="8"/>
  <c r="V82" i="8"/>
  <c r="V99" i="8"/>
  <c r="V52" i="8"/>
  <c r="V57" i="8" s="1"/>
  <c r="V64" i="8" s="1"/>
  <c r="V66" i="8" s="1"/>
  <c r="V68" i="8" s="1"/>
  <c r="V44" i="8"/>
  <c r="V38" i="8"/>
  <c r="V32" i="8"/>
  <c r="V21" i="8"/>
  <c r="V12" i="8"/>
  <c r="V82" i="7"/>
  <c r="V89" i="7"/>
  <c r="V83" i="7"/>
  <c r="V83" i="6"/>
  <c r="V82" i="6"/>
  <c r="V89" i="6"/>
  <c r="V82" i="5"/>
  <c r="V83" i="5"/>
  <c r="V89" i="5"/>
  <c r="V83" i="4"/>
  <c r="V82" i="4"/>
  <c r="V89" i="4"/>
  <c r="V83" i="3"/>
  <c r="V89" i="3"/>
  <c r="V82" i="3"/>
  <c r="V56" i="3"/>
  <c r="V56" i="12" s="1"/>
  <c r="F10500" i="13" l="1"/>
  <c r="B10137" i="13"/>
  <c r="F10501" i="13" s="1"/>
  <c r="B10601" i="13"/>
  <c r="F10963" i="13"/>
  <c r="V92" i="7"/>
  <c r="V101" i="7" s="1"/>
  <c r="B10180" i="13"/>
  <c r="F10546" i="13" s="1"/>
  <c r="V37" i="12"/>
  <c r="V38" i="12" s="1"/>
  <c r="V92" i="8"/>
  <c r="V101" i="8" s="1"/>
  <c r="V74" i="12"/>
  <c r="V52" i="12"/>
  <c r="V57" i="12" s="1"/>
  <c r="V64" i="12" s="1"/>
  <c r="V66" i="12" s="1"/>
  <c r="V68" i="12" s="1"/>
  <c r="V44" i="12"/>
  <c r="V21" i="12"/>
  <c r="V32" i="12"/>
  <c r="V12" i="12"/>
  <c r="AJ85" i="1"/>
  <c r="AJ103" i="1"/>
  <c r="AJ112" i="1" s="1"/>
  <c r="AI103" i="1"/>
  <c r="AI112" i="1" s="1"/>
  <c r="J39" i="11"/>
  <c r="J46" i="11" s="1"/>
  <c r="J22" i="11"/>
  <c r="J46" i="10"/>
  <c r="J22" i="10"/>
  <c r="V39" i="8"/>
  <c r="V46" i="8" s="1"/>
  <c r="V22" i="8"/>
  <c r="V98" i="2"/>
  <c r="V84" i="2"/>
  <c r="V83" i="2"/>
  <c r="V60" i="2"/>
  <c r="V52" i="2"/>
  <c r="V57" i="2" s="1"/>
  <c r="V44" i="2"/>
  <c r="V38" i="2"/>
  <c r="V32" i="2"/>
  <c r="V21" i="2"/>
  <c r="V12" i="2"/>
  <c r="AH108" i="1"/>
  <c r="AH101" i="1"/>
  <c r="AH100" i="1"/>
  <c r="AH90" i="1"/>
  <c r="AH110" i="1"/>
  <c r="AH83" i="1"/>
  <c r="AH82" i="1"/>
  <c r="AH81" i="1"/>
  <c r="AH80" i="1"/>
  <c r="AH73" i="1"/>
  <c r="AH71" i="1"/>
  <c r="AH64" i="1"/>
  <c r="AH53" i="1"/>
  <c r="AH48" i="1"/>
  <c r="AH35" i="1"/>
  <c r="AH27" i="1"/>
  <c r="AH23" i="1"/>
  <c r="AH15" i="1"/>
  <c r="AH9" i="1"/>
  <c r="E72" i="12"/>
  <c r="F72" i="12"/>
  <c r="J72" i="12"/>
  <c r="N72" i="12"/>
  <c r="R72" i="12"/>
  <c r="E73" i="12"/>
  <c r="F73" i="12"/>
  <c r="J73" i="12"/>
  <c r="N73" i="12"/>
  <c r="R73" i="12"/>
  <c r="F74" i="12"/>
  <c r="J74" i="12"/>
  <c r="D72" i="12"/>
  <c r="D73" i="12"/>
  <c r="D74" i="12"/>
  <c r="C72" i="12"/>
  <c r="C73" i="12"/>
  <c r="B74" i="12"/>
  <c r="B83" i="12"/>
  <c r="B10602" i="13" l="1"/>
  <c r="F10964" i="13"/>
  <c r="B10181" i="13"/>
  <c r="F10547" i="13" s="1"/>
  <c r="V75" i="12"/>
  <c r="V77" i="12" s="1"/>
  <c r="V39" i="12"/>
  <c r="V46" i="12" s="1"/>
  <c r="V22" i="12"/>
  <c r="V100" i="2"/>
  <c r="V88" i="12" s="1"/>
  <c r="V82" i="12"/>
  <c r="V84" i="12" s="1"/>
  <c r="AI87" i="1"/>
  <c r="J47" i="11"/>
  <c r="J47" i="10"/>
  <c r="V47" i="8"/>
  <c r="V47" i="3"/>
  <c r="V93" i="2"/>
  <c r="V65" i="2"/>
  <c r="V67" i="2" s="1"/>
  <c r="V69" i="2" s="1"/>
  <c r="V39" i="2"/>
  <c r="V46" i="2" s="1"/>
  <c r="V22" i="2"/>
  <c r="AH103" i="1"/>
  <c r="AH112" i="1" s="1"/>
  <c r="AH79" i="1"/>
  <c r="AH85" i="1" s="1"/>
  <c r="AH54" i="1"/>
  <c r="AH56" i="1" s="1"/>
  <c r="AH58" i="1" s="1"/>
  <c r="AH60" i="1" s="1"/>
  <c r="AH28" i="1"/>
  <c r="AH36" i="1" s="1"/>
  <c r="AH16" i="1"/>
  <c r="D21" i="9"/>
  <c r="B81" i="12"/>
  <c r="C81" i="12"/>
  <c r="D81" i="12"/>
  <c r="E81" i="12"/>
  <c r="F81" i="12"/>
  <c r="J81" i="12"/>
  <c r="N81" i="12"/>
  <c r="R81" i="12"/>
  <c r="B82" i="12"/>
  <c r="C82" i="12"/>
  <c r="D82" i="12"/>
  <c r="E82" i="12"/>
  <c r="F82" i="12"/>
  <c r="J82" i="12"/>
  <c r="C83" i="12"/>
  <c r="D83" i="12"/>
  <c r="E83" i="12"/>
  <c r="F83" i="12"/>
  <c r="J83" i="12"/>
  <c r="N83" i="12"/>
  <c r="R83" i="12"/>
  <c r="C80" i="12"/>
  <c r="D80" i="12"/>
  <c r="E80" i="12"/>
  <c r="F80" i="12"/>
  <c r="J80" i="12"/>
  <c r="N80" i="12"/>
  <c r="R80" i="12"/>
  <c r="B80" i="12"/>
  <c r="R67" i="12"/>
  <c r="N67" i="12"/>
  <c r="J67" i="12"/>
  <c r="F67" i="12"/>
  <c r="E67" i="12"/>
  <c r="D67" i="12"/>
  <c r="C67" i="12"/>
  <c r="B67" i="12"/>
  <c r="R65" i="12"/>
  <c r="N65" i="12"/>
  <c r="J65" i="12"/>
  <c r="F65" i="12"/>
  <c r="E65" i="12"/>
  <c r="D65" i="12"/>
  <c r="C65" i="12"/>
  <c r="B65" i="12"/>
  <c r="R63" i="12"/>
  <c r="N63" i="12"/>
  <c r="J63" i="12"/>
  <c r="F63" i="12"/>
  <c r="E63" i="12"/>
  <c r="D63" i="12"/>
  <c r="C63" i="12"/>
  <c r="B63" i="12"/>
  <c r="R62" i="12"/>
  <c r="N62" i="12"/>
  <c r="J62" i="12"/>
  <c r="F62" i="12"/>
  <c r="E62" i="12"/>
  <c r="D62" i="12"/>
  <c r="C62" i="12"/>
  <c r="B62" i="12"/>
  <c r="R61" i="12"/>
  <c r="N61" i="12"/>
  <c r="J61" i="12"/>
  <c r="F61" i="12"/>
  <c r="E61" i="12"/>
  <c r="D61" i="12"/>
  <c r="C61" i="12"/>
  <c r="B61" i="12"/>
  <c r="R60" i="12"/>
  <c r="N60" i="12"/>
  <c r="J60" i="12"/>
  <c r="F60" i="12"/>
  <c r="E60" i="12"/>
  <c r="D60" i="12"/>
  <c r="C60" i="12"/>
  <c r="B60" i="12"/>
  <c r="R59" i="12"/>
  <c r="N59" i="12"/>
  <c r="J59" i="12"/>
  <c r="F59" i="12"/>
  <c r="E59" i="12"/>
  <c r="D59" i="12"/>
  <c r="C59" i="12"/>
  <c r="B59" i="12"/>
  <c r="R58" i="12"/>
  <c r="N58" i="12"/>
  <c r="J58" i="12"/>
  <c r="F58" i="12"/>
  <c r="E58" i="12"/>
  <c r="D58" i="12"/>
  <c r="C58" i="12"/>
  <c r="B58" i="12"/>
  <c r="R56" i="12"/>
  <c r="N56" i="12"/>
  <c r="J56" i="12"/>
  <c r="F56" i="12"/>
  <c r="E56" i="12"/>
  <c r="D56" i="12"/>
  <c r="C56" i="12"/>
  <c r="B56" i="12"/>
  <c r="R55" i="12"/>
  <c r="N55" i="12"/>
  <c r="J55" i="12"/>
  <c r="F55" i="12"/>
  <c r="E55" i="12"/>
  <c r="D55" i="12"/>
  <c r="C55" i="12"/>
  <c r="B55" i="12"/>
  <c r="R54" i="12"/>
  <c r="N54" i="12"/>
  <c r="J54" i="12"/>
  <c r="F54" i="12"/>
  <c r="E54" i="12"/>
  <c r="D54" i="12"/>
  <c r="C54" i="12"/>
  <c r="B54" i="12"/>
  <c r="R53" i="12"/>
  <c r="N53" i="12"/>
  <c r="J53" i="12"/>
  <c r="F53" i="12"/>
  <c r="E53" i="12"/>
  <c r="D53" i="12"/>
  <c r="C53" i="12"/>
  <c r="B53" i="12"/>
  <c r="R51" i="12"/>
  <c r="N51" i="12"/>
  <c r="J51" i="12"/>
  <c r="F51" i="12"/>
  <c r="E51" i="12"/>
  <c r="D51" i="12"/>
  <c r="C51" i="12"/>
  <c r="B51" i="12"/>
  <c r="R50" i="12"/>
  <c r="N50" i="12"/>
  <c r="J50" i="12"/>
  <c r="F50" i="12"/>
  <c r="E50" i="12"/>
  <c r="D50" i="12"/>
  <c r="C50" i="12"/>
  <c r="B50" i="12"/>
  <c r="R45" i="12"/>
  <c r="N45" i="12"/>
  <c r="J45" i="12"/>
  <c r="F45" i="12"/>
  <c r="E45" i="12"/>
  <c r="D45" i="12"/>
  <c r="C45" i="12"/>
  <c r="B45" i="12"/>
  <c r="R43" i="12"/>
  <c r="N43" i="12"/>
  <c r="J43" i="12"/>
  <c r="F43" i="12"/>
  <c r="D43" i="12"/>
  <c r="C43" i="12"/>
  <c r="B43" i="12"/>
  <c r="R42" i="12"/>
  <c r="N42" i="12"/>
  <c r="J42" i="12"/>
  <c r="F42" i="12"/>
  <c r="E42" i="12"/>
  <c r="D42" i="12"/>
  <c r="C42" i="12"/>
  <c r="B42" i="12"/>
  <c r="R41" i="12"/>
  <c r="N41" i="12"/>
  <c r="J41" i="12"/>
  <c r="F41" i="12"/>
  <c r="E41" i="12"/>
  <c r="D41" i="12"/>
  <c r="C41" i="12"/>
  <c r="B41" i="12"/>
  <c r="R37" i="12"/>
  <c r="N37" i="12"/>
  <c r="J37" i="12"/>
  <c r="F37" i="12"/>
  <c r="E37" i="12"/>
  <c r="D37" i="12"/>
  <c r="C37" i="12"/>
  <c r="B37" i="12"/>
  <c r="R36" i="12"/>
  <c r="N36" i="12"/>
  <c r="J36" i="12"/>
  <c r="F36" i="12"/>
  <c r="E36" i="12"/>
  <c r="D36" i="12"/>
  <c r="C36" i="12"/>
  <c r="B36" i="12"/>
  <c r="R35" i="12"/>
  <c r="N35" i="12"/>
  <c r="J35" i="12"/>
  <c r="F35" i="12"/>
  <c r="E35" i="12"/>
  <c r="D35" i="12"/>
  <c r="C35" i="12"/>
  <c r="B35" i="12"/>
  <c r="R34" i="12"/>
  <c r="J34" i="12"/>
  <c r="F34" i="12"/>
  <c r="E34" i="12"/>
  <c r="D34" i="12"/>
  <c r="C34" i="12"/>
  <c r="B34" i="12"/>
  <c r="R31" i="12"/>
  <c r="N31" i="12"/>
  <c r="J31" i="12"/>
  <c r="F31" i="12"/>
  <c r="E31" i="12"/>
  <c r="D31" i="12"/>
  <c r="C31" i="12"/>
  <c r="B31" i="12"/>
  <c r="R30" i="12"/>
  <c r="N30" i="12"/>
  <c r="J30" i="12"/>
  <c r="F30" i="12"/>
  <c r="E30" i="12"/>
  <c r="D30" i="12"/>
  <c r="C30" i="12"/>
  <c r="B30" i="12"/>
  <c r="R29" i="12"/>
  <c r="N29" i="12"/>
  <c r="J29" i="12"/>
  <c r="F29" i="12"/>
  <c r="E29" i="12"/>
  <c r="D29" i="12"/>
  <c r="C29" i="12"/>
  <c r="B29" i="12"/>
  <c r="R28" i="12"/>
  <c r="N28" i="12"/>
  <c r="J28" i="12"/>
  <c r="F28" i="12"/>
  <c r="E28" i="12"/>
  <c r="D28" i="12"/>
  <c r="C28" i="12"/>
  <c r="B28" i="12"/>
  <c r="R27" i="12"/>
  <c r="N27" i="12"/>
  <c r="J27" i="12"/>
  <c r="F27" i="12"/>
  <c r="E27" i="12"/>
  <c r="D27" i="12"/>
  <c r="C27" i="12"/>
  <c r="B27" i="12"/>
  <c r="R26" i="12"/>
  <c r="J26" i="12"/>
  <c r="F26" i="12"/>
  <c r="E26" i="12"/>
  <c r="D26" i="12"/>
  <c r="C26" i="12"/>
  <c r="B26" i="12"/>
  <c r="R25" i="12"/>
  <c r="J25" i="12"/>
  <c r="F25" i="12"/>
  <c r="E25" i="12"/>
  <c r="D25" i="12"/>
  <c r="C25" i="12"/>
  <c r="B25" i="12"/>
  <c r="R20" i="12"/>
  <c r="N20" i="12"/>
  <c r="J20" i="12"/>
  <c r="F20" i="12"/>
  <c r="E20" i="12"/>
  <c r="D20" i="12"/>
  <c r="C20" i="12"/>
  <c r="B20" i="12"/>
  <c r="F19" i="12"/>
  <c r="D19" i="12"/>
  <c r="C19" i="12"/>
  <c r="B19" i="12"/>
  <c r="R18" i="12"/>
  <c r="N18" i="12"/>
  <c r="J18" i="12"/>
  <c r="F18" i="12"/>
  <c r="E18" i="12"/>
  <c r="D18" i="12"/>
  <c r="C18" i="12"/>
  <c r="B18" i="12"/>
  <c r="R17" i="12"/>
  <c r="N17" i="12"/>
  <c r="J17" i="12"/>
  <c r="F17" i="12"/>
  <c r="E17" i="12"/>
  <c r="D17" i="12"/>
  <c r="C17" i="12"/>
  <c r="B17" i="12"/>
  <c r="R16" i="12"/>
  <c r="N16" i="12"/>
  <c r="J16" i="12"/>
  <c r="F16" i="12"/>
  <c r="E16" i="12"/>
  <c r="D16" i="12"/>
  <c r="C16" i="12"/>
  <c r="B16" i="12"/>
  <c r="R15" i="12"/>
  <c r="N15" i="12"/>
  <c r="J15" i="12"/>
  <c r="F15" i="12"/>
  <c r="E15" i="12"/>
  <c r="D15" i="12"/>
  <c r="C15" i="12"/>
  <c r="B15" i="12"/>
  <c r="R14" i="12"/>
  <c r="N14" i="12"/>
  <c r="J14" i="12"/>
  <c r="F14" i="12"/>
  <c r="E14" i="12"/>
  <c r="D14" i="12"/>
  <c r="C14" i="12"/>
  <c r="B14" i="12"/>
  <c r="R13" i="12"/>
  <c r="N13" i="12"/>
  <c r="J13" i="12"/>
  <c r="F13" i="12"/>
  <c r="E13" i="12"/>
  <c r="D13" i="12"/>
  <c r="C13" i="12"/>
  <c r="B13" i="12"/>
  <c r="B6" i="12"/>
  <c r="C6" i="12"/>
  <c r="D6" i="12"/>
  <c r="E6" i="12"/>
  <c r="F6" i="12"/>
  <c r="J6" i="12"/>
  <c r="N6" i="12"/>
  <c r="R6" i="12"/>
  <c r="B7" i="12"/>
  <c r="C7" i="12"/>
  <c r="D7" i="12"/>
  <c r="E7" i="12"/>
  <c r="F7" i="12"/>
  <c r="J7" i="12"/>
  <c r="N7" i="12"/>
  <c r="R7" i="12"/>
  <c r="B8" i="12"/>
  <c r="C8" i="12"/>
  <c r="D8" i="12"/>
  <c r="E8" i="12"/>
  <c r="F8" i="12"/>
  <c r="J8" i="12"/>
  <c r="N8" i="12"/>
  <c r="R8" i="12"/>
  <c r="B9" i="12"/>
  <c r="C9" i="12"/>
  <c r="D9" i="12"/>
  <c r="E9" i="12"/>
  <c r="F9" i="12"/>
  <c r="J9" i="12"/>
  <c r="N9" i="12"/>
  <c r="R9" i="12"/>
  <c r="B10" i="12"/>
  <c r="C10" i="12"/>
  <c r="D10" i="12"/>
  <c r="E10" i="12"/>
  <c r="F10" i="12"/>
  <c r="J10" i="12"/>
  <c r="N10" i="12"/>
  <c r="R10" i="12"/>
  <c r="B11" i="12"/>
  <c r="C11" i="12"/>
  <c r="D11" i="12"/>
  <c r="E11" i="12"/>
  <c r="F11" i="12"/>
  <c r="J11" i="12"/>
  <c r="N11" i="12"/>
  <c r="R11" i="12"/>
  <c r="C5" i="12"/>
  <c r="D5" i="12"/>
  <c r="E5" i="12"/>
  <c r="F5" i="12"/>
  <c r="J5" i="12"/>
  <c r="N5" i="12"/>
  <c r="R5" i="12"/>
  <c r="B5" i="12"/>
  <c r="B72" i="12"/>
  <c r="B73" i="12"/>
  <c r="R87" i="9"/>
  <c r="R83" i="9"/>
  <c r="N87" i="9"/>
  <c r="N83" i="9"/>
  <c r="R97" i="9"/>
  <c r="N97" i="9"/>
  <c r="N99" i="9" s="1"/>
  <c r="J99" i="9"/>
  <c r="F99" i="9"/>
  <c r="E99" i="9"/>
  <c r="D99" i="9"/>
  <c r="C99" i="9"/>
  <c r="B99" i="9"/>
  <c r="J92" i="9"/>
  <c r="F92" i="9"/>
  <c r="E92" i="9"/>
  <c r="D92" i="9"/>
  <c r="C92" i="9"/>
  <c r="B92" i="9"/>
  <c r="R83" i="8"/>
  <c r="R87" i="8"/>
  <c r="N83" i="8"/>
  <c r="N92" i="8" s="1"/>
  <c r="R99" i="8"/>
  <c r="N99" i="8"/>
  <c r="J99" i="8"/>
  <c r="F99" i="8"/>
  <c r="E99" i="8"/>
  <c r="D99" i="8"/>
  <c r="C99" i="8"/>
  <c r="B99" i="8"/>
  <c r="D92" i="8"/>
  <c r="C92" i="8"/>
  <c r="B92" i="8"/>
  <c r="J92" i="8"/>
  <c r="E92" i="8"/>
  <c r="F92" i="8"/>
  <c r="R83" i="7"/>
  <c r="R92" i="7" s="1"/>
  <c r="R101" i="7" s="1"/>
  <c r="N83" i="7"/>
  <c r="N92" i="7" s="1"/>
  <c r="N101" i="7" s="1"/>
  <c r="J83" i="7"/>
  <c r="J92" i="7" s="1"/>
  <c r="J101" i="7" s="1"/>
  <c r="F82" i="7"/>
  <c r="F83" i="7"/>
  <c r="E83" i="7"/>
  <c r="E89" i="7"/>
  <c r="F99" i="7"/>
  <c r="E99" i="7"/>
  <c r="D99" i="7"/>
  <c r="C99" i="7"/>
  <c r="B99" i="7"/>
  <c r="B92" i="7"/>
  <c r="D92" i="7"/>
  <c r="C92" i="7"/>
  <c r="R83" i="6"/>
  <c r="R82" i="6"/>
  <c r="N83" i="6"/>
  <c r="J83" i="6"/>
  <c r="J82" i="6"/>
  <c r="F83" i="6"/>
  <c r="F82" i="6"/>
  <c r="E83" i="6"/>
  <c r="E87" i="6"/>
  <c r="D83" i="6"/>
  <c r="D92" i="6" s="1"/>
  <c r="C83" i="6"/>
  <c r="C92" i="6" s="1"/>
  <c r="F99" i="6"/>
  <c r="E99" i="6"/>
  <c r="D99" i="6"/>
  <c r="C99" i="6"/>
  <c r="B99" i="6"/>
  <c r="B92" i="6"/>
  <c r="R83" i="5"/>
  <c r="N83" i="5"/>
  <c r="J83" i="5"/>
  <c r="F83" i="5"/>
  <c r="F92" i="5" s="1"/>
  <c r="C83" i="5"/>
  <c r="C92" i="5"/>
  <c r="B83" i="5"/>
  <c r="B92" i="5" s="1"/>
  <c r="F99" i="5"/>
  <c r="E99" i="5"/>
  <c r="D99" i="5"/>
  <c r="C99" i="5"/>
  <c r="B99" i="5"/>
  <c r="E92" i="5"/>
  <c r="D92" i="5"/>
  <c r="R83" i="4"/>
  <c r="N83" i="4"/>
  <c r="J83" i="4"/>
  <c r="F82" i="4"/>
  <c r="F83" i="4"/>
  <c r="F99" i="4"/>
  <c r="E99" i="4"/>
  <c r="D99" i="4"/>
  <c r="C99" i="4"/>
  <c r="B99" i="4"/>
  <c r="E92" i="4"/>
  <c r="D92" i="4"/>
  <c r="C92" i="4"/>
  <c r="B92" i="4"/>
  <c r="R83" i="3"/>
  <c r="R82" i="3"/>
  <c r="N83" i="3"/>
  <c r="F83" i="3"/>
  <c r="B10603" i="13" l="1"/>
  <c r="F10965" i="13"/>
  <c r="B10182" i="13"/>
  <c r="F10548" i="13" s="1"/>
  <c r="E101" i="9"/>
  <c r="C101" i="9"/>
  <c r="D101" i="9"/>
  <c r="B101" i="9"/>
  <c r="N92" i="9"/>
  <c r="N101" i="9" s="1"/>
  <c r="N74" i="12"/>
  <c r="B101" i="8"/>
  <c r="R92" i="8"/>
  <c r="R101" i="8" s="1"/>
  <c r="R74" i="12"/>
  <c r="C101" i="8"/>
  <c r="D101" i="8"/>
  <c r="E74" i="12"/>
  <c r="C101" i="7"/>
  <c r="B101" i="7"/>
  <c r="F92" i="7"/>
  <c r="R87" i="12"/>
  <c r="B101" i="6"/>
  <c r="F92" i="6"/>
  <c r="E92" i="6"/>
  <c r="E101" i="6" s="1"/>
  <c r="B101" i="4"/>
  <c r="F92" i="4"/>
  <c r="V47" i="12"/>
  <c r="V102" i="2"/>
  <c r="V87" i="12"/>
  <c r="V89" i="12" s="1"/>
  <c r="AJ87" i="1"/>
  <c r="C84" i="12"/>
  <c r="V47" i="2"/>
  <c r="AH38" i="1"/>
  <c r="AH87" i="1"/>
  <c r="F84" i="12"/>
  <c r="E84" i="12"/>
  <c r="D84" i="12"/>
  <c r="B84" i="12"/>
  <c r="J84" i="12"/>
  <c r="R101" i="9"/>
  <c r="F101" i="9"/>
  <c r="J101" i="9"/>
  <c r="N101" i="8"/>
  <c r="J101" i="8"/>
  <c r="F101" i="8"/>
  <c r="E101" i="8"/>
  <c r="F101" i="7"/>
  <c r="E92" i="7"/>
  <c r="E101" i="7" s="1"/>
  <c r="D101" i="7"/>
  <c r="F101" i="6"/>
  <c r="D101" i="6"/>
  <c r="C101" i="6"/>
  <c r="F101" i="5"/>
  <c r="E101" i="5"/>
  <c r="D101" i="5"/>
  <c r="C101" i="5"/>
  <c r="B101" i="5"/>
  <c r="F101" i="4"/>
  <c r="C101" i="4"/>
  <c r="D101" i="4"/>
  <c r="E101" i="4"/>
  <c r="F99" i="3"/>
  <c r="E99" i="3"/>
  <c r="D99" i="3"/>
  <c r="C99" i="3"/>
  <c r="B99" i="3"/>
  <c r="C92" i="3"/>
  <c r="B92" i="3"/>
  <c r="F92" i="3"/>
  <c r="E92" i="3"/>
  <c r="D92" i="3"/>
  <c r="R98" i="2"/>
  <c r="R82" i="12" s="1"/>
  <c r="R84" i="12" s="1"/>
  <c r="R84" i="2"/>
  <c r="R75" i="12" s="1"/>
  <c r="N98" i="2"/>
  <c r="N82" i="12" s="1"/>
  <c r="N84" i="12" s="1"/>
  <c r="N84" i="2"/>
  <c r="N75" i="12" s="1"/>
  <c r="J84" i="2"/>
  <c r="J75" i="12" s="1"/>
  <c r="J77" i="12" s="1"/>
  <c r="F84" i="2"/>
  <c r="F75" i="12" s="1"/>
  <c r="F77" i="12" s="1"/>
  <c r="E84" i="2"/>
  <c r="E75" i="12" s="1"/>
  <c r="D84" i="2"/>
  <c r="C84" i="2"/>
  <c r="B84" i="2"/>
  <c r="B75" i="12" s="1"/>
  <c r="B77" i="12" s="1"/>
  <c r="C90" i="2"/>
  <c r="C74" i="12" s="1"/>
  <c r="C89" i="2"/>
  <c r="N100" i="2"/>
  <c r="N88" i="12" s="1"/>
  <c r="J100" i="2"/>
  <c r="J88" i="12" s="1"/>
  <c r="F100" i="2"/>
  <c r="F88" i="12" s="1"/>
  <c r="E100" i="2"/>
  <c r="D100" i="2"/>
  <c r="D88" i="12" s="1"/>
  <c r="C100" i="2"/>
  <c r="B100" i="2"/>
  <c r="N93" i="2"/>
  <c r="N87" i="12" s="1"/>
  <c r="AG100" i="1"/>
  <c r="AF100" i="1"/>
  <c r="AE100" i="1"/>
  <c r="AD100" i="1"/>
  <c r="AC100" i="1"/>
  <c r="B10604" i="13" l="1"/>
  <c r="F10966" i="13"/>
  <c r="B10183" i="13"/>
  <c r="F10549" i="13" s="1"/>
  <c r="N77" i="12"/>
  <c r="R77" i="12"/>
  <c r="E77" i="12"/>
  <c r="B88" i="12"/>
  <c r="E88" i="12"/>
  <c r="C88" i="12"/>
  <c r="B93" i="2"/>
  <c r="B87" i="12" s="1"/>
  <c r="J93" i="2"/>
  <c r="J87" i="12" s="1"/>
  <c r="J89" i="12" s="1"/>
  <c r="E93" i="2"/>
  <c r="E87" i="12" s="1"/>
  <c r="F93" i="2"/>
  <c r="F87" i="12" s="1"/>
  <c r="F89" i="12" s="1"/>
  <c r="C75" i="12"/>
  <c r="C77" i="12" s="1"/>
  <c r="C93" i="2"/>
  <c r="C87" i="12" s="1"/>
  <c r="R88" i="12"/>
  <c r="D93" i="2"/>
  <c r="D87" i="12" s="1"/>
  <c r="D75" i="12"/>
  <c r="D77" i="12" s="1"/>
  <c r="N89" i="12"/>
  <c r="F101" i="3"/>
  <c r="E101" i="3"/>
  <c r="D101" i="3"/>
  <c r="B101" i="3"/>
  <c r="C101" i="3"/>
  <c r="N102" i="2"/>
  <c r="F102" i="2"/>
  <c r="AC103" i="1"/>
  <c r="AB100" i="1"/>
  <c r="AB103" i="1" s="1"/>
  <c r="AA100" i="1"/>
  <c r="AA103" i="1" s="1"/>
  <c r="Z100" i="1"/>
  <c r="Y100" i="1"/>
  <c r="Y103" i="1" s="1"/>
  <c r="X100" i="1"/>
  <c r="X103" i="1" s="1"/>
  <c r="W100" i="1"/>
  <c r="W103" i="1" s="1"/>
  <c r="V100" i="1"/>
  <c r="V103" i="1" s="1"/>
  <c r="U100" i="1"/>
  <c r="U103" i="1" s="1"/>
  <c r="T100" i="1"/>
  <c r="Q100" i="1"/>
  <c r="Q103" i="1" s="1"/>
  <c r="M100" i="1"/>
  <c r="P100" i="1"/>
  <c r="L100" i="1"/>
  <c r="N100" i="1"/>
  <c r="N103" i="1" s="1"/>
  <c r="M103" i="1"/>
  <c r="J100" i="1"/>
  <c r="J103" i="1" s="1"/>
  <c r="I100" i="1"/>
  <c r="I103" i="1" s="1"/>
  <c r="H100" i="1"/>
  <c r="H103" i="1" s="1"/>
  <c r="G100" i="1"/>
  <c r="G103" i="1" s="1"/>
  <c r="F100" i="1"/>
  <c r="F103" i="1" s="1"/>
  <c r="D97" i="1"/>
  <c r="E100" i="1"/>
  <c r="E103" i="1" s="1"/>
  <c r="D100" i="1"/>
  <c r="C100" i="1"/>
  <c r="C103" i="1" s="1"/>
  <c r="B100" i="1"/>
  <c r="B103" i="1" s="1"/>
  <c r="E110" i="1"/>
  <c r="K110" i="1"/>
  <c r="L110" i="1"/>
  <c r="M110" i="1"/>
  <c r="S110" i="1"/>
  <c r="T110" i="1"/>
  <c r="U110" i="1"/>
  <c r="AA110" i="1"/>
  <c r="AB110" i="1"/>
  <c r="AC110" i="1"/>
  <c r="K103" i="1"/>
  <c r="S103" i="1"/>
  <c r="AD103" i="1"/>
  <c r="AG103" i="1"/>
  <c r="J110" i="1"/>
  <c r="N110" i="1"/>
  <c r="O110" i="1"/>
  <c r="P110" i="1"/>
  <c r="Q110" i="1"/>
  <c r="R110" i="1"/>
  <c r="V110" i="1"/>
  <c r="W110" i="1"/>
  <c r="X110" i="1"/>
  <c r="Y110" i="1"/>
  <c r="Z110" i="1"/>
  <c r="AD110" i="1"/>
  <c r="AE110" i="1"/>
  <c r="AF110" i="1"/>
  <c r="AG110" i="1"/>
  <c r="O103" i="1"/>
  <c r="P103" i="1"/>
  <c r="R103" i="1"/>
  <c r="Z103" i="1"/>
  <c r="AE103" i="1"/>
  <c r="AF103" i="1"/>
  <c r="I110" i="1"/>
  <c r="H110" i="1"/>
  <c r="G110" i="1"/>
  <c r="F110" i="1"/>
  <c r="D110" i="1"/>
  <c r="C110" i="1"/>
  <c r="B110" i="1"/>
  <c r="B12" i="9"/>
  <c r="B21" i="9"/>
  <c r="F12" i="7"/>
  <c r="E12" i="7"/>
  <c r="D53" i="11"/>
  <c r="I52" i="10"/>
  <c r="I57" i="10" s="1"/>
  <c r="I64" i="10" s="1"/>
  <c r="I66" i="10" s="1"/>
  <c r="I68" i="10" s="1"/>
  <c r="H52" i="10"/>
  <c r="H57" i="10" s="1"/>
  <c r="H64" i="10" s="1"/>
  <c r="H66" i="10" s="1"/>
  <c r="H68" i="10" s="1"/>
  <c r="G52" i="10"/>
  <c r="G57" i="10" s="1"/>
  <c r="G64" i="10" s="1"/>
  <c r="G66" i="10" s="1"/>
  <c r="G68" i="10" s="1"/>
  <c r="F52" i="10"/>
  <c r="F57" i="10" s="1"/>
  <c r="F64" i="10" s="1"/>
  <c r="F66" i="10" s="1"/>
  <c r="F68" i="10" s="1"/>
  <c r="E52" i="10"/>
  <c r="E57" i="10" s="1"/>
  <c r="E64" i="10" s="1"/>
  <c r="E66" i="10" s="1"/>
  <c r="E68" i="10" s="1"/>
  <c r="D52" i="10"/>
  <c r="D57" i="10" s="1"/>
  <c r="D64" i="10" s="1"/>
  <c r="D66" i="10" s="1"/>
  <c r="D68" i="10" s="1"/>
  <c r="C52" i="10"/>
  <c r="C57" i="10" s="1"/>
  <c r="C64" i="10" s="1"/>
  <c r="C66" i="10" s="1"/>
  <c r="C68" i="10" s="1"/>
  <c r="B52" i="10"/>
  <c r="B57" i="10" s="1"/>
  <c r="B64" i="10" s="1"/>
  <c r="B66" i="10" s="1"/>
  <c r="B68" i="10" s="1"/>
  <c r="I44" i="10"/>
  <c r="H44" i="10"/>
  <c r="G44" i="10"/>
  <c r="F44" i="10"/>
  <c r="E44" i="10"/>
  <c r="D44" i="10"/>
  <c r="C44" i="10"/>
  <c r="B44" i="10"/>
  <c r="I38" i="10"/>
  <c r="H38" i="10"/>
  <c r="G38" i="10"/>
  <c r="F38" i="10"/>
  <c r="E38" i="10"/>
  <c r="D38" i="10"/>
  <c r="C38" i="10"/>
  <c r="B38" i="10"/>
  <c r="I32" i="10"/>
  <c r="H32" i="10"/>
  <c r="G32" i="10"/>
  <c r="F32" i="10"/>
  <c r="E32" i="10"/>
  <c r="D32" i="10"/>
  <c r="D39" i="10" s="1"/>
  <c r="C32" i="10"/>
  <c r="B32" i="10"/>
  <c r="I21" i="10"/>
  <c r="H21" i="10"/>
  <c r="G21" i="10"/>
  <c r="F21" i="10"/>
  <c r="E21" i="10"/>
  <c r="D21" i="10"/>
  <c r="C21" i="10"/>
  <c r="B21" i="10"/>
  <c r="I12" i="10"/>
  <c r="H12" i="10"/>
  <c r="H22" i="10" s="1"/>
  <c r="G12" i="10"/>
  <c r="F12" i="10"/>
  <c r="E12" i="10"/>
  <c r="D12" i="10"/>
  <c r="C12" i="10"/>
  <c r="B12" i="10"/>
  <c r="I52" i="11"/>
  <c r="I57" i="11" s="1"/>
  <c r="I64" i="11" s="1"/>
  <c r="I66" i="11" s="1"/>
  <c r="I68" i="11" s="1"/>
  <c r="H52" i="11"/>
  <c r="H57" i="11" s="1"/>
  <c r="H64" i="11" s="1"/>
  <c r="H66" i="11" s="1"/>
  <c r="H68" i="11" s="1"/>
  <c r="G52" i="11"/>
  <c r="G57" i="11" s="1"/>
  <c r="G64" i="11" s="1"/>
  <c r="G66" i="11" s="1"/>
  <c r="G68" i="11" s="1"/>
  <c r="F52" i="11"/>
  <c r="F57" i="11" s="1"/>
  <c r="F64" i="11" s="1"/>
  <c r="F66" i="11" s="1"/>
  <c r="F68" i="11" s="1"/>
  <c r="E52" i="11"/>
  <c r="E57" i="11" s="1"/>
  <c r="E64" i="11" s="1"/>
  <c r="E66" i="11" s="1"/>
  <c r="E68" i="11" s="1"/>
  <c r="D52" i="11"/>
  <c r="D57" i="11" s="1"/>
  <c r="D64" i="11" s="1"/>
  <c r="D66" i="11" s="1"/>
  <c r="D68" i="11" s="1"/>
  <c r="C52" i="11"/>
  <c r="C57" i="11" s="1"/>
  <c r="C64" i="11" s="1"/>
  <c r="C66" i="11" s="1"/>
  <c r="C68" i="11" s="1"/>
  <c r="B52" i="11"/>
  <c r="B57" i="11" s="1"/>
  <c r="B64" i="11" s="1"/>
  <c r="B66" i="11" s="1"/>
  <c r="B68" i="11" s="1"/>
  <c r="I44" i="11"/>
  <c r="H44" i="11"/>
  <c r="G44" i="11"/>
  <c r="F44" i="11"/>
  <c r="E44" i="11"/>
  <c r="D44" i="11"/>
  <c r="C44" i="11"/>
  <c r="B44" i="11"/>
  <c r="I38" i="11"/>
  <c r="H38" i="11"/>
  <c r="G38" i="11"/>
  <c r="F38" i="11"/>
  <c r="E38" i="11"/>
  <c r="D38" i="11"/>
  <c r="C38" i="11"/>
  <c r="B38" i="11"/>
  <c r="I32" i="11"/>
  <c r="H32" i="11"/>
  <c r="G32" i="11"/>
  <c r="F32" i="11"/>
  <c r="E32" i="11"/>
  <c r="D32" i="11"/>
  <c r="C32" i="11"/>
  <c r="B32" i="11"/>
  <c r="G21" i="11"/>
  <c r="F21" i="11"/>
  <c r="E21" i="11"/>
  <c r="D21" i="11"/>
  <c r="C21" i="11"/>
  <c r="B21" i="11"/>
  <c r="I21" i="11"/>
  <c r="H21" i="11"/>
  <c r="I12" i="11"/>
  <c r="H12" i="11"/>
  <c r="G12" i="11"/>
  <c r="F12" i="11"/>
  <c r="E12" i="11"/>
  <c r="D12" i="11"/>
  <c r="C12" i="11"/>
  <c r="B12" i="11"/>
  <c r="R19" i="9"/>
  <c r="N34" i="9"/>
  <c r="N34" i="12" s="1"/>
  <c r="N26" i="9"/>
  <c r="N26" i="12" s="1"/>
  <c r="N25" i="9"/>
  <c r="N25" i="12" s="1"/>
  <c r="N19" i="9"/>
  <c r="J19" i="7"/>
  <c r="E43" i="7"/>
  <c r="E43" i="12" s="1"/>
  <c r="E19" i="7"/>
  <c r="C21" i="7"/>
  <c r="D21" i="7"/>
  <c r="N52" i="9"/>
  <c r="N57" i="9" s="1"/>
  <c r="N64" i="9" s="1"/>
  <c r="N66" i="9" s="1"/>
  <c r="N68" i="9" s="1"/>
  <c r="J52" i="9"/>
  <c r="J57" i="9" s="1"/>
  <c r="J64" i="9" s="1"/>
  <c r="J66" i="9" s="1"/>
  <c r="J68" i="9" s="1"/>
  <c r="F52" i="9"/>
  <c r="F57" i="9" s="1"/>
  <c r="F64" i="9" s="1"/>
  <c r="F66" i="9" s="1"/>
  <c r="F68" i="9" s="1"/>
  <c r="E52" i="9"/>
  <c r="E57" i="9" s="1"/>
  <c r="E64" i="9" s="1"/>
  <c r="E66" i="9" s="1"/>
  <c r="E68" i="9" s="1"/>
  <c r="D52" i="9"/>
  <c r="D57" i="9" s="1"/>
  <c r="D64" i="9" s="1"/>
  <c r="D66" i="9" s="1"/>
  <c r="D68" i="9" s="1"/>
  <c r="C52" i="9"/>
  <c r="C57" i="9" s="1"/>
  <c r="C64" i="9" s="1"/>
  <c r="C66" i="9" s="1"/>
  <c r="C68" i="9" s="1"/>
  <c r="B52" i="9"/>
  <c r="B57" i="9" s="1"/>
  <c r="B64" i="9" s="1"/>
  <c r="B66" i="9" s="1"/>
  <c r="B68" i="9" s="1"/>
  <c r="N44" i="9"/>
  <c r="N12" i="9"/>
  <c r="R52" i="8"/>
  <c r="R57" i="8" s="1"/>
  <c r="R64" i="8" s="1"/>
  <c r="R66" i="8" s="1"/>
  <c r="R68" i="8" s="1"/>
  <c r="N52" i="8"/>
  <c r="N57" i="8" s="1"/>
  <c r="N64" i="8" s="1"/>
  <c r="N66" i="8" s="1"/>
  <c r="N68" i="8" s="1"/>
  <c r="J52" i="8"/>
  <c r="J57" i="8" s="1"/>
  <c r="J64" i="8" s="1"/>
  <c r="J66" i="8" s="1"/>
  <c r="J68" i="8" s="1"/>
  <c r="F52" i="8"/>
  <c r="F57" i="8" s="1"/>
  <c r="F64" i="8" s="1"/>
  <c r="F66" i="8" s="1"/>
  <c r="F68" i="8" s="1"/>
  <c r="E52" i="8"/>
  <c r="E57" i="8" s="1"/>
  <c r="E64" i="8" s="1"/>
  <c r="E66" i="8" s="1"/>
  <c r="E68" i="8" s="1"/>
  <c r="D52" i="8"/>
  <c r="D57" i="8" s="1"/>
  <c r="D64" i="8" s="1"/>
  <c r="D66" i="8" s="1"/>
  <c r="D68" i="8" s="1"/>
  <c r="C52" i="8"/>
  <c r="C57" i="8" s="1"/>
  <c r="C64" i="8" s="1"/>
  <c r="C66" i="8" s="1"/>
  <c r="C68" i="8" s="1"/>
  <c r="B52" i="8"/>
  <c r="B57" i="8" s="1"/>
  <c r="B64" i="8" s="1"/>
  <c r="B66" i="8" s="1"/>
  <c r="B68" i="8" s="1"/>
  <c r="R44" i="8"/>
  <c r="N44" i="8"/>
  <c r="J44" i="8"/>
  <c r="F44" i="8"/>
  <c r="E44" i="8"/>
  <c r="D44" i="8"/>
  <c r="C44" i="8"/>
  <c r="B44" i="8"/>
  <c r="R38" i="8"/>
  <c r="N38" i="8"/>
  <c r="J38" i="8"/>
  <c r="F38" i="8"/>
  <c r="E38" i="8"/>
  <c r="D38" i="8"/>
  <c r="C38" i="8"/>
  <c r="B38" i="8"/>
  <c r="R32" i="8"/>
  <c r="N32" i="8"/>
  <c r="J32" i="8"/>
  <c r="F32" i="8"/>
  <c r="E32" i="8"/>
  <c r="D32" i="8"/>
  <c r="C32" i="8"/>
  <c r="B32" i="8"/>
  <c r="R21" i="8"/>
  <c r="N21" i="8"/>
  <c r="J21" i="8"/>
  <c r="F21" i="8"/>
  <c r="E21" i="8"/>
  <c r="D21" i="8"/>
  <c r="C21" i="8"/>
  <c r="B21" i="8"/>
  <c r="R12" i="8"/>
  <c r="N12" i="8"/>
  <c r="J12" i="8"/>
  <c r="F12" i="8"/>
  <c r="E12" i="8"/>
  <c r="D12" i="8"/>
  <c r="C12" i="8"/>
  <c r="B12" i="8"/>
  <c r="F52" i="7"/>
  <c r="F57" i="7" s="1"/>
  <c r="F64" i="7" s="1"/>
  <c r="F66" i="7" s="1"/>
  <c r="F68" i="7" s="1"/>
  <c r="E52" i="7"/>
  <c r="E57" i="7" s="1"/>
  <c r="E64" i="7" s="1"/>
  <c r="E66" i="7" s="1"/>
  <c r="E68" i="7" s="1"/>
  <c r="D52" i="7"/>
  <c r="D57" i="7" s="1"/>
  <c r="D64" i="7" s="1"/>
  <c r="D66" i="7" s="1"/>
  <c r="D68" i="7" s="1"/>
  <c r="C52" i="7"/>
  <c r="C57" i="7" s="1"/>
  <c r="C64" i="7" s="1"/>
  <c r="C66" i="7" s="1"/>
  <c r="C68" i="7" s="1"/>
  <c r="B52" i="7"/>
  <c r="B57" i="7" s="1"/>
  <c r="B64" i="7" s="1"/>
  <c r="B66" i="7" s="1"/>
  <c r="B68" i="7" s="1"/>
  <c r="F44" i="7"/>
  <c r="D44" i="7"/>
  <c r="C44" i="7"/>
  <c r="B44" i="7"/>
  <c r="F38" i="7"/>
  <c r="E38" i="7"/>
  <c r="D38" i="7"/>
  <c r="C38" i="7"/>
  <c r="B38" i="7"/>
  <c r="F32" i="7"/>
  <c r="E32" i="7"/>
  <c r="D32" i="7"/>
  <c r="C32" i="7"/>
  <c r="B32" i="7"/>
  <c r="F21" i="7"/>
  <c r="B21" i="7"/>
  <c r="D12" i="7"/>
  <c r="C12" i="7"/>
  <c r="B12" i="7"/>
  <c r="F52" i="6"/>
  <c r="F57" i="6" s="1"/>
  <c r="F64" i="6" s="1"/>
  <c r="F66" i="6" s="1"/>
  <c r="F68" i="6" s="1"/>
  <c r="E52" i="6"/>
  <c r="E57" i="6" s="1"/>
  <c r="E64" i="6" s="1"/>
  <c r="E66" i="6" s="1"/>
  <c r="E68" i="6" s="1"/>
  <c r="D52" i="6"/>
  <c r="D57" i="6" s="1"/>
  <c r="D64" i="6" s="1"/>
  <c r="D66" i="6" s="1"/>
  <c r="D68" i="6" s="1"/>
  <c r="C52" i="6"/>
  <c r="C57" i="6" s="1"/>
  <c r="C64" i="6" s="1"/>
  <c r="C66" i="6" s="1"/>
  <c r="C68" i="6" s="1"/>
  <c r="B52" i="6"/>
  <c r="B57" i="6" s="1"/>
  <c r="B64" i="6" s="1"/>
  <c r="B66" i="6" s="1"/>
  <c r="B68" i="6" s="1"/>
  <c r="F44" i="6"/>
  <c r="E44" i="6"/>
  <c r="D44" i="6"/>
  <c r="C44" i="6"/>
  <c r="B44" i="6"/>
  <c r="F38" i="6"/>
  <c r="E38" i="6"/>
  <c r="D38" i="6"/>
  <c r="C38" i="6"/>
  <c r="B38" i="6"/>
  <c r="F32" i="6"/>
  <c r="E32" i="6"/>
  <c r="D32" i="6"/>
  <c r="C32" i="6"/>
  <c r="B32" i="6"/>
  <c r="F21" i="6"/>
  <c r="E21" i="6"/>
  <c r="D21" i="6"/>
  <c r="C21" i="6"/>
  <c r="B21" i="6"/>
  <c r="F12" i="6"/>
  <c r="E12" i="6"/>
  <c r="D12" i="6"/>
  <c r="C12" i="6"/>
  <c r="B12" i="6"/>
  <c r="F52" i="5"/>
  <c r="F57" i="5" s="1"/>
  <c r="F64" i="5" s="1"/>
  <c r="F66" i="5" s="1"/>
  <c r="F68" i="5" s="1"/>
  <c r="E52" i="5"/>
  <c r="E57" i="5" s="1"/>
  <c r="E64" i="5" s="1"/>
  <c r="E66" i="5" s="1"/>
  <c r="E68" i="5" s="1"/>
  <c r="D52" i="5"/>
  <c r="D57" i="5" s="1"/>
  <c r="D64" i="5" s="1"/>
  <c r="D66" i="5" s="1"/>
  <c r="D68" i="5" s="1"/>
  <c r="C52" i="5"/>
  <c r="C57" i="5" s="1"/>
  <c r="C64" i="5" s="1"/>
  <c r="C66" i="5" s="1"/>
  <c r="C68" i="5" s="1"/>
  <c r="B52" i="5"/>
  <c r="B57" i="5" s="1"/>
  <c r="B64" i="5" s="1"/>
  <c r="B66" i="5" s="1"/>
  <c r="B68" i="5" s="1"/>
  <c r="F44" i="5"/>
  <c r="E44" i="5"/>
  <c r="D44" i="5"/>
  <c r="C44" i="5"/>
  <c r="B44" i="5"/>
  <c r="F38" i="5"/>
  <c r="E38" i="5"/>
  <c r="D38" i="5"/>
  <c r="C38" i="5"/>
  <c r="B38" i="5"/>
  <c r="F32" i="5"/>
  <c r="E32" i="5"/>
  <c r="D32" i="5"/>
  <c r="C32" i="5"/>
  <c r="B32" i="5"/>
  <c r="F21" i="5"/>
  <c r="E21" i="5"/>
  <c r="D21" i="5"/>
  <c r="C21" i="5"/>
  <c r="B21" i="5"/>
  <c r="F12" i="5"/>
  <c r="E12" i="5"/>
  <c r="D12" i="5"/>
  <c r="C12" i="5"/>
  <c r="B12" i="5"/>
  <c r="J57" i="4"/>
  <c r="J64" i="4" s="1"/>
  <c r="J66" i="4" s="1"/>
  <c r="J68" i="4" s="1"/>
  <c r="F52" i="4"/>
  <c r="F57" i="4" s="1"/>
  <c r="F64" i="4" s="1"/>
  <c r="F66" i="4" s="1"/>
  <c r="F68" i="4" s="1"/>
  <c r="E52" i="4"/>
  <c r="E57" i="4" s="1"/>
  <c r="E64" i="4" s="1"/>
  <c r="E66" i="4" s="1"/>
  <c r="E68" i="4" s="1"/>
  <c r="D52" i="4"/>
  <c r="D57" i="4" s="1"/>
  <c r="D64" i="4" s="1"/>
  <c r="D66" i="4" s="1"/>
  <c r="D68" i="4" s="1"/>
  <c r="C52" i="4"/>
  <c r="C57" i="4" s="1"/>
  <c r="C64" i="4" s="1"/>
  <c r="C66" i="4" s="1"/>
  <c r="C68" i="4" s="1"/>
  <c r="B52" i="4"/>
  <c r="B57" i="4" s="1"/>
  <c r="B64" i="4" s="1"/>
  <c r="B66" i="4" s="1"/>
  <c r="B68" i="4" s="1"/>
  <c r="F44" i="4"/>
  <c r="E44" i="4"/>
  <c r="D44" i="4"/>
  <c r="C44" i="4"/>
  <c r="B44" i="4"/>
  <c r="F38" i="4"/>
  <c r="E38" i="4"/>
  <c r="D38" i="4"/>
  <c r="C38" i="4"/>
  <c r="B38" i="4"/>
  <c r="F32" i="4"/>
  <c r="E32" i="4"/>
  <c r="D32" i="4"/>
  <c r="C32" i="4"/>
  <c r="B32" i="4"/>
  <c r="F21" i="4"/>
  <c r="E21" i="4"/>
  <c r="D21" i="4"/>
  <c r="C21" i="4"/>
  <c r="B21" i="4"/>
  <c r="F12" i="4"/>
  <c r="E12" i="4"/>
  <c r="D12" i="4"/>
  <c r="C12" i="4"/>
  <c r="B12" i="4"/>
  <c r="F52" i="3"/>
  <c r="F57" i="3" s="1"/>
  <c r="F64" i="3" s="1"/>
  <c r="F66" i="3" s="1"/>
  <c r="F68" i="3" s="1"/>
  <c r="E52" i="3"/>
  <c r="E57" i="3" s="1"/>
  <c r="E64" i="3" s="1"/>
  <c r="E66" i="3" s="1"/>
  <c r="E68" i="3" s="1"/>
  <c r="D52" i="3"/>
  <c r="D57" i="3" s="1"/>
  <c r="D64" i="3" s="1"/>
  <c r="D66" i="3" s="1"/>
  <c r="D68" i="3" s="1"/>
  <c r="C52" i="3"/>
  <c r="C57" i="3" s="1"/>
  <c r="C64" i="3" s="1"/>
  <c r="C66" i="3" s="1"/>
  <c r="C68" i="3" s="1"/>
  <c r="B52" i="3"/>
  <c r="B57" i="3" s="1"/>
  <c r="B64" i="3" s="1"/>
  <c r="B66" i="3" s="1"/>
  <c r="B68" i="3" s="1"/>
  <c r="F44" i="3"/>
  <c r="E44" i="3"/>
  <c r="D44" i="3"/>
  <c r="C44" i="3"/>
  <c r="B44" i="3"/>
  <c r="F38" i="3"/>
  <c r="E38" i="3"/>
  <c r="D38" i="3"/>
  <c r="C38" i="3"/>
  <c r="B38" i="3"/>
  <c r="F32" i="3"/>
  <c r="E32" i="3"/>
  <c r="D32" i="3"/>
  <c r="C32" i="3"/>
  <c r="B32" i="3"/>
  <c r="J21" i="3"/>
  <c r="F21" i="3"/>
  <c r="E21" i="3"/>
  <c r="D21" i="3"/>
  <c r="C21" i="3"/>
  <c r="B21" i="3"/>
  <c r="J12" i="3"/>
  <c r="F12" i="3"/>
  <c r="E12" i="3"/>
  <c r="D12" i="3"/>
  <c r="C12" i="3"/>
  <c r="B12" i="3"/>
  <c r="H112" i="1" l="1"/>
  <c r="F112" i="1"/>
  <c r="G112" i="1"/>
  <c r="B10605" i="13"/>
  <c r="F10967" i="13"/>
  <c r="J19" i="12"/>
  <c r="J21" i="7"/>
  <c r="J22" i="7" s="1"/>
  <c r="J47" i="7" s="1"/>
  <c r="E44" i="7"/>
  <c r="B10184" i="13"/>
  <c r="F10550" i="13" s="1"/>
  <c r="R89" i="12"/>
  <c r="N32" i="9"/>
  <c r="R19" i="12"/>
  <c r="N38" i="9"/>
  <c r="N21" i="9"/>
  <c r="N19" i="12"/>
  <c r="N21" i="12" s="1"/>
  <c r="R22" i="8"/>
  <c r="E21" i="7"/>
  <c r="E19" i="12"/>
  <c r="E21" i="12" s="1"/>
  <c r="E89" i="12"/>
  <c r="B89" i="12"/>
  <c r="E102" i="2"/>
  <c r="B102" i="2"/>
  <c r="J102" i="2"/>
  <c r="C102" i="2"/>
  <c r="D89" i="12"/>
  <c r="C89" i="12"/>
  <c r="D102" i="2"/>
  <c r="J112" i="1"/>
  <c r="I112" i="1"/>
  <c r="K112" i="1"/>
  <c r="C112" i="1"/>
  <c r="F44" i="12"/>
  <c r="E44" i="12"/>
  <c r="D21" i="12"/>
  <c r="J38" i="12"/>
  <c r="D44" i="12"/>
  <c r="B38" i="12"/>
  <c r="N44" i="12"/>
  <c r="C44" i="12"/>
  <c r="J52" i="12"/>
  <c r="J57" i="12" s="1"/>
  <c r="J64" i="12" s="1"/>
  <c r="J66" i="12" s="1"/>
  <c r="J68" i="12" s="1"/>
  <c r="N12" i="12"/>
  <c r="D52" i="12"/>
  <c r="D57" i="12" s="1"/>
  <c r="D64" i="12" s="1"/>
  <c r="D66" i="12" s="1"/>
  <c r="D68" i="12" s="1"/>
  <c r="B32" i="12"/>
  <c r="N52" i="12"/>
  <c r="N57" i="12" s="1"/>
  <c r="N64" i="12" s="1"/>
  <c r="N66" i="12" s="1"/>
  <c r="N68" i="12" s="1"/>
  <c r="B21" i="12"/>
  <c r="F21" i="12"/>
  <c r="C21" i="12"/>
  <c r="D38" i="12"/>
  <c r="J44" i="12"/>
  <c r="J32" i="12"/>
  <c r="C38" i="12"/>
  <c r="E52" i="12"/>
  <c r="E57" i="12" s="1"/>
  <c r="E64" i="12" s="1"/>
  <c r="E66" i="12" s="1"/>
  <c r="E68" i="12" s="1"/>
  <c r="F52" i="12"/>
  <c r="F57" i="12" s="1"/>
  <c r="F64" i="12" s="1"/>
  <c r="F66" i="12" s="1"/>
  <c r="F68" i="12" s="1"/>
  <c r="E32" i="12"/>
  <c r="F38" i="12"/>
  <c r="B44" i="12"/>
  <c r="B112" i="1"/>
  <c r="D103" i="1"/>
  <c r="D112" i="1" s="1"/>
  <c r="T103" i="1"/>
  <c r="L103" i="1"/>
  <c r="E22" i="8"/>
  <c r="E39" i="8"/>
  <c r="R21" i="12"/>
  <c r="R32" i="12"/>
  <c r="J12" i="12"/>
  <c r="R44" i="12"/>
  <c r="E38" i="12"/>
  <c r="D32" i="12"/>
  <c r="F32" i="12"/>
  <c r="R52" i="12"/>
  <c r="R57" i="12" s="1"/>
  <c r="R64" i="12" s="1"/>
  <c r="R66" i="12" s="1"/>
  <c r="R68" i="12" s="1"/>
  <c r="E12" i="12"/>
  <c r="D12" i="12"/>
  <c r="C12" i="12"/>
  <c r="R38" i="12"/>
  <c r="C32" i="12"/>
  <c r="C52" i="12"/>
  <c r="C57" i="12" s="1"/>
  <c r="C64" i="12" s="1"/>
  <c r="C66" i="12" s="1"/>
  <c r="C68" i="12" s="1"/>
  <c r="B52" i="12"/>
  <c r="B57" i="12" s="1"/>
  <c r="B64" i="12" s="1"/>
  <c r="B66" i="12" s="1"/>
  <c r="B68" i="12" s="1"/>
  <c r="N38" i="12"/>
  <c r="N32" i="12"/>
  <c r="J21" i="12"/>
  <c r="F12" i="12"/>
  <c r="R12" i="12"/>
  <c r="B12" i="12"/>
  <c r="F22" i="9"/>
  <c r="J22" i="9"/>
  <c r="B39" i="9"/>
  <c r="B46" i="9" s="1"/>
  <c r="B22" i="8"/>
  <c r="B39" i="8"/>
  <c r="B46" i="8" s="1"/>
  <c r="C22" i="8"/>
  <c r="C39" i="8"/>
  <c r="C46" i="8" s="1"/>
  <c r="D22" i="8"/>
  <c r="D39" i="8"/>
  <c r="D46" i="8" s="1"/>
  <c r="C39" i="9"/>
  <c r="C46" i="9" s="1"/>
  <c r="B22" i="9"/>
  <c r="D39" i="9"/>
  <c r="D46" i="9" s="1"/>
  <c r="C22" i="9"/>
  <c r="E39" i="9"/>
  <c r="E46" i="9" s="1"/>
  <c r="D22" i="9"/>
  <c r="F39" i="9"/>
  <c r="F46" i="9" s="1"/>
  <c r="E22" i="9"/>
  <c r="J39" i="9"/>
  <c r="J46" i="9" s="1"/>
  <c r="J47" i="9" s="1"/>
  <c r="D22" i="4"/>
  <c r="I39" i="10"/>
  <c r="I46" i="10" s="1"/>
  <c r="H39" i="10"/>
  <c r="H46" i="10" s="1"/>
  <c r="H47" i="10" s="1"/>
  <c r="G39" i="10"/>
  <c r="F39" i="10"/>
  <c r="F46" i="10" s="1"/>
  <c r="E39" i="10"/>
  <c r="E46" i="10" s="1"/>
  <c r="D46" i="10"/>
  <c r="C39" i="10"/>
  <c r="B39" i="10"/>
  <c r="B46" i="10" s="1"/>
  <c r="D22" i="11"/>
  <c r="C22" i="10"/>
  <c r="D22" i="10"/>
  <c r="E22" i="10"/>
  <c r="F22" i="10"/>
  <c r="I22" i="10"/>
  <c r="B22" i="10"/>
  <c r="G22" i="10"/>
  <c r="C46" i="10"/>
  <c r="G46" i="10"/>
  <c r="I39" i="11"/>
  <c r="I46" i="11" s="1"/>
  <c r="I22" i="11"/>
  <c r="E22" i="11"/>
  <c r="D39" i="11"/>
  <c r="D46" i="11" s="1"/>
  <c r="E39" i="11"/>
  <c r="E46" i="11" s="1"/>
  <c r="C39" i="11"/>
  <c r="C46" i="11" s="1"/>
  <c r="F39" i="11"/>
  <c r="F46" i="11" s="1"/>
  <c r="B39" i="11"/>
  <c r="B46" i="11" s="1"/>
  <c r="G39" i="11"/>
  <c r="G46" i="11" s="1"/>
  <c r="H39" i="11"/>
  <c r="H46" i="11" s="1"/>
  <c r="F22" i="11"/>
  <c r="G22" i="11"/>
  <c r="H22" i="11"/>
  <c r="B22" i="11"/>
  <c r="C22" i="11"/>
  <c r="N39" i="9"/>
  <c r="N46" i="9" s="1"/>
  <c r="N22" i="9"/>
  <c r="R39" i="8"/>
  <c r="R46" i="8" s="1"/>
  <c r="R47" i="8" s="1"/>
  <c r="F39" i="8"/>
  <c r="F46" i="8" s="1"/>
  <c r="J39" i="8"/>
  <c r="J46" i="8" s="1"/>
  <c r="N39" i="8"/>
  <c r="N46" i="8" s="1"/>
  <c r="J22" i="8"/>
  <c r="N22" i="8"/>
  <c r="F22" i="8"/>
  <c r="C39" i="7"/>
  <c r="C46" i="7" s="1"/>
  <c r="E46" i="8"/>
  <c r="D39" i="7"/>
  <c r="D46" i="7" s="1"/>
  <c r="E39" i="7"/>
  <c r="E46" i="7" s="1"/>
  <c r="F39" i="7"/>
  <c r="F46" i="7" s="1"/>
  <c r="B39" i="7"/>
  <c r="B46" i="7" s="1"/>
  <c r="C22" i="7"/>
  <c r="D22" i="7"/>
  <c r="E22" i="7"/>
  <c r="F22" i="7"/>
  <c r="B22" i="7"/>
  <c r="C39" i="6"/>
  <c r="C46" i="6" s="1"/>
  <c r="D39" i="6"/>
  <c r="D46" i="6" s="1"/>
  <c r="B39" i="6"/>
  <c r="B46" i="6" s="1"/>
  <c r="E39" i="6"/>
  <c r="E46" i="6" s="1"/>
  <c r="F39" i="6"/>
  <c r="F46" i="6" s="1"/>
  <c r="B22" i="6"/>
  <c r="C22" i="6"/>
  <c r="E22" i="6"/>
  <c r="F22" i="6"/>
  <c r="D22" i="6"/>
  <c r="B39" i="5"/>
  <c r="B46" i="5" s="1"/>
  <c r="D39" i="5"/>
  <c r="D46" i="5" s="1"/>
  <c r="C39" i="5"/>
  <c r="C46" i="5" s="1"/>
  <c r="E39" i="5"/>
  <c r="E46" i="5" s="1"/>
  <c r="F39" i="5"/>
  <c r="F46" i="5" s="1"/>
  <c r="B22" i="5"/>
  <c r="C22" i="5"/>
  <c r="E22" i="5"/>
  <c r="F22" i="5"/>
  <c r="D22" i="5"/>
  <c r="D39" i="4"/>
  <c r="D46" i="4" s="1"/>
  <c r="E39" i="4"/>
  <c r="E46" i="4" s="1"/>
  <c r="C39" i="4"/>
  <c r="C46" i="4" s="1"/>
  <c r="F39" i="4"/>
  <c r="F46" i="4" s="1"/>
  <c r="B39" i="4"/>
  <c r="B46" i="4" s="1"/>
  <c r="F22" i="4"/>
  <c r="E22" i="4"/>
  <c r="B22" i="4"/>
  <c r="C22" i="4"/>
  <c r="R47" i="3"/>
  <c r="C22" i="3"/>
  <c r="B22" i="3"/>
  <c r="F39" i="3"/>
  <c r="F46" i="3" s="1"/>
  <c r="D39" i="3"/>
  <c r="D46" i="3" s="1"/>
  <c r="E39" i="3"/>
  <c r="E46" i="3" s="1"/>
  <c r="B39" i="3"/>
  <c r="B46" i="3" s="1"/>
  <c r="C39" i="3"/>
  <c r="C46" i="3" s="1"/>
  <c r="N47" i="3"/>
  <c r="E22" i="3"/>
  <c r="F22" i="3"/>
  <c r="D22" i="3"/>
  <c r="J22" i="3"/>
  <c r="J47" i="3" s="1"/>
  <c r="E32" i="2"/>
  <c r="F32" i="2"/>
  <c r="J32" i="2"/>
  <c r="N32" i="2"/>
  <c r="R32" i="2"/>
  <c r="B32" i="2"/>
  <c r="C32" i="2"/>
  <c r="D32" i="2"/>
  <c r="C12" i="2"/>
  <c r="D12" i="2"/>
  <c r="E12" i="2"/>
  <c r="F12" i="2"/>
  <c r="J12" i="2"/>
  <c r="N12" i="2"/>
  <c r="R12" i="2"/>
  <c r="B12" i="2"/>
  <c r="D21" i="2"/>
  <c r="E21" i="2"/>
  <c r="F21" i="2"/>
  <c r="J21" i="2"/>
  <c r="N21" i="2"/>
  <c r="R21" i="2"/>
  <c r="C21" i="2"/>
  <c r="C52" i="2"/>
  <c r="C57" i="2" s="1"/>
  <c r="C65" i="2" s="1"/>
  <c r="C67" i="2" s="1"/>
  <c r="C69" i="2" s="1"/>
  <c r="D52" i="2"/>
  <c r="D57" i="2" s="1"/>
  <c r="D65" i="2" s="1"/>
  <c r="D67" i="2" s="1"/>
  <c r="D69" i="2" s="1"/>
  <c r="E52" i="2"/>
  <c r="E57" i="2" s="1"/>
  <c r="E65" i="2" s="1"/>
  <c r="E67" i="2" s="1"/>
  <c r="E69" i="2" s="1"/>
  <c r="F52" i="2"/>
  <c r="F57" i="2" s="1"/>
  <c r="F65" i="2" s="1"/>
  <c r="F67" i="2" s="1"/>
  <c r="F69" i="2" s="1"/>
  <c r="J52" i="2"/>
  <c r="J57" i="2" s="1"/>
  <c r="J65" i="2" s="1"/>
  <c r="J67" i="2" s="1"/>
  <c r="J69" i="2" s="1"/>
  <c r="N52" i="2"/>
  <c r="N57" i="2" s="1"/>
  <c r="N65" i="2" s="1"/>
  <c r="N67" i="2" s="1"/>
  <c r="N69" i="2" s="1"/>
  <c r="R52" i="2"/>
  <c r="R57" i="2" s="1"/>
  <c r="R65" i="2" s="1"/>
  <c r="R67" i="2" s="1"/>
  <c r="R69" i="2" s="1"/>
  <c r="B52" i="2"/>
  <c r="B57" i="2" s="1"/>
  <c r="B65" i="2" s="1"/>
  <c r="B67" i="2" s="1"/>
  <c r="B69" i="2" s="1"/>
  <c r="C44" i="2"/>
  <c r="D44" i="2"/>
  <c r="E44" i="2"/>
  <c r="F44" i="2"/>
  <c r="J44" i="2"/>
  <c r="N44" i="2"/>
  <c r="R44" i="2"/>
  <c r="B44" i="2"/>
  <c r="C38" i="2"/>
  <c r="D38" i="2"/>
  <c r="E38" i="2"/>
  <c r="F38" i="2"/>
  <c r="J38" i="2"/>
  <c r="N38" i="2"/>
  <c r="R38" i="2"/>
  <c r="B38" i="2"/>
  <c r="B10606" i="13" l="1"/>
  <c r="F10968" i="13"/>
  <c r="B10185" i="13"/>
  <c r="F10551" i="13" s="1"/>
  <c r="B47" i="9"/>
  <c r="D47" i="8"/>
  <c r="C47" i="8"/>
  <c r="B47" i="8"/>
  <c r="D47" i="4"/>
  <c r="F47" i="9"/>
  <c r="E47" i="9"/>
  <c r="C39" i="12"/>
  <c r="C46" i="12" s="1"/>
  <c r="F22" i="12"/>
  <c r="D22" i="12"/>
  <c r="N39" i="12"/>
  <c r="N46" i="12" s="1"/>
  <c r="B22" i="12"/>
  <c r="J39" i="12"/>
  <c r="J46" i="12" s="1"/>
  <c r="F39" i="12"/>
  <c r="F46" i="12" s="1"/>
  <c r="B39" i="12"/>
  <c r="B46" i="12" s="1"/>
  <c r="E39" i="12"/>
  <c r="E46" i="12" s="1"/>
  <c r="J22" i="12"/>
  <c r="D39" i="12"/>
  <c r="D46" i="12" s="1"/>
  <c r="R39" i="12"/>
  <c r="R46" i="12" s="1"/>
  <c r="N22" i="12"/>
  <c r="E22" i="12"/>
  <c r="C22" i="12"/>
  <c r="C47" i="5"/>
  <c r="B47" i="4"/>
  <c r="B47" i="7"/>
  <c r="E47" i="8"/>
  <c r="R22" i="12"/>
  <c r="C47" i="9"/>
  <c r="D47" i="9"/>
  <c r="I47" i="10"/>
  <c r="E47" i="10"/>
  <c r="D47" i="10"/>
  <c r="C47" i="10"/>
  <c r="B47" i="10"/>
  <c r="D47" i="11"/>
  <c r="F47" i="11"/>
  <c r="E47" i="11"/>
  <c r="G47" i="10"/>
  <c r="F47" i="10"/>
  <c r="I47" i="11"/>
  <c r="C47" i="11"/>
  <c r="G47" i="11"/>
  <c r="H47" i="11"/>
  <c r="B47" i="11"/>
  <c r="N47" i="9"/>
  <c r="J47" i="8"/>
  <c r="F47" i="8"/>
  <c r="N47" i="8"/>
  <c r="F47" i="7"/>
  <c r="E47" i="7"/>
  <c r="D47" i="7"/>
  <c r="C47" i="7"/>
  <c r="F47" i="6"/>
  <c r="D47" i="6"/>
  <c r="E47" i="6"/>
  <c r="C47" i="6"/>
  <c r="B47" i="6"/>
  <c r="D47" i="5"/>
  <c r="B47" i="5"/>
  <c r="F47" i="5"/>
  <c r="E47" i="5"/>
  <c r="C47" i="4"/>
  <c r="F47" i="4"/>
  <c r="E47" i="4"/>
  <c r="C47" i="3"/>
  <c r="B47" i="3"/>
  <c r="D47" i="3"/>
  <c r="F47" i="3"/>
  <c r="E47" i="3"/>
  <c r="J39" i="2"/>
  <c r="J46" i="2" s="1"/>
  <c r="F39" i="2"/>
  <c r="F46" i="2" s="1"/>
  <c r="E39" i="2"/>
  <c r="E46" i="2" s="1"/>
  <c r="R39" i="2"/>
  <c r="R46" i="2" s="1"/>
  <c r="D39" i="2"/>
  <c r="D46" i="2" s="1"/>
  <c r="C39" i="2"/>
  <c r="C46" i="2" s="1"/>
  <c r="N39" i="2"/>
  <c r="N46" i="2" s="1"/>
  <c r="B39" i="2"/>
  <c r="B46" i="2" s="1"/>
  <c r="B21" i="2"/>
  <c r="E22" i="2"/>
  <c r="AD64" i="1"/>
  <c r="U81" i="1"/>
  <c r="U27" i="1"/>
  <c r="V80" i="1"/>
  <c r="W80" i="1"/>
  <c r="X80" i="1"/>
  <c r="Y80" i="1"/>
  <c r="Z80" i="1"/>
  <c r="AA80" i="1"/>
  <c r="AB80" i="1"/>
  <c r="AC80" i="1"/>
  <c r="AD80" i="1"/>
  <c r="AE80" i="1"/>
  <c r="AF80" i="1"/>
  <c r="AG80" i="1"/>
  <c r="V81" i="1"/>
  <c r="W81" i="1"/>
  <c r="X81" i="1"/>
  <c r="Y81" i="1"/>
  <c r="Z81" i="1"/>
  <c r="AA81" i="1"/>
  <c r="AB81" i="1"/>
  <c r="AC81" i="1"/>
  <c r="AD81" i="1"/>
  <c r="AE81" i="1"/>
  <c r="AF81" i="1"/>
  <c r="AG81" i="1"/>
  <c r="V82" i="1"/>
  <c r="W82" i="1"/>
  <c r="X82" i="1"/>
  <c r="Y82" i="1"/>
  <c r="Z82" i="1"/>
  <c r="AA82" i="1"/>
  <c r="AB82" i="1"/>
  <c r="AC82" i="1"/>
  <c r="AD82" i="1"/>
  <c r="AE82" i="1"/>
  <c r="AF82" i="1"/>
  <c r="AG82" i="1"/>
  <c r="V83" i="1"/>
  <c r="V112" i="1" s="1"/>
  <c r="W83" i="1"/>
  <c r="W112" i="1" s="1"/>
  <c r="X83" i="1"/>
  <c r="Y83" i="1"/>
  <c r="Z83" i="1"/>
  <c r="AA83" i="1"/>
  <c r="AB83" i="1"/>
  <c r="AB112" i="1" s="1"/>
  <c r="AC83" i="1"/>
  <c r="AD83" i="1"/>
  <c r="AD112" i="1" s="1"/>
  <c r="AE83" i="1"/>
  <c r="AE112" i="1" s="1"/>
  <c r="AF83" i="1"/>
  <c r="AG83" i="1"/>
  <c r="V73" i="1"/>
  <c r="W73" i="1"/>
  <c r="X73" i="1"/>
  <c r="Y73" i="1"/>
  <c r="Z73" i="1"/>
  <c r="AA73" i="1"/>
  <c r="AB73" i="1"/>
  <c r="AC73" i="1"/>
  <c r="AD73" i="1"/>
  <c r="AE73" i="1"/>
  <c r="AF73" i="1"/>
  <c r="AG73" i="1"/>
  <c r="U71" i="1"/>
  <c r="V71" i="1"/>
  <c r="W71" i="1"/>
  <c r="X71" i="1"/>
  <c r="Y71" i="1"/>
  <c r="Z71" i="1"/>
  <c r="AA71" i="1"/>
  <c r="AB71" i="1"/>
  <c r="AC71" i="1"/>
  <c r="AD71" i="1"/>
  <c r="AE71" i="1"/>
  <c r="AF71" i="1"/>
  <c r="AG71" i="1"/>
  <c r="V64" i="1"/>
  <c r="W64" i="1"/>
  <c r="X64" i="1"/>
  <c r="Y64" i="1"/>
  <c r="Z64" i="1"/>
  <c r="AA64" i="1"/>
  <c r="AB64" i="1"/>
  <c r="AC64" i="1"/>
  <c r="AE64" i="1"/>
  <c r="AF64" i="1"/>
  <c r="AG64" i="1"/>
  <c r="V53" i="1"/>
  <c r="W53" i="1"/>
  <c r="X53" i="1"/>
  <c r="Y53" i="1"/>
  <c r="Z53" i="1"/>
  <c r="AA53" i="1"/>
  <c r="AB53" i="1"/>
  <c r="AC53" i="1"/>
  <c r="AD53" i="1"/>
  <c r="AE53" i="1"/>
  <c r="AF53" i="1"/>
  <c r="AG53" i="1"/>
  <c r="V48" i="1"/>
  <c r="W48" i="1"/>
  <c r="X48" i="1"/>
  <c r="Y48" i="1"/>
  <c r="Z48" i="1"/>
  <c r="AA48" i="1"/>
  <c r="AB48" i="1"/>
  <c r="AC48" i="1"/>
  <c r="AD48" i="1"/>
  <c r="AE48" i="1"/>
  <c r="AF48" i="1"/>
  <c r="AG48" i="1"/>
  <c r="V35" i="1"/>
  <c r="W35" i="1"/>
  <c r="X35" i="1"/>
  <c r="Y35" i="1"/>
  <c r="Z35" i="1"/>
  <c r="AA35" i="1"/>
  <c r="AB35" i="1"/>
  <c r="AC35" i="1"/>
  <c r="AD35" i="1"/>
  <c r="AE35" i="1"/>
  <c r="AF35" i="1"/>
  <c r="AG35" i="1"/>
  <c r="V27" i="1"/>
  <c r="W27" i="1"/>
  <c r="X27" i="1"/>
  <c r="Y27" i="1"/>
  <c r="Z27" i="1"/>
  <c r="AA27" i="1"/>
  <c r="AB27" i="1"/>
  <c r="AC27" i="1"/>
  <c r="AD27" i="1"/>
  <c r="AE27" i="1"/>
  <c r="AF27" i="1"/>
  <c r="AG27" i="1"/>
  <c r="V23" i="1"/>
  <c r="W23" i="1"/>
  <c r="X23" i="1"/>
  <c r="Y23" i="1"/>
  <c r="Z23" i="1"/>
  <c r="AA23" i="1"/>
  <c r="AB23" i="1"/>
  <c r="AC23" i="1"/>
  <c r="AD23" i="1"/>
  <c r="AE23" i="1"/>
  <c r="AF23" i="1"/>
  <c r="AG23" i="1"/>
  <c r="V15" i="1"/>
  <c r="W15" i="1"/>
  <c r="X15" i="1"/>
  <c r="Y15" i="1"/>
  <c r="Z15" i="1"/>
  <c r="AA15" i="1"/>
  <c r="AB15" i="1"/>
  <c r="AC15" i="1"/>
  <c r="AD15" i="1"/>
  <c r="AE15" i="1"/>
  <c r="AF15" i="1"/>
  <c r="AG15" i="1"/>
  <c r="U9" i="1"/>
  <c r="V9" i="1"/>
  <c r="W9" i="1"/>
  <c r="X9" i="1"/>
  <c r="Y9" i="1"/>
  <c r="Z9" i="1"/>
  <c r="AA9" i="1"/>
  <c r="AB9" i="1"/>
  <c r="AC9" i="1"/>
  <c r="AD9" i="1"/>
  <c r="AE9" i="1"/>
  <c r="AF9" i="1"/>
  <c r="AG9" i="1"/>
  <c r="B10607" i="13" l="1"/>
  <c r="F10969" i="13"/>
  <c r="B10186" i="13"/>
  <c r="F10552" i="13" s="1"/>
  <c r="D47" i="12"/>
  <c r="AC112" i="1"/>
  <c r="Z112" i="1"/>
  <c r="AF112" i="1"/>
  <c r="X112" i="1"/>
  <c r="J47" i="12"/>
  <c r="N47" i="12"/>
  <c r="R47" i="12"/>
  <c r="B47" i="12"/>
  <c r="E47" i="12"/>
  <c r="F47" i="12"/>
  <c r="C47" i="12"/>
  <c r="AA112" i="1"/>
  <c r="AG112" i="1"/>
  <c r="Y112" i="1"/>
  <c r="AD28" i="1"/>
  <c r="AD36" i="1" s="1"/>
  <c r="AF28" i="1"/>
  <c r="AF36" i="1" s="1"/>
  <c r="X28" i="1"/>
  <c r="X36" i="1" s="1"/>
  <c r="V28" i="1"/>
  <c r="V36" i="1" s="1"/>
  <c r="AE28" i="1"/>
  <c r="AE36" i="1" s="1"/>
  <c r="W28" i="1"/>
  <c r="W36" i="1" s="1"/>
  <c r="AC28" i="1"/>
  <c r="AC36" i="1" s="1"/>
  <c r="AB28" i="1"/>
  <c r="AB36" i="1" s="1"/>
  <c r="AA28" i="1"/>
  <c r="AA36" i="1" s="1"/>
  <c r="Z28" i="1"/>
  <c r="Z36" i="1" s="1"/>
  <c r="AG28" i="1"/>
  <c r="AG36" i="1" s="1"/>
  <c r="Y28" i="1"/>
  <c r="Y36" i="1" s="1"/>
  <c r="E47" i="2"/>
  <c r="C22" i="2"/>
  <c r="C47" i="2" s="1"/>
  <c r="D22" i="2"/>
  <c r="D47" i="2" s="1"/>
  <c r="F22" i="2"/>
  <c r="F47" i="2" s="1"/>
  <c r="J22" i="2"/>
  <c r="J47" i="2" s="1"/>
  <c r="N22" i="2"/>
  <c r="N47" i="2" s="1"/>
  <c r="R22" i="2"/>
  <c r="R47" i="2" s="1"/>
  <c r="B22" i="2"/>
  <c r="B47" i="2" s="1"/>
  <c r="AG54" i="1"/>
  <c r="AG56" i="1" s="1"/>
  <c r="AG58" i="1" s="1"/>
  <c r="AG60" i="1" s="1"/>
  <c r="AG16" i="1"/>
  <c r="AF54" i="1"/>
  <c r="AF56" i="1" s="1"/>
  <c r="AF58" i="1" s="1"/>
  <c r="AF60" i="1" s="1"/>
  <c r="AE54" i="1"/>
  <c r="AE56" i="1" s="1"/>
  <c r="AE58" i="1" s="1"/>
  <c r="AE60" i="1" s="1"/>
  <c r="AE16" i="1"/>
  <c r="AD54" i="1"/>
  <c r="AD56" i="1" s="1"/>
  <c r="AD58" i="1" s="1"/>
  <c r="AD60" i="1" s="1"/>
  <c r="AD16" i="1"/>
  <c r="AF16" i="1"/>
  <c r="AE79" i="1"/>
  <c r="AE85" i="1" s="1"/>
  <c r="AC54" i="1"/>
  <c r="AC56" i="1" s="1"/>
  <c r="AC58" i="1" s="1"/>
  <c r="AC60" i="1" s="1"/>
  <c r="AC16" i="1"/>
  <c r="AB54" i="1"/>
  <c r="AB56" i="1" s="1"/>
  <c r="AB58" i="1" s="1"/>
  <c r="AB60" i="1" s="1"/>
  <c r="AB79" i="1"/>
  <c r="AB85" i="1" s="1"/>
  <c r="AA79" i="1"/>
  <c r="AA85" i="1" s="1"/>
  <c r="AA54" i="1"/>
  <c r="AA56" i="1" s="1"/>
  <c r="AA58" i="1" s="1"/>
  <c r="AA16" i="1"/>
  <c r="Z54" i="1"/>
  <c r="Z56" i="1" s="1"/>
  <c r="Z58" i="1" s="1"/>
  <c r="Z60" i="1" s="1"/>
  <c r="Z16" i="1"/>
  <c r="Y54" i="1"/>
  <c r="Y56" i="1" s="1"/>
  <c r="Y58" i="1" s="1"/>
  <c r="Y60" i="1" s="1"/>
  <c r="Y16" i="1"/>
  <c r="AD79" i="1"/>
  <c r="AD85" i="1" s="1"/>
  <c r="AB16" i="1"/>
  <c r="AC79" i="1"/>
  <c r="Z79" i="1"/>
  <c r="Z85" i="1" s="1"/>
  <c r="AG79" i="1"/>
  <c r="Y79" i="1"/>
  <c r="Y85" i="1" s="1"/>
  <c r="AF79" i="1"/>
  <c r="X54" i="1"/>
  <c r="X56" i="1" s="1"/>
  <c r="X58" i="1" s="1"/>
  <c r="X60" i="1" s="1"/>
  <c r="X79" i="1"/>
  <c r="X85" i="1" s="1"/>
  <c r="X16" i="1"/>
  <c r="W54" i="1"/>
  <c r="W56" i="1" s="1"/>
  <c r="W58" i="1" s="1"/>
  <c r="W60" i="1" s="1"/>
  <c r="W79" i="1"/>
  <c r="W85" i="1" s="1"/>
  <c r="W16" i="1"/>
  <c r="V79" i="1"/>
  <c r="V85" i="1" s="1"/>
  <c r="V54" i="1"/>
  <c r="V56" i="1" s="1"/>
  <c r="V58" i="1" s="1"/>
  <c r="V60" i="1" s="1"/>
  <c r="V16" i="1"/>
  <c r="U73" i="1"/>
  <c r="U64" i="1"/>
  <c r="U80" i="1"/>
  <c r="U79" i="1" s="1"/>
  <c r="U53" i="1"/>
  <c r="U48" i="1"/>
  <c r="U35" i="1"/>
  <c r="U23" i="1"/>
  <c r="U28" i="1" s="1"/>
  <c r="U15" i="1"/>
  <c r="U16" i="1" s="1"/>
  <c r="B10608" i="13" l="1"/>
  <c r="F10970" i="13"/>
  <c r="B10187" i="13"/>
  <c r="F10553" i="13" s="1"/>
  <c r="U112" i="1"/>
  <c r="AG38" i="1"/>
  <c r="AE38" i="1"/>
  <c r="U54" i="1"/>
  <c r="U56" i="1" s="1"/>
  <c r="U58" i="1" s="1"/>
  <c r="U60" i="1" s="1"/>
  <c r="U36" i="1"/>
  <c r="U38" i="1" s="1"/>
  <c r="Y38" i="1"/>
  <c r="AF38" i="1"/>
  <c r="AA38" i="1"/>
  <c r="AE87" i="1"/>
  <c r="AD38" i="1"/>
  <c r="AC38" i="1"/>
  <c r="AD87" i="1"/>
  <c r="AC85" i="1"/>
  <c r="AC87" i="1" s="1"/>
  <c r="Z38" i="1"/>
  <c r="AF85" i="1"/>
  <c r="AF87" i="1" s="1"/>
  <c r="AG85" i="1"/>
  <c r="AG87" i="1" s="1"/>
  <c r="U85" i="1"/>
  <c r="AB87" i="1"/>
  <c r="AB38" i="1"/>
  <c r="AA87" i="1"/>
  <c r="AA60" i="1"/>
  <c r="Z87" i="1"/>
  <c r="Y87" i="1"/>
  <c r="X87" i="1"/>
  <c r="X38" i="1"/>
  <c r="W87" i="1"/>
  <c r="W38" i="1"/>
  <c r="V87" i="1"/>
  <c r="V38" i="1"/>
  <c r="B10609" i="13" l="1"/>
  <c r="F10971" i="13"/>
  <c r="B10188" i="13"/>
  <c r="F10554" i="13" s="1"/>
  <c r="U87" i="1"/>
  <c r="T71" i="1"/>
  <c r="T83" i="1"/>
  <c r="T82" i="1"/>
  <c r="T81" i="1"/>
  <c r="T80" i="1"/>
  <c r="T53" i="1"/>
  <c r="T48" i="1"/>
  <c r="T35" i="1"/>
  <c r="T27" i="1"/>
  <c r="T23" i="1"/>
  <c r="T15" i="1"/>
  <c r="T9" i="1"/>
  <c r="B10610" i="13" l="1"/>
  <c r="F10972" i="13"/>
  <c r="B10189" i="13"/>
  <c r="F10555" i="13" s="1"/>
  <c r="T112" i="1"/>
  <c r="T54" i="1"/>
  <c r="T56" i="1" s="1"/>
  <c r="T58" i="1" s="1"/>
  <c r="T60" i="1" s="1"/>
  <c r="T28" i="1"/>
  <c r="T36" i="1" s="1"/>
  <c r="T79" i="1"/>
  <c r="T16" i="1"/>
  <c r="T73" i="1"/>
  <c r="T64" i="1"/>
  <c r="B10611" i="13" l="1"/>
  <c r="F10973" i="13"/>
  <c r="B10190" i="13"/>
  <c r="F10556" i="13" s="1"/>
  <c r="T85" i="1"/>
  <c r="T87" i="1" s="1"/>
  <c r="T38" i="1"/>
  <c r="B10612" i="13" l="1"/>
  <c r="F10974" i="13"/>
  <c r="B10191" i="13"/>
  <c r="F10557" i="13" s="1"/>
  <c r="S71" i="1"/>
  <c r="S80" i="1"/>
  <c r="S81" i="1"/>
  <c r="S82" i="1"/>
  <c r="S83" i="1"/>
  <c r="S53" i="1"/>
  <c r="S48" i="1"/>
  <c r="S35" i="1"/>
  <c r="S27" i="1"/>
  <c r="S23" i="1"/>
  <c r="S15" i="1"/>
  <c r="S9" i="1"/>
  <c r="B10613" i="13" l="1"/>
  <c r="F10975" i="13"/>
  <c r="B10192" i="13"/>
  <c r="F10558" i="13" s="1"/>
  <c r="S112" i="1"/>
  <c r="S79" i="1"/>
  <c r="S28" i="1"/>
  <c r="S36" i="1" s="1"/>
  <c r="S54" i="1"/>
  <c r="S56" i="1" s="1"/>
  <c r="S58" i="1" s="1"/>
  <c r="S60" i="1" s="1"/>
  <c r="S16" i="1"/>
  <c r="S73" i="1"/>
  <c r="S64" i="1"/>
  <c r="B10614" i="13" l="1"/>
  <c r="F10976" i="13"/>
  <c r="B10193" i="13"/>
  <c r="F10559" i="13" s="1"/>
  <c r="S85" i="1"/>
  <c r="S87" i="1" s="1"/>
  <c r="S38" i="1"/>
  <c r="B10615" i="13" l="1"/>
  <c r="F10977" i="13"/>
  <c r="B10194" i="13"/>
  <c r="F10560" i="13" s="1"/>
  <c r="R71" i="1"/>
  <c r="R80" i="1"/>
  <c r="R83" i="1"/>
  <c r="R81" i="1"/>
  <c r="R53" i="1"/>
  <c r="R48" i="1"/>
  <c r="R35" i="1"/>
  <c r="R27" i="1"/>
  <c r="R23" i="1"/>
  <c r="R15" i="1"/>
  <c r="R9" i="1"/>
  <c r="B10616" i="13" l="1"/>
  <c r="F10978" i="13"/>
  <c r="B10195" i="13"/>
  <c r="F10561" i="13" s="1"/>
  <c r="R54" i="1"/>
  <c r="R56" i="1" s="1"/>
  <c r="R58" i="1" s="1"/>
  <c r="R60" i="1" s="1"/>
  <c r="R28" i="1"/>
  <c r="R36" i="1" s="1"/>
  <c r="R16" i="1"/>
  <c r="R82" i="1"/>
  <c r="R79" i="1" s="1"/>
  <c r="R73" i="1"/>
  <c r="R64" i="1"/>
  <c r="B10617" i="13" l="1"/>
  <c r="F10979" i="13"/>
  <c r="B10196" i="13"/>
  <c r="F10562" i="13" s="1"/>
  <c r="R112" i="1"/>
  <c r="R85" i="1"/>
  <c r="R87" i="1" s="1"/>
  <c r="R38" i="1"/>
  <c r="B10618" i="13" l="1"/>
  <c r="F10980" i="13"/>
  <c r="B10197" i="13"/>
  <c r="F10563" i="13" s="1"/>
  <c r="Q71" i="1"/>
  <c r="Q83" i="1"/>
  <c r="Q80" i="1"/>
  <c r="Q81" i="1"/>
  <c r="Q53" i="1"/>
  <c r="Q48" i="1"/>
  <c r="Q35" i="1"/>
  <c r="Q27" i="1"/>
  <c r="Q23" i="1"/>
  <c r="Q15" i="1"/>
  <c r="B10619" i="13" l="1"/>
  <c r="F10981" i="13"/>
  <c r="B10198" i="13"/>
  <c r="F10564" i="13" s="1"/>
  <c r="Q28" i="1"/>
  <c r="Q36" i="1" s="1"/>
  <c r="Q54" i="1"/>
  <c r="Q56" i="1" s="1"/>
  <c r="Q58" i="1" s="1"/>
  <c r="Q60" i="1" s="1"/>
  <c r="Q82" i="1"/>
  <c r="Q79" i="1" s="1"/>
  <c r="Q73" i="1"/>
  <c r="Q64" i="1"/>
  <c r="B10620" i="13" l="1"/>
  <c r="F10982" i="13"/>
  <c r="B10200" i="13"/>
  <c r="F10566" i="13" s="1"/>
  <c r="Q112" i="1"/>
  <c r="Q85" i="1"/>
  <c r="Q87" i="1" s="1"/>
  <c r="B10621" i="13" l="1"/>
  <c r="F10983" i="13"/>
  <c r="B10201" i="13"/>
  <c r="F10567" i="13" s="1"/>
  <c r="P80" i="1"/>
  <c r="P81" i="1"/>
  <c r="P82" i="1"/>
  <c r="P83" i="1"/>
  <c r="P73" i="1"/>
  <c r="P71" i="1"/>
  <c r="P64" i="1"/>
  <c r="P53" i="1"/>
  <c r="P48" i="1"/>
  <c r="P35" i="1"/>
  <c r="P27" i="1"/>
  <c r="P23" i="1"/>
  <c r="Q9" i="1"/>
  <c r="Q16" i="1" s="1"/>
  <c r="Q38" i="1" s="1"/>
  <c r="P15" i="1"/>
  <c r="P9" i="1"/>
  <c r="O82" i="1"/>
  <c r="O80" i="1"/>
  <c r="O81" i="1"/>
  <c r="O83" i="1"/>
  <c r="O73" i="1"/>
  <c r="O71" i="1"/>
  <c r="O64" i="1"/>
  <c r="O53" i="1"/>
  <c r="O48" i="1"/>
  <c r="O35" i="1"/>
  <c r="O27" i="1"/>
  <c r="O23" i="1"/>
  <c r="O15" i="1"/>
  <c r="O9" i="1"/>
  <c r="B10622" i="13" l="1"/>
  <c r="F10984" i="13"/>
  <c r="B10202" i="13"/>
  <c r="F10568" i="13" s="1"/>
  <c r="P112" i="1"/>
  <c r="O112" i="1"/>
  <c r="P79" i="1"/>
  <c r="P85" i="1" s="1"/>
  <c r="P28" i="1"/>
  <c r="P36" i="1" s="1"/>
  <c r="O28" i="1"/>
  <c r="O36" i="1" s="1"/>
  <c r="P16" i="1"/>
  <c r="P54" i="1"/>
  <c r="P56" i="1" s="1"/>
  <c r="P58" i="1" s="1"/>
  <c r="P60" i="1" s="1"/>
  <c r="O54" i="1"/>
  <c r="O56" i="1" s="1"/>
  <c r="O58" i="1" s="1"/>
  <c r="O60" i="1" s="1"/>
  <c r="O79" i="1"/>
  <c r="O85" i="1" s="1"/>
  <c r="O16" i="1"/>
  <c r="N82" i="1"/>
  <c r="N80" i="1"/>
  <c r="N81" i="1"/>
  <c r="N83" i="1"/>
  <c r="N73" i="1"/>
  <c r="N71" i="1"/>
  <c r="M71" i="1"/>
  <c r="N64" i="1"/>
  <c r="N53" i="1"/>
  <c r="N48" i="1"/>
  <c r="N35" i="1"/>
  <c r="N27" i="1"/>
  <c r="N23" i="1"/>
  <c r="N15" i="1"/>
  <c r="N9" i="1"/>
  <c r="M81" i="1"/>
  <c r="M82" i="1"/>
  <c r="M80" i="1"/>
  <c r="M83" i="1"/>
  <c r="M73" i="1"/>
  <c r="M64" i="1"/>
  <c r="M53" i="1"/>
  <c r="M48" i="1"/>
  <c r="M35" i="1"/>
  <c r="M27" i="1"/>
  <c r="M23" i="1"/>
  <c r="M15" i="1"/>
  <c r="M9" i="1"/>
  <c r="L83" i="1"/>
  <c r="L82" i="1"/>
  <c r="L81" i="1"/>
  <c r="L80" i="1"/>
  <c r="L73" i="1"/>
  <c r="L71" i="1"/>
  <c r="L64" i="1"/>
  <c r="L53" i="1"/>
  <c r="L48" i="1"/>
  <c r="L35" i="1"/>
  <c r="L27" i="1"/>
  <c r="L23" i="1"/>
  <c r="L15" i="1"/>
  <c r="L9" i="1"/>
  <c r="K79" i="1"/>
  <c r="K73" i="1"/>
  <c r="K71" i="1"/>
  <c r="K64" i="1"/>
  <c r="K53" i="1"/>
  <c r="K48" i="1"/>
  <c r="K35" i="1"/>
  <c r="K27" i="1"/>
  <c r="K23" i="1"/>
  <c r="K15" i="1"/>
  <c r="K9" i="1"/>
  <c r="B10623" i="13" l="1"/>
  <c r="F10985" i="13"/>
  <c r="B10203" i="13"/>
  <c r="F10569" i="13" s="1"/>
  <c r="M112" i="1"/>
  <c r="N112" i="1"/>
  <c r="L112" i="1"/>
  <c r="P87" i="1"/>
  <c r="N28" i="1"/>
  <c r="N36" i="1" s="1"/>
  <c r="P38" i="1"/>
  <c r="L28" i="1"/>
  <c r="L36" i="1" s="1"/>
  <c r="M54" i="1"/>
  <c r="M56" i="1" s="1"/>
  <c r="M58" i="1" s="1"/>
  <c r="M60" i="1" s="1"/>
  <c r="M28" i="1"/>
  <c r="M36" i="1" s="1"/>
  <c r="K28" i="1"/>
  <c r="K36" i="1" s="1"/>
  <c r="O87" i="1"/>
  <c r="K85" i="1"/>
  <c r="L54" i="1"/>
  <c r="L56" i="1" s="1"/>
  <c r="L58" i="1" s="1"/>
  <c r="L60" i="1" s="1"/>
  <c r="N54" i="1"/>
  <c r="N56" i="1" s="1"/>
  <c r="N58" i="1" s="1"/>
  <c r="N60" i="1" s="1"/>
  <c r="O38" i="1"/>
  <c r="M16" i="1"/>
  <c r="N16" i="1"/>
  <c r="N79" i="1"/>
  <c r="M79" i="1"/>
  <c r="L79" i="1"/>
  <c r="L85" i="1" s="1"/>
  <c r="K54" i="1"/>
  <c r="K56" i="1" s="1"/>
  <c r="K58" i="1" s="1"/>
  <c r="K60" i="1" s="1"/>
  <c r="L16" i="1"/>
  <c r="K16" i="1"/>
  <c r="E83" i="1"/>
  <c r="E82" i="1"/>
  <c r="E81" i="1"/>
  <c r="E80" i="1"/>
  <c r="B10624" i="13" l="1"/>
  <c r="F10986" i="13"/>
  <c r="B10204" i="13"/>
  <c r="F10570" i="13" s="1"/>
  <c r="E112" i="1"/>
  <c r="N85" i="1"/>
  <c r="N87" i="1" s="1"/>
  <c r="L87" i="1"/>
  <c r="M85" i="1"/>
  <c r="M87" i="1" s="1"/>
  <c r="N38" i="1"/>
  <c r="M38" i="1"/>
  <c r="K38" i="1"/>
  <c r="L38" i="1"/>
  <c r="K87" i="1"/>
  <c r="B79" i="1"/>
  <c r="C79" i="1"/>
  <c r="D79" i="1"/>
  <c r="E79" i="1"/>
  <c r="B73" i="1"/>
  <c r="C73" i="1"/>
  <c r="D73" i="1"/>
  <c r="E73" i="1"/>
  <c r="B71" i="1"/>
  <c r="C71" i="1"/>
  <c r="D71" i="1"/>
  <c r="E71" i="1"/>
  <c r="B64" i="1"/>
  <c r="C64" i="1"/>
  <c r="D64" i="1"/>
  <c r="E64" i="1"/>
  <c r="B53" i="1"/>
  <c r="C53" i="1"/>
  <c r="D53" i="1"/>
  <c r="E53" i="1"/>
  <c r="B48" i="1"/>
  <c r="C48" i="1"/>
  <c r="D48" i="1"/>
  <c r="E48" i="1"/>
  <c r="B35" i="1"/>
  <c r="C35" i="1"/>
  <c r="D35" i="1"/>
  <c r="E35" i="1"/>
  <c r="B27" i="1"/>
  <c r="C27" i="1"/>
  <c r="D27" i="1"/>
  <c r="E27" i="1"/>
  <c r="B23" i="1"/>
  <c r="C23" i="1"/>
  <c r="D23" i="1"/>
  <c r="E23" i="1"/>
  <c r="B15" i="1"/>
  <c r="C15" i="1"/>
  <c r="D15" i="1"/>
  <c r="E15" i="1"/>
  <c r="B9" i="1"/>
  <c r="C9" i="1"/>
  <c r="D9" i="1"/>
  <c r="E9" i="1"/>
  <c r="J79" i="1"/>
  <c r="J73" i="1"/>
  <c r="J71" i="1"/>
  <c r="J35" i="1"/>
  <c r="J27" i="1"/>
  <c r="J23" i="1"/>
  <c r="J15" i="1"/>
  <c r="J9" i="1"/>
  <c r="B10625" i="13" l="1"/>
  <c r="F10987" i="13"/>
  <c r="B10205" i="13"/>
  <c r="F10571" i="13" s="1"/>
  <c r="C28" i="1"/>
  <c r="C36" i="1" s="1"/>
  <c r="C85" i="1"/>
  <c r="E28" i="1"/>
  <c r="E36" i="1" s="1"/>
  <c r="J28" i="1"/>
  <c r="J36" i="1" s="1"/>
  <c r="D28" i="1"/>
  <c r="D36" i="1" s="1"/>
  <c r="B28" i="1"/>
  <c r="B36" i="1" s="1"/>
  <c r="B85" i="1"/>
  <c r="E85" i="1"/>
  <c r="D85" i="1"/>
  <c r="J16" i="1"/>
  <c r="B54" i="1"/>
  <c r="B56" i="1" s="1"/>
  <c r="B58" i="1" s="1"/>
  <c r="E54" i="1"/>
  <c r="E56" i="1" s="1"/>
  <c r="E58" i="1" s="1"/>
  <c r="E60" i="1" s="1"/>
  <c r="E16" i="1"/>
  <c r="D54" i="1"/>
  <c r="D56" i="1" s="1"/>
  <c r="D58" i="1" s="1"/>
  <c r="D60" i="1" s="1"/>
  <c r="D16" i="1"/>
  <c r="C54" i="1"/>
  <c r="C56" i="1" s="1"/>
  <c r="C58" i="1" s="1"/>
  <c r="C60" i="1" s="1"/>
  <c r="C16" i="1"/>
  <c r="B16" i="1"/>
  <c r="J53" i="1"/>
  <c r="J48" i="1"/>
  <c r="J64" i="1"/>
  <c r="J85" i="1" s="1"/>
  <c r="B10627" i="13" l="1"/>
  <c r="F10988" i="13"/>
  <c r="B10206" i="13"/>
  <c r="F10572" i="13" s="1"/>
  <c r="B87" i="1"/>
  <c r="J38" i="1"/>
  <c r="D87" i="1"/>
  <c r="E38" i="1"/>
  <c r="C38" i="1"/>
  <c r="B38" i="1"/>
  <c r="D38" i="1"/>
  <c r="C87" i="1"/>
  <c r="E87" i="1"/>
  <c r="J54" i="1"/>
  <c r="J56" i="1" s="1"/>
  <c r="J58" i="1" s="1"/>
  <c r="J60" i="1" s="1"/>
  <c r="I79" i="1"/>
  <c r="I73" i="1"/>
  <c r="I71" i="1"/>
  <c r="I64" i="1"/>
  <c r="I53" i="1"/>
  <c r="I48" i="1"/>
  <c r="I35" i="1"/>
  <c r="I27" i="1"/>
  <c r="I23" i="1"/>
  <c r="I15" i="1"/>
  <c r="I9" i="1"/>
  <c r="F64" i="1"/>
  <c r="G64" i="1"/>
  <c r="H64" i="1"/>
  <c r="H71" i="1"/>
  <c r="H79" i="1"/>
  <c r="H73" i="1"/>
  <c r="H53" i="1"/>
  <c r="H48" i="1"/>
  <c r="H35" i="1"/>
  <c r="H27" i="1"/>
  <c r="H23" i="1"/>
  <c r="H15" i="1"/>
  <c r="H9" i="1"/>
  <c r="G79" i="1"/>
  <c r="G73" i="1"/>
  <c r="G71" i="1"/>
  <c r="G53" i="1"/>
  <c r="G48" i="1"/>
  <c r="G35" i="1"/>
  <c r="G27" i="1"/>
  <c r="G23" i="1"/>
  <c r="G15" i="1"/>
  <c r="G9" i="1"/>
  <c r="F79" i="1"/>
  <c r="F73" i="1"/>
  <c r="F71" i="1"/>
  <c r="F53" i="1"/>
  <c r="F48" i="1"/>
  <c r="F35" i="1"/>
  <c r="F27" i="1"/>
  <c r="F23" i="1"/>
  <c r="F15" i="1"/>
  <c r="F9" i="1"/>
  <c r="A12" i="1"/>
  <c r="B10628" i="13" l="1"/>
  <c r="F10990" i="13"/>
  <c r="B10207" i="13"/>
  <c r="F10573" i="13" s="1"/>
  <c r="I28" i="1"/>
  <c r="I36" i="1" s="1"/>
  <c r="G85" i="1"/>
  <c r="I85" i="1"/>
  <c r="G28" i="1"/>
  <c r="G36" i="1" s="1"/>
  <c r="H28" i="1"/>
  <c r="H36" i="1" s="1"/>
  <c r="F28" i="1"/>
  <c r="F36" i="1" s="1"/>
  <c r="F85" i="1"/>
  <c r="H85" i="1"/>
  <c r="J87" i="1"/>
  <c r="H54" i="1"/>
  <c r="H56" i="1" s="1"/>
  <c r="H58" i="1" s="1"/>
  <c r="H60" i="1" s="1"/>
  <c r="I54" i="1"/>
  <c r="I56" i="1" s="1"/>
  <c r="I58" i="1" s="1"/>
  <c r="I60" i="1" s="1"/>
  <c r="I16" i="1"/>
  <c r="H16" i="1"/>
  <c r="G54" i="1"/>
  <c r="G56" i="1" s="1"/>
  <c r="G58" i="1" s="1"/>
  <c r="G60" i="1" s="1"/>
  <c r="G16" i="1"/>
  <c r="F16" i="1"/>
  <c r="F54" i="1"/>
  <c r="F56" i="1" s="1"/>
  <c r="F58" i="1" s="1"/>
  <c r="F60" i="1" s="1"/>
  <c r="B10629" i="13" l="1"/>
  <c r="F10991" i="13"/>
  <c r="B10208" i="13"/>
  <c r="F10574" i="13" s="1"/>
  <c r="F38" i="1"/>
  <c r="I87" i="1"/>
  <c r="G87" i="1"/>
  <c r="H87" i="1"/>
  <c r="G38" i="1"/>
  <c r="H38" i="1"/>
  <c r="F87" i="1"/>
  <c r="I38" i="1"/>
  <c r="B10630" i="13" l="1"/>
  <c r="F10992" i="13"/>
  <c r="B10209" i="13"/>
  <c r="F10575" i="13" s="1"/>
  <c r="H93" i="2"/>
  <c r="H102" i="2" s="1"/>
  <c r="B10631" i="13" l="1"/>
  <c r="F10993" i="13"/>
  <c r="B10210" i="13"/>
  <c r="F10576" i="13" s="1"/>
  <c r="B10632" i="13" l="1"/>
  <c r="F10994" i="13"/>
  <c r="B10211" i="13"/>
  <c r="F10577" i="13" s="1"/>
  <c r="B10633" i="13" l="1"/>
  <c r="F10995" i="13"/>
  <c r="B10212" i="13"/>
  <c r="F10578" i="13" s="1"/>
  <c r="B10634" i="13" l="1"/>
  <c r="F10996" i="13"/>
  <c r="B10213" i="13"/>
  <c r="F10579" i="13" s="1"/>
  <c r="B10635" i="13" l="1"/>
  <c r="F10997" i="13"/>
  <c r="B10214" i="13"/>
  <c r="F10580" i="13" s="1"/>
  <c r="B10636" i="13" l="1"/>
  <c r="F10998" i="13"/>
  <c r="B10215" i="13"/>
  <c r="F10581" i="13" s="1"/>
  <c r="B10637" i="13" l="1"/>
  <c r="F10999" i="13"/>
  <c r="B10216" i="13"/>
  <c r="F10582" i="13" s="1"/>
  <c r="B10638" i="13" l="1"/>
  <c r="F11000" i="13"/>
  <c r="B10217" i="13"/>
  <c r="F10583" i="13" s="1"/>
  <c r="B10639" i="13" l="1"/>
  <c r="F11001" i="13"/>
  <c r="B10218" i="13"/>
  <c r="F10584" i="13" s="1"/>
  <c r="B10640" i="13" l="1"/>
  <c r="F11002" i="13"/>
  <c r="B10219" i="13"/>
  <c r="F10585" i="13" s="1"/>
  <c r="B10641" i="13" l="1"/>
  <c r="F11003" i="13"/>
  <c r="B10220" i="13"/>
  <c r="F10586" i="13" s="1"/>
  <c r="B10642" i="13" l="1"/>
  <c r="F11004" i="13"/>
  <c r="B10221" i="13"/>
  <c r="F10587" i="13" s="1"/>
  <c r="B10643" i="13" l="1"/>
  <c r="F11005" i="13"/>
  <c r="B10222" i="13"/>
  <c r="F10588" i="13" s="1"/>
  <c r="B10644" i="13" l="1"/>
  <c r="F11006" i="13"/>
  <c r="B10223" i="13"/>
  <c r="F10589" i="13" s="1"/>
  <c r="B10645" i="13" l="1"/>
  <c r="F11007" i="13"/>
  <c r="B10224" i="13"/>
  <c r="F10590" i="13" s="1"/>
  <c r="B10646" i="13" l="1"/>
  <c r="F11008" i="13"/>
  <c r="B10225" i="13"/>
  <c r="F10591" i="13" s="1"/>
  <c r="B10647" i="13" l="1"/>
  <c r="F11009" i="13"/>
  <c r="B10226" i="13"/>
  <c r="F10592" i="13" s="1"/>
  <c r="B10648" i="13" l="1"/>
  <c r="F11010" i="13"/>
  <c r="B10227" i="13"/>
  <c r="F10593" i="13" s="1"/>
  <c r="B10649" i="13" l="1"/>
  <c r="F11011" i="13"/>
  <c r="B10228" i="13"/>
  <c r="F10594" i="13" s="1"/>
  <c r="B10650" i="13" l="1"/>
  <c r="F11012" i="13"/>
  <c r="B10230" i="13"/>
  <c r="F10596" i="13" s="1"/>
  <c r="B10651" i="13" l="1"/>
  <c r="F11013" i="13"/>
  <c r="B10231" i="13"/>
  <c r="F10597" i="13" s="1"/>
  <c r="B10652" i="13" l="1"/>
  <c r="F11014" i="13"/>
  <c r="B10232" i="13"/>
  <c r="F10598" i="13" s="1"/>
  <c r="B10653" i="13" l="1"/>
  <c r="F11015" i="13"/>
  <c r="B10233" i="13"/>
  <c r="F10599" i="13" s="1"/>
  <c r="B10654" i="13" l="1"/>
  <c r="F11016" i="13"/>
  <c r="B10234" i="13"/>
  <c r="F10600" i="13" s="1"/>
  <c r="B10655" i="13" l="1"/>
  <c r="F11017" i="13"/>
  <c r="B10235" i="13"/>
  <c r="F10601" i="13" s="1"/>
  <c r="B10657" i="13" l="1"/>
  <c r="F11018" i="13"/>
  <c r="B10236" i="13"/>
  <c r="F10602" i="13" s="1"/>
  <c r="B10658" i="13" l="1"/>
  <c r="F11020" i="13"/>
  <c r="B10237" i="13"/>
  <c r="F10603" i="13" s="1"/>
  <c r="B10659" i="13" l="1"/>
  <c r="F11021" i="13"/>
  <c r="B10238" i="13"/>
  <c r="F10604" i="13" s="1"/>
  <c r="B10660" i="13" l="1"/>
  <c r="F11022" i="13"/>
  <c r="B10239" i="13"/>
  <c r="F10605" i="13" s="1"/>
  <c r="B10661" i="13" l="1"/>
  <c r="F11023" i="13"/>
  <c r="B10240" i="13"/>
  <c r="F10606" i="13" s="1"/>
  <c r="B10662" i="13" l="1"/>
  <c r="F11024" i="13"/>
  <c r="B10241" i="13"/>
  <c r="F10607" i="13" s="1"/>
  <c r="B10663" i="13" l="1"/>
  <c r="F11025" i="13"/>
  <c r="B10242" i="13"/>
  <c r="F10608" i="13" s="1"/>
  <c r="B10664" i="13" l="1"/>
  <c r="F11026" i="13"/>
  <c r="B10243" i="13"/>
  <c r="F10609" i="13" s="1"/>
  <c r="B10665" i="13" l="1"/>
  <c r="F11027" i="13"/>
  <c r="B10244" i="13"/>
  <c r="F10610" i="13" s="1"/>
  <c r="B10666" i="13" l="1"/>
  <c r="F11028" i="13"/>
  <c r="B10245" i="13"/>
  <c r="F10611" i="13" s="1"/>
  <c r="B10667" i="13" l="1"/>
  <c r="F11029" i="13"/>
  <c r="B10246" i="13"/>
  <c r="F10612" i="13" s="1"/>
  <c r="B10668" i="13" l="1"/>
  <c r="F11030" i="13"/>
  <c r="B10247" i="13"/>
  <c r="F10613" i="13" s="1"/>
  <c r="B10669" i="13" l="1"/>
  <c r="F11031" i="13"/>
  <c r="B10248" i="13"/>
  <c r="F10614" i="13" s="1"/>
  <c r="B10670" i="13" l="1"/>
  <c r="F11032" i="13"/>
  <c r="B10249" i="13"/>
  <c r="F10615" i="13" s="1"/>
  <c r="B10671" i="13" l="1"/>
  <c r="F11033" i="13"/>
  <c r="B10250" i="13"/>
  <c r="F10616" i="13" s="1"/>
  <c r="B10672" i="13" l="1"/>
  <c r="F11034" i="13"/>
  <c r="B10251" i="13"/>
  <c r="F10617" i="13" s="1"/>
  <c r="B10673" i="13" l="1"/>
  <c r="F11035" i="13"/>
  <c r="B10252" i="13"/>
  <c r="F10618" i="13" s="1"/>
  <c r="B10674" i="13" l="1"/>
  <c r="F11036" i="13"/>
  <c r="B10253" i="13"/>
  <c r="F10619" i="13" s="1"/>
  <c r="B10675" i="13" l="1"/>
  <c r="F11037" i="13"/>
  <c r="B10254" i="13"/>
  <c r="F10620" i="13" s="1"/>
  <c r="B10676" i="13" l="1"/>
  <c r="F11038" i="13"/>
  <c r="B10255" i="13"/>
  <c r="F10621" i="13" s="1"/>
  <c r="B10677" i="13" l="1"/>
  <c r="F11039" i="13"/>
  <c r="B10256" i="13"/>
  <c r="F10622" i="13" s="1"/>
  <c r="B10678" i="13" l="1"/>
  <c r="F11040" i="13"/>
  <c r="B10257" i="13"/>
  <c r="F10623" i="13" s="1"/>
  <c r="B10679" i="13" l="1"/>
  <c r="F11041" i="13"/>
  <c r="B10258" i="13"/>
  <c r="F10624" i="13" s="1"/>
  <c r="B10680" i="13" l="1"/>
  <c r="F11042" i="13"/>
  <c r="B10259" i="13"/>
  <c r="F10625" i="13" s="1"/>
  <c r="B10681" i="13" l="1"/>
  <c r="F11043" i="13"/>
  <c r="B10261" i="13"/>
  <c r="F10627" i="13" s="1"/>
  <c r="B10682" i="13" l="1"/>
  <c r="F11044" i="13"/>
  <c r="B10262" i="13"/>
  <c r="F10628" i="13" s="1"/>
  <c r="B10683" i="13" l="1"/>
  <c r="F11045" i="13"/>
  <c r="B10263" i="13"/>
  <c r="F10629" i="13" s="1"/>
  <c r="B10684" i="13" l="1"/>
  <c r="F11046" i="13"/>
  <c r="B10264" i="13"/>
  <c r="F10630" i="13" s="1"/>
  <c r="B10685" i="13" l="1"/>
  <c r="F11047" i="13"/>
  <c r="B10265" i="13"/>
  <c r="F10631" i="13" s="1"/>
  <c r="B10686" i="13" l="1"/>
  <c r="F11048" i="13"/>
  <c r="B10266" i="13"/>
  <c r="F10632" i="13" s="1"/>
  <c r="B10688" i="13" l="1"/>
  <c r="F11049" i="13"/>
  <c r="B10267" i="13"/>
  <c r="F10633" i="13" s="1"/>
  <c r="B10689" i="13" l="1"/>
  <c r="F11051" i="13"/>
  <c r="B10268" i="13"/>
  <c r="F10634" i="13" s="1"/>
  <c r="B10690" i="13" l="1"/>
  <c r="F11052" i="13"/>
  <c r="B10269" i="13"/>
  <c r="F10635" i="13" s="1"/>
  <c r="B10691" i="13" l="1"/>
  <c r="F11053" i="13"/>
  <c r="B10270" i="13"/>
  <c r="F10636" i="13" s="1"/>
  <c r="B10692" i="13" l="1"/>
  <c r="F11054" i="13"/>
  <c r="B10271" i="13"/>
  <c r="F10637" i="13" s="1"/>
  <c r="B10693" i="13" l="1"/>
  <c r="F11055" i="13"/>
  <c r="B10272" i="13"/>
  <c r="F10638" i="13" s="1"/>
  <c r="B10694" i="13" l="1"/>
  <c r="F11056" i="13"/>
  <c r="B10273" i="13"/>
  <c r="F10639" i="13" s="1"/>
  <c r="B10695" i="13" l="1"/>
  <c r="F11057" i="13"/>
  <c r="B10274" i="13"/>
  <c r="F10640" i="13" s="1"/>
  <c r="B10696" i="13" l="1"/>
  <c r="F11058" i="13"/>
  <c r="B10275" i="13"/>
  <c r="F10641" i="13" s="1"/>
  <c r="B10697" i="13" l="1"/>
  <c r="F11059" i="13"/>
  <c r="B10276" i="13"/>
  <c r="F10642" i="13" s="1"/>
  <c r="B10698" i="13" l="1"/>
  <c r="F11060" i="13"/>
  <c r="B10277" i="13"/>
  <c r="F10643" i="13" s="1"/>
  <c r="B10699" i="13" l="1"/>
  <c r="F11061" i="13"/>
  <c r="B10278" i="13"/>
  <c r="F10644" i="13" s="1"/>
  <c r="B10700" i="13" l="1"/>
  <c r="F11062" i="13"/>
  <c r="B10279" i="13"/>
  <c r="F10645" i="13" s="1"/>
  <c r="B10701" i="13" l="1"/>
  <c r="F11063" i="13"/>
  <c r="B10280" i="13"/>
  <c r="F10646" i="13" s="1"/>
  <c r="B10702" i="13" l="1"/>
  <c r="F11064" i="13"/>
  <c r="B10281" i="13"/>
  <c r="F10647" i="13" s="1"/>
  <c r="B10703" i="13" l="1"/>
  <c r="F11065" i="13"/>
  <c r="B10282" i="13"/>
  <c r="F10648" i="13" s="1"/>
  <c r="B10704" i="13" l="1"/>
  <c r="F11066" i="13"/>
  <c r="B10283" i="13"/>
  <c r="F10649" i="13" s="1"/>
  <c r="B10705" i="13" l="1"/>
  <c r="F11067" i="13"/>
  <c r="B10284" i="13"/>
  <c r="F10650" i="13" s="1"/>
  <c r="B10706" i="13" l="1"/>
  <c r="F11068" i="13"/>
  <c r="B10285" i="13"/>
  <c r="F10651" i="13" s="1"/>
  <c r="B10707" i="13" l="1"/>
  <c r="F11069" i="13"/>
  <c r="B10286" i="13"/>
  <c r="F10652" i="13" s="1"/>
  <c r="B10708" i="13" l="1"/>
  <c r="F11070" i="13"/>
  <c r="B10287" i="13"/>
  <c r="F10653" i="13" s="1"/>
  <c r="B10709" i="13" l="1"/>
  <c r="F11071" i="13"/>
  <c r="B10288" i="13"/>
  <c r="F10654" i="13" s="1"/>
  <c r="B10710" i="13" l="1"/>
  <c r="F11072" i="13"/>
  <c r="B10289" i="13"/>
  <c r="F10655" i="13" s="1"/>
  <c r="B10711" i="13" l="1"/>
  <c r="F11073" i="13"/>
  <c r="B10290" i="13"/>
  <c r="F10656" i="13" s="1"/>
  <c r="B10712" i="13" l="1"/>
  <c r="F11074" i="13"/>
  <c r="B10292" i="13"/>
  <c r="F10658" i="13" s="1"/>
  <c r="B10713" i="13" l="1"/>
  <c r="F11075" i="13"/>
  <c r="B10293" i="13"/>
  <c r="F10659" i="13" s="1"/>
  <c r="B10714" i="13" l="1"/>
  <c r="F11076" i="13"/>
  <c r="B10294" i="13"/>
  <c r="F10660" i="13" s="1"/>
  <c r="B10715" i="13" l="1"/>
  <c r="F11077" i="13"/>
  <c r="B10295" i="13"/>
  <c r="F10661" i="13" s="1"/>
  <c r="B10716" i="13" l="1"/>
  <c r="F11078" i="13"/>
  <c r="B10296" i="13"/>
  <c r="F10662" i="13" s="1"/>
  <c r="B10718" i="13" l="1"/>
  <c r="F11079" i="13"/>
  <c r="B10297" i="13"/>
  <c r="F10663" i="13" s="1"/>
  <c r="B10719" i="13" l="1"/>
  <c r="F11081" i="13"/>
  <c r="B10298" i="13"/>
  <c r="F10664" i="13" s="1"/>
  <c r="B10720" i="13" l="1"/>
  <c r="F11082" i="13"/>
  <c r="B10299" i="13"/>
  <c r="F10665" i="13" s="1"/>
  <c r="B10721" i="13" l="1"/>
  <c r="F11083" i="13"/>
  <c r="B10300" i="13"/>
  <c r="F10666" i="13" s="1"/>
  <c r="B10722" i="13" l="1"/>
  <c r="F11084" i="13"/>
  <c r="B10301" i="13"/>
  <c r="F10667" i="13" s="1"/>
  <c r="B10723" i="13" l="1"/>
  <c r="F11085" i="13"/>
  <c r="B10302" i="13"/>
  <c r="F10668" i="13" s="1"/>
  <c r="B10724" i="13" l="1"/>
  <c r="F11086" i="13"/>
  <c r="B10303" i="13"/>
  <c r="F10669" i="13" s="1"/>
  <c r="B10725" i="13" l="1"/>
  <c r="F11087" i="13"/>
  <c r="B10304" i="13"/>
  <c r="F10670" i="13" s="1"/>
  <c r="B10726" i="13" l="1"/>
  <c r="F11088" i="13"/>
  <c r="B10305" i="13"/>
  <c r="F10671" i="13" s="1"/>
  <c r="B10727" i="13" l="1"/>
  <c r="F11089" i="13"/>
  <c r="B10306" i="13"/>
  <c r="F10672" i="13" s="1"/>
  <c r="B10728" i="13" l="1"/>
  <c r="F11090" i="13"/>
  <c r="B10307" i="13"/>
  <c r="F10673" i="13" s="1"/>
  <c r="B10729" i="13" l="1"/>
  <c r="F11091" i="13"/>
  <c r="B10308" i="13"/>
  <c r="F10674" i="13" s="1"/>
  <c r="B10730" i="13" l="1"/>
  <c r="F11092" i="13"/>
  <c r="B10309" i="13"/>
  <c r="F10675" i="13" s="1"/>
  <c r="B10731" i="13" l="1"/>
  <c r="F11093" i="13"/>
  <c r="B10310" i="13"/>
  <c r="F10676" i="13" s="1"/>
  <c r="B10732" i="13" l="1"/>
  <c r="F11094" i="13"/>
  <c r="B10311" i="13"/>
  <c r="F10677" i="13" s="1"/>
  <c r="B10733" i="13" l="1"/>
  <c r="F11095" i="13"/>
  <c r="B10312" i="13"/>
  <c r="F10678" i="13" s="1"/>
  <c r="B10734" i="13" l="1"/>
  <c r="F11096" i="13"/>
  <c r="B10313" i="13"/>
  <c r="F10679" i="13" s="1"/>
  <c r="B10735" i="13" l="1"/>
  <c r="F11097" i="13"/>
  <c r="B10314" i="13"/>
  <c r="F10680" i="13" s="1"/>
  <c r="B10736" i="13" l="1"/>
  <c r="F11098" i="13"/>
  <c r="B10315" i="13"/>
  <c r="F10681" i="13" s="1"/>
  <c r="B10737" i="13" l="1"/>
  <c r="F11099" i="13"/>
  <c r="B10316" i="13"/>
  <c r="F10682" i="13" s="1"/>
  <c r="B10738" i="13" l="1"/>
  <c r="F11100" i="13"/>
  <c r="B10317" i="13"/>
  <c r="F10683" i="13" s="1"/>
  <c r="B10739" i="13" l="1"/>
  <c r="F11101" i="13"/>
  <c r="B10318" i="13"/>
  <c r="F10684" i="13" s="1"/>
  <c r="B10740" i="13" l="1"/>
  <c r="F11102" i="13"/>
  <c r="B10319" i="13"/>
  <c r="F10685" i="13" s="1"/>
  <c r="B10741" i="13" l="1"/>
  <c r="F11103" i="13"/>
  <c r="B10320" i="13"/>
  <c r="F10686" i="13" s="1"/>
  <c r="B10742" i="13" l="1"/>
  <c r="F11104" i="13"/>
  <c r="B10322" i="13"/>
  <c r="F10688" i="13" s="1"/>
  <c r="B10743" i="13" l="1"/>
  <c r="F11105" i="13"/>
  <c r="B10323" i="13"/>
  <c r="F10689" i="13" s="1"/>
  <c r="B10744" i="13" l="1"/>
  <c r="F11106" i="13"/>
  <c r="B10324" i="13"/>
  <c r="F10690" i="13" s="1"/>
  <c r="B10745" i="13" l="1"/>
  <c r="F11107" i="13"/>
  <c r="B10325" i="13"/>
  <c r="F10691" i="13" s="1"/>
  <c r="B10746" i="13" l="1"/>
  <c r="F11108" i="13"/>
  <c r="B10326" i="13"/>
  <c r="F10692" i="13" s="1"/>
  <c r="B10747" i="13" l="1"/>
  <c r="F11109" i="13"/>
  <c r="B10327" i="13"/>
  <c r="F10693" i="13" s="1"/>
  <c r="B10749" i="13" l="1"/>
  <c r="F11110" i="13"/>
  <c r="B10328" i="13"/>
  <c r="F10694" i="13" s="1"/>
  <c r="B10750" i="13" l="1"/>
  <c r="F11112" i="13"/>
  <c r="B10329" i="13"/>
  <c r="F10695" i="13" s="1"/>
  <c r="B10751" i="13" l="1"/>
  <c r="F11113" i="13"/>
  <c r="B10330" i="13"/>
  <c r="F10696" i="13" s="1"/>
  <c r="B10752" i="13" l="1"/>
  <c r="F11114" i="13"/>
  <c r="B10331" i="13"/>
  <c r="F10697" i="13" s="1"/>
  <c r="B10753" i="13" l="1"/>
  <c r="F11115" i="13"/>
  <c r="B10332" i="13"/>
  <c r="F10698" i="13" s="1"/>
  <c r="B10754" i="13" l="1"/>
  <c r="F11116" i="13"/>
  <c r="B10333" i="13"/>
  <c r="F10699" i="13" s="1"/>
  <c r="B10755" i="13" l="1"/>
  <c r="F11117" i="13"/>
  <c r="B10334" i="13"/>
  <c r="F10700" i="13" s="1"/>
  <c r="B10756" i="13" l="1"/>
  <c r="F11118" i="13"/>
  <c r="B10335" i="13"/>
  <c r="F10701" i="13" s="1"/>
  <c r="B10757" i="13" l="1"/>
  <c r="F11119" i="13"/>
  <c r="B10336" i="13"/>
  <c r="F10702" i="13" s="1"/>
  <c r="B10758" i="13" l="1"/>
  <c r="F11120" i="13"/>
  <c r="B10337" i="13"/>
  <c r="F10703" i="13" s="1"/>
  <c r="B10759" i="13" l="1"/>
  <c r="F11121" i="13"/>
  <c r="B10338" i="13"/>
  <c r="F10704" i="13" s="1"/>
  <c r="B10760" i="13" l="1"/>
  <c r="F11122" i="13"/>
  <c r="B10339" i="13"/>
  <c r="F10705" i="13" s="1"/>
  <c r="B10761" i="13" l="1"/>
  <c r="F11123" i="13"/>
  <c r="B10340" i="13"/>
  <c r="F10706" i="13" s="1"/>
  <c r="B10762" i="13" l="1"/>
  <c r="F11124" i="13"/>
  <c r="B10341" i="13"/>
  <c r="F10707" i="13" s="1"/>
  <c r="B10763" i="13" l="1"/>
  <c r="F11125" i="13"/>
  <c r="B10342" i="13"/>
  <c r="F10708" i="13" s="1"/>
  <c r="B10764" i="13" l="1"/>
  <c r="F11126" i="13"/>
  <c r="B10343" i="13"/>
  <c r="F10709" i="13" s="1"/>
  <c r="B10765" i="13" l="1"/>
  <c r="F11127" i="13"/>
  <c r="B10344" i="13"/>
  <c r="F10710" i="13" s="1"/>
  <c r="B10766" i="13" l="1"/>
  <c r="F11128" i="13"/>
  <c r="B10345" i="13"/>
  <c r="F10711" i="13" s="1"/>
  <c r="B10767" i="13" l="1"/>
  <c r="F11129" i="13"/>
  <c r="B10346" i="13"/>
  <c r="F10712" i="13" s="1"/>
  <c r="B10768" i="13" l="1"/>
  <c r="F11130" i="13"/>
  <c r="B10347" i="13"/>
  <c r="F10713" i="13" s="1"/>
  <c r="B10769" i="13" l="1"/>
  <c r="F11131" i="13"/>
  <c r="B10348" i="13"/>
  <c r="F10714" i="13" s="1"/>
  <c r="B10770" i="13" l="1"/>
  <c r="F11132" i="13"/>
  <c r="B10349" i="13"/>
  <c r="F10715" i="13" s="1"/>
  <c r="B10771" i="13" l="1"/>
  <c r="F11133" i="13"/>
  <c r="B10350" i="13"/>
  <c r="F10716" i="13" s="1"/>
  <c r="B10772" i="13" l="1"/>
  <c r="F11134" i="13"/>
  <c r="B10352" i="13"/>
  <c r="F10718" i="13" s="1"/>
  <c r="B10773" i="13" l="1"/>
  <c r="F11135" i="13"/>
  <c r="B10353" i="13"/>
  <c r="F10719" i="13" s="1"/>
  <c r="B10774" i="13" l="1"/>
  <c r="F11136" i="13"/>
  <c r="B10354" i="13"/>
  <c r="F10720" i="13" s="1"/>
  <c r="B10775" i="13" l="1"/>
  <c r="F11137" i="13"/>
  <c r="B10355" i="13"/>
  <c r="F10721" i="13" s="1"/>
  <c r="B10776" i="13" l="1"/>
  <c r="F11138" i="13"/>
  <c r="B10356" i="13"/>
  <c r="F10722" i="13" s="1"/>
  <c r="B10777" i="13" l="1"/>
  <c r="F11139" i="13"/>
  <c r="B10357" i="13"/>
  <c r="F10723" i="13" s="1"/>
  <c r="B10778" i="13" l="1"/>
  <c r="F11140" i="13"/>
  <c r="B10358" i="13"/>
  <c r="F10724" i="13" s="1"/>
  <c r="B10780" i="13" l="1"/>
  <c r="F11141" i="13"/>
  <c r="B10359" i="13"/>
  <c r="F10725" i="13" s="1"/>
  <c r="B10781" i="13" l="1"/>
  <c r="F11143" i="13"/>
  <c r="B10360" i="13"/>
  <c r="F10726" i="13" s="1"/>
  <c r="B10782" i="13" l="1"/>
  <c r="F11144" i="13"/>
  <c r="B10361" i="13"/>
  <c r="F10727" i="13" s="1"/>
  <c r="B10783" i="13" l="1"/>
  <c r="F11145" i="13"/>
  <c r="B10362" i="13"/>
  <c r="F10728" i="13" s="1"/>
  <c r="B10784" i="13" l="1"/>
  <c r="F11146" i="13"/>
  <c r="B10363" i="13"/>
  <c r="F10729" i="13" s="1"/>
  <c r="B10785" i="13" l="1"/>
  <c r="F11147" i="13"/>
  <c r="B10364" i="13"/>
  <c r="F10730" i="13" s="1"/>
  <c r="B10786" i="13" l="1"/>
  <c r="F11148" i="13"/>
  <c r="B10365" i="13"/>
  <c r="F10731" i="13" s="1"/>
  <c r="B10787" i="13" l="1"/>
  <c r="F11149" i="13"/>
  <c r="B10366" i="13"/>
  <c r="F10732" i="13" s="1"/>
  <c r="B10788" i="13" l="1"/>
  <c r="F11150" i="13"/>
  <c r="B10367" i="13"/>
  <c r="F10733" i="13" s="1"/>
  <c r="B10789" i="13" l="1"/>
  <c r="F11151" i="13"/>
  <c r="B10368" i="13"/>
  <c r="F10734" i="13" s="1"/>
  <c r="B10790" i="13" l="1"/>
  <c r="F11152" i="13"/>
  <c r="B10369" i="13"/>
  <c r="F10735" i="13" s="1"/>
  <c r="B10791" i="13" l="1"/>
  <c r="F11153" i="13"/>
  <c r="B10370" i="13"/>
  <c r="F10736" i="13" s="1"/>
  <c r="B10792" i="13" l="1"/>
  <c r="F11154" i="13"/>
  <c r="B10371" i="13"/>
  <c r="F10737" i="13" s="1"/>
  <c r="B10793" i="13" l="1"/>
  <c r="F11155" i="13"/>
  <c r="B10372" i="13"/>
  <c r="F10738" i="13" s="1"/>
  <c r="B10794" i="13" l="1"/>
  <c r="F11156" i="13"/>
  <c r="B10373" i="13"/>
  <c r="F10739" i="13" s="1"/>
  <c r="B10795" i="13" l="1"/>
  <c r="F11157" i="13"/>
  <c r="B10374" i="13"/>
  <c r="F10740" i="13" s="1"/>
  <c r="B10796" i="13" l="1"/>
  <c r="F11158" i="13"/>
  <c r="B10375" i="13"/>
  <c r="F10741" i="13" s="1"/>
  <c r="B10797" i="13" l="1"/>
  <c r="F11159" i="13"/>
  <c r="B10376" i="13"/>
  <c r="F10742" i="13" s="1"/>
  <c r="B10798" i="13" l="1"/>
  <c r="F11160" i="13"/>
  <c r="B10377" i="13"/>
  <c r="F10743" i="13" s="1"/>
  <c r="B10799" i="13" l="1"/>
  <c r="F11161" i="13"/>
  <c r="B10378" i="13"/>
  <c r="F10744" i="13" s="1"/>
  <c r="B10800" i="13" l="1"/>
  <c r="F11162" i="13"/>
  <c r="B10379" i="13"/>
  <c r="F10745" i="13" s="1"/>
  <c r="B10801" i="13" l="1"/>
  <c r="F11163" i="13"/>
  <c r="B10380" i="13"/>
  <c r="F10746" i="13" s="1"/>
  <c r="B10802" i="13" l="1"/>
  <c r="F11164" i="13"/>
  <c r="B10381" i="13"/>
  <c r="F10747" i="13" s="1"/>
  <c r="B10803" i="13" l="1"/>
  <c r="F11165" i="13"/>
  <c r="B10383" i="13"/>
  <c r="F10749" i="13" s="1"/>
  <c r="B10804" i="13" l="1"/>
  <c r="F11166" i="13"/>
  <c r="B10384" i="13"/>
  <c r="F10750" i="13" s="1"/>
  <c r="B10805" i="13" l="1"/>
  <c r="F11167" i="13"/>
  <c r="B10385" i="13"/>
  <c r="F10751" i="13" s="1"/>
  <c r="B10806" i="13" l="1"/>
  <c r="F11168" i="13"/>
  <c r="B10386" i="13"/>
  <c r="F10752" i="13" s="1"/>
  <c r="B10807" i="13" l="1"/>
  <c r="F11169" i="13"/>
  <c r="B10387" i="13"/>
  <c r="F10753" i="13" s="1"/>
  <c r="B10809" i="13" l="1"/>
  <c r="F11170" i="13"/>
  <c r="B10388" i="13"/>
  <c r="F10754" i="13" s="1"/>
  <c r="B10810" i="13" l="1"/>
  <c r="F11172" i="13"/>
  <c r="B10389" i="13"/>
  <c r="F10755" i="13" s="1"/>
  <c r="B10811" i="13" l="1"/>
  <c r="F11173" i="13"/>
  <c r="B10390" i="13"/>
  <c r="F10756" i="13" s="1"/>
  <c r="B10812" i="13" l="1"/>
  <c r="F11174" i="13"/>
  <c r="B10391" i="13"/>
  <c r="F10757" i="13" s="1"/>
  <c r="B10813" i="13" l="1"/>
  <c r="F11175" i="13"/>
  <c r="B10392" i="13"/>
  <c r="F10758" i="13" s="1"/>
  <c r="B10814" i="13" l="1"/>
  <c r="F11176" i="13"/>
  <c r="B10393" i="13"/>
  <c r="F10759" i="13" s="1"/>
  <c r="B10815" i="13" l="1"/>
  <c r="F11177" i="13"/>
  <c r="B10394" i="13"/>
  <c r="F10760" i="13" s="1"/>
  <c r="B10816" i="13" l="1"/>
  <c r="F11178" i="13"/>
  <c r="B10395" i="13"/>
  <c r="F10761" i="13" s="1"/>
  <c r="B10817" i="13" l="1"/>
  <c r="F11179" i="13"/>
  <c r="B10396" i="13"/>
  <c r="F10762" i="13" s="1"/>
  <c r="B10818" i="13" l="1"/>
  <c r="F11180" i="13"/>
  <c r="B10397" i="13"/>
  <c r="F10763" i="13" s="1"/>
  <c r="B10819" i="13" l="1"/>
  <c r="F11181" i="13"/>
  <c r="B10398" i="13"/>
  <c r="F10764" i="13" s="1"/>
  <c r="B10820" i="13" l="1"/>
  <c r="F11182" i="13"/>
  <c r="B10399" i="13"/>
  <c r="F10765" i="13" s="1"/>
  <c r="B10821" i="13" l="1"/>
  <c r="F11183" i="13"/>
  <c r="B10400" i="13"/>
  <c r="F10766" i="13" s="1"/>
  <c r="B10822" i="13" l="1"/>
  <c r="F11184" i="13"/>
  <c r="B10401" i="13"/>
  <c r="F10767" i="13" s="1"/>
  <c r="B10823" i="13" l="1"/>
  <c r="F11185" i="13"/>
  <c r="B10402" i="13"/>
  <c r="F10768" i="13" s="1"/>
  <c r="B10824" i="13" l="1"/>
  <c r="F11186" i="13"/>
  <c r="B10403" i="13"/>
  <c r="F10769" i="13" s="1"/>
  <c r="B10825" i="13" l="1"/>
  <c r="F11187" i="13"/>
  <c r="B10404" i="13"/>
  <c r="F10770" i="13" s="1"/>
  <c r="B10826" i="13" l="1"/>
  <c r="F11188" i="13"/>
  <c r="B10405" i="13"/>
  <c r="F10771" i="13" s="1"/>
  <c r="B10827" i="13" l="1"/>
  <c r="F11189" i="13"/>
  <c r="B10406" i="13"/>
  <c r="F10772" i="13" s="1"/>
  <c r="B10828" i="13" l="1"/>
  <c r="F11190" i="13"/>
  <c r="B10407" i="13"/>
  <c r="F10773" i="13" s="1"/>
  <c r="B10829" i="13" l="1"/>
  <c r="F11191" i="13"/>
  <c r="B10408" i="13"/>
  <c r="F10774" i="13" s="1"/>
  <c r="B10830" i="13" l="1"/>
  <c r="F11192" i="13"/>
  <c r="B10409" i="13"/>
  <c r="F10775" i="13" s="1"/>
  <c r="B10831" i="13" l="1"/>
  <c r="F11193" i="13"/>
  <c r="B10410" i="13"/>
  <c r="F10776" i="13" s="1"/>
  <c r="B10832" i="13" l="1"/>
  <c r="F11194" i="13"/>
  <c r="B10411" i="13"/>
  <c r="F10777" i="13" s="1"/>
  <c r="B10833" i="13" l="1"/>
  <c r="F11195" i="13"/>
  <c r="B10412" i="13"/>
  <c r="F10778" i="13" s="1"/>
  <c r="B10834" i="13" l="1"/>
  <c r="F11196" i="13"/>
  <c r="B10414" i="13"/>
  <c r="F10780" i="13" s="1"/>
  <c r="B10835" i="13" l="1"/>
  <c r="F11197" i="13"/>
  <c r="B10415" i="13"/>
  <c r="F10781" i="13" s="1"/>
  <c r="B10837" i="13" l="1"/>
  <c r="F11198" i="13"/>
  <c r="B10416" i="13"/>
  <c r="F10782" i="13" s="1"/>
  <c r="B10838" i="13" l="1"/>
  <c r="F11200" i="13"/>
  <c r="B10417" i="13"/>
  <c r="F10783" i="13" s="1"/>
  <c r="B10839" i="13" l="1"/>
  <c r="F11201" i="13"/>
  <c r="B10418" i="13"/>
  <c r="F10784" i="13" s="1"/>
  <c r="B10840" i="13" l="1"/>
  <c r="F11202" i="13"/>
  <c r="B10419" i="13"/>
  <c r="F10785" i="13" s="1"/>
  <c r="B10841" i="13" l="1"/>
  <c r="F11203" i="13"/>
  <c r="B10420" i="13"/>
  <c r="F10786" i="13" s="1"/>
  <c r="B10842" i="13" l="1"/>
  <c r="F11204" i="13"/>
  <c r="B10421" i="13"/>
  <c r="F10787" i="13" s="1"/>
  <c r="B10843" i="13" l="1"/>
  <c r="F11205" i="13"/>
  <c r="B10422" i="13"/>
  <c r="F10788" i="13" s="1"/>
  <c r="B10844" i="13" l="1"/>
  <c r="F11206" i="13"/>
  <c r="B10423" i="13"/>
  <c r="F10789" i="13" s="1"/>
  <c r="B10845" i="13" l="1"/>
  <c r="F11207" i="13"/>
  <c r="B10424" i="13"/>
  <c r="F10790" i="13" s="1"/>
  <c r="B10846" i="13" l="1"/>
  <c r="F11208" i="13"/>
  <c r="B10425" i="13"/>
  <c r="F10791" i="13" s="1"/>
  <c r="B10847" i="13" l="1"/>
  <c r="F11209" i="13"/>
  <c r="B10426" i="13"/>
  <c r="F10792" i="13" s="1"/>
  <c r="B10848" i="13" l="1"/>
  <c r="F11210" i="13"/>
  <c r="B10427" i="13"/>
  <c r="F10793" i="13" s="1"/>
  <c r="B10849" i="13" l="1"/>
  <c r="F11211" i="13"/>
  <c r="B10428" i="13"/>
  <c r="B10850" i="13" l="1"/>
  <c r="F11212" i="13"/>
  <c r="B10429" i="13"/>
  <c r="F10794" i="13"/>
  <c r="B10851" i="13" l="1"/>
  <c r="F11213" i="13"/>
  <c r="B10430" i="13"/>
  <c r="F10795" i="13"/>
  <c r="B10852" i="13" l="1"/>
  <c r="F11214" i="13"/>
  <c r="B10431" i="13"/>
  <c r="F10796" i="13"/>
  <c r="B10853" i="13" l="1"/>
  <c r="F11215" i="13"/>
  <c r="B10432" i="13"/>
  <c r="F10797" i="13"/>
  <c r="B10854" i="13" l="1"/>
  <c r="F11216" i="13"/>
  <c r="B10433" i="13"/>
  <c r="F10798" i="13"/>
  <c r="B10855" i="13" l="1"/>
  <c r="F11217" i="13"/>
  <c r="B10434" i="13"/>
  <c r="F10799" i="13"/>
  <c r="B10856" i="13" l="1"/>
  <c r="F11218" i="13"/>
  <c r="B10435" i="13"/>
  <c r="F10800" i="13"/>
  <c r="B10857" i="13" l="1"/>
  <c r="F11219" i="13"/>
  <c r="B10436" i="13"/>
  <c r="F10801" i="13"/>
  <c r="B10858" i="13" l="1"/>
  <c r="F11220" i="13"/>
  <c r="B10437" i="13"/>
  <c r="F10802" i="13"/>
  <c r="B10859" i="13" l="1"/>
  <c r="F11221" i="13"/>
  <c r="B10438" i="13"/>
  <c r="F10803" i="13"/>
  <c r="B10860" i="13" l="1"/>
  <c r="F11222" i="13"/>
  <c r="B10439" i="13"/>
  <c r="F10804" i="13"/>
  <c r="B10861" i="13" l="1"/>
  <c r="F11223" i="13"/>
  <c r="B10440" i="13"/>
  <c r="F10805" i="13"/>
  <c r="B10862" i="13" l="1"/>
  <c r="F11224" i="13"/>
  <c r="B10441" i="13"/>
  <c r="F10806" i="13"/>
  <c r="B10863" i="13" l="1"/>
  <c r="F11225" i="13"/>
  <c r="B10442" i="13"/>
  <c r="F10807" i="13"/>
  <c r="B10864" i="13" l="1"/>
  <c r="B10865" i="13" s="1"/>
  <c r="B10866" i="13" s="1"/>
  <c r="B10868" i="13" s="1"/>
  <c r="B10869" i="13" s="1"/>
  <c r="B10870" i="13" s="1"/>
  <c r="B10871" i="13" s="1"/>
  <c r="B10872" i="13" s="1"/>
  <c r="B10873" i="13" s="1"/>
  <c r="B10874" i="13" s="1"/>
  <c r="B10875" i="13" s="1"/>
  <c r="B10876" i="13" s="1"/>
  <c r="B10877" i="13" s="1"/>
  <c r="B10878" i="13" s="1"/>
  <c r="B10879" i="13" s="1"/>
  <c r="B10880" i="13" s="1"/>
  <c r="B10881" i="13" s="1"/>
  <c r="B10882" i="13" s="1"/>
  <c r="B10883" i="13" s="1"/>
  <c r="B10884" i="13" s="1"/>
  <c r="B10885" i="13" s="1"/>
  <c r="B10886" i="13" s="1"/>
  <c r="B10887" i="13" s="1"/>
  <c r="B10888" i="13" s="1"/>
  <c r="B10889" i="13" s="1"/>
  <c r="B10890" i="13" s="1"/>
  <c r="B10891" i="13" s="1"/>
  <c r="B10892" i="13" s="1"/>
  <c r="B10893" i="13" s="1"/>
  <c r="B10894" i="13" s="1"/>
  <c r="B10895" i="13" s="1"/>
  <c r="B10896" i="13" s="1"/>
  <c r="B10898" i="13" s="1"/>
  <c r="F11226" i="13"/>
  <c r="B10443" i="13"/>
  <c r="F10808" i="13"/>
  <c r="B10899" i="13" l="1"/>
  <c r="F11261" i="13"/>
  <c r="B10445" i="13"/>
  <c r="F10809" i="13"/>
  <c r="B10900" i="13" l="1"/>
  <c r="F11262" i="13"/>
  <c r="B10446" i="13"/>
  <c r="F10811" i="13"/>
  <c r="B10902" i="13" l="1"/>
  <c r="B10903" i="13" s="1"/>
  <c r="B10904" i="13" s="1"/>
  <c r="B10905" i="13" s="1"/>
  <c r="B10906" i="13" s="1"/>
  <c r="B10907" i="13" s="1"/>
  <c r="B10908" i="13" s="1"/>
  <c r="B10909" i="13" s="1"/>
  <c r="B10910" i="13" s="1"/>
  <c r="B10911" i="13" s="1"/>
  <c r="B10912" i="13" s="1"/>
  <c r="B10913" i="13" s="1"/>
  <c r="B10914" i="13" s="1"/>
  <c r="B10915" i="13" s="1"/>
  <c r="B10916" i="13" s="1"/>
  <c r="B10917" i="13" s="1"/>
  <c r="B10918" i="13" s="1"/>
  <c r="B10919" i="13" s="1"/>
  <c r="B10920" i="13" s="1"/>
  <c r="B10921" i="13" s="1"/>
  <c r="B10922" i="13" s="1"/>
  <c r="B10923" i="13" s="1"/>
  <c r="B10924" i="13" s="1"/>
  <c r="B10925" i="13" s="1"/>
  <c r="B10926" i="13" s="1"/>
  <c r="B10927" i="13" s="1"/>
  <c r="B10929" i="13" s="1"/>
  <c r="B10930" i="13" s="1"/>
  <c r="B10931" i="13" s="1"/>
  <c r="B10932" i="13" s="1"/>
  <c r="B10933" i="13" s="1"/>
  <c r="B10934" i="13" s="1"/>
  <c r="B10935" i="13" s="1"/>
  <c r="B10936" i="13" s="1"/>
  <c r="B10937" i="13" s="1"/>
  <c r="B10938" i="13" s="1"/>
  <c r="B10939" i="13" s="1"/>
  <c r="B10940" i="13" s="1"/>
  <c r="B10941" i="13" s="1"/>
  <c r="B10942" i="13" s="1"/>
  <c r="B10943" i="13" s="1"/>
  <c r="B10944" i="13" s="1"/>
  <c r="B10945" i="13" s="1"/>
  <c r="B10946" i="13" s="1"/>
  <c r="B10947" i="13" s="1"/>
  <c r="B10948" i="13" s="1"/>
  <c r="B10949" i="13" s="1"/>
  <c r="B10950" i="13" s="1"/>
  <c r="B10951" i="13" s="1"/>
  <c r="B10952" i="13" s="1"/>
  <c r="B10953" i="13" s="1"/>
  <c r="B10954" i="13" s="1"/>
  <c r="B10955" i="13" s="1"/>
  <c r="B10956" i="13" s="1"/>
  <c r="B10957" i="13" s="1"/>
  <c r="B10959" i="13" s="1"/>
  <c r="B10960" i="13" s="1"/>
  <c r="B10961" i="13" s="1"/>
  <c r="B10962" i="13" s="1"/>
  <c r="B10963" i="13" s="1"/>
  <c r="B10964" i="13" s="1"/>
  <c r="B10965" i="13" s="1"/>
  <c r="B10966" i="13" s="1"/>
  <c r="B10967" i="13" s="1"/>
  <c r="B10968" i="13" s="1"/>
  <c r="B10969" i="13" s="1"/>
  <c r="B10970" i="13" s="1"/>
  <c r="B10971" i="13" s="1"/>
  <c r="B10972" i="13" s="1"/>
  <c r="B10973" i="13" s="1"/>
  <c r="B10974" i="13" s="1"/>
  <c r="B10975" i="13" s="1"/>
  <c r="B10976" i="13" s="1"/>
  <c r="B10977" i="13" s="1"/>
  <c r="B10978" i="13" s="1"/>
  <c r="B10979" i="13" s="1"/>
  <c r="B10980" i="13" s="1"/>
  <c r="B10981" i="13" s="1"/>
  <c r="B10982" i="13" s="1"/>
  <c r="B10983" i="13" s="1"/>
  <c r="B10984" i="13" s="1"/>
  <c r="B10985" i="13" s="1"/>
  <c r="B10986" i="13" s="1"/>
  <c r="B10987" i="13" s="1"/>
  <c r="B10988" i="13" s="1"/>
  <c r="B10990" i="13" s="1"/>
  <c r="B10991" i="13" s="1"/>
  <c r="B10992" i="13" s="1"/>
  <c r="B10993" i="13" s="1"/>
  <c r="B10994" i="13" s="1"/>
  <c r="B10995" i="13" s="1"/>
  <c r="B10996" i="13" s="1"/>
  <c r="B10997" i="13" s="1"/>
  <c r="B10998" i="13" s="1"/>
  <c r="B10999" i="13" s="1"/>
  <c r="B11000" i="13" s="1"/>
  <c r="B11001" i="13" s="1"/>
  <c r="B11002" i="13" s="1"/>
  <c r="B11003" i="13" s="1"/>
  <c r="B11004" i="13" s="1"/>
  <c r="B11005" i="13" s="1"/>
  <c r="B11006" i="13" s="1"/>
  <c r="B11007" i="13" s="1"/>
  <c r="B11008" i="13" s="1"/>
  <c r="B11009" i="13" s="1"/>
  <c r="B11010" i="13" s="1"/>
  <c r="B11011" i="13" s="1"/>
  <c r="B11012" i="13" s="1"/>
  <c r="B11013" i="13" s="1"/>
  <c r="B11014" i="13" s="1"/>
  <c r="B11015" i="13" s="1"/>
  <c r="B11016" i="13" s="1"/>
  <c r="B11017" i="13" s="1"/>
  <c r="B11018" i="13" s="1"/>
  <c r="B11019" i="13" s="1"/>
  <c r="B11021" i="13" s="1"/>
  <c r="B11022" i="13" s="1"/>
  <c r="B11023" i="13" s="1"/>
  <c r="B11024" i="13" s="1"/>
  <c r="B11025" i="13" s="1"/>
  <c r="B11026" i="13" s="1"/>
  <c r="B11027" i="13" s="1"/>
  <c r="B11028" i="13" s="1"/>
  <c r="B11029" i="13" s="1"/>
  <c r="B11030" i="13" s="1"/>
  <c r="B11031" i="13" s="1"/>
  <c r="B11032" i="13" s="1"/>
  <c r="B11033" i="13" s="1"/>
  <c r="B11034" i="13" s="1"/>
  <c r="B11035" i="13" s="1"/>
  <c r="B11036" i="13" s="1"/>
  <c r="B11037" i="13" s="1"/>
  <c r="B11038" i="13" s="1"/>
  <c r="B11039" i="13" s="1"/>
  <c r="B11040" i="13" s="1"/>
  <c r="B11041" i="13" s="1"/>
  <c r="B11042" i="13" s="1"/>
  <c r="B11043" i="13" s="1"/>
  <c r="B11044" i="13" s="1"/>
  <c r="B11045" i="13" s="1"/>
  <c r="B11046" i="13" s="1"/>
  <c r="B11047" i="13" s="1"/>
  <c r="B11048" i="13" s="1"/>
  <c r="B11049" i="13" s="1"/>
  <c r="F11263" i="13"/>
  <c r="B10447" i="13"/>
  <c r="F10812" i="13"/>
  <c r="B10448" i="13" l="1"/>
  <c r="F10813" i="13"/>
  <c r="B10449" i="13" l="1"/>
  <c r="F10814" i="13"/>
  <c r="B10450" i="13" l="1"/>
  <c r="F10815" i="13"/>
  <c r="B10451" i="13" l="1"/>
  <c r="F10816" i="13"/>
  <c r="B10452" i="13" l="1"/>
  <c r="F10817" i="13"/>
  <c r="B10453" i="13" l="1"/>
  <c r="F10818" i="13"/>
  <c r="B10454" i="13" l="1"/>
  <c r="F10819" i="13"/>
  <c r="B10455" i="13" l="1"/>
  <c r="F10820" i="13"/>
  <c r="B10456" i="13" l="1"/>
  <c r="F10821" i="13"/>
  <c r="B10457" i="13" l="1"/>
  <c r="F10822" i="13"/>
  <c r="B10458" i="13" l="1"/>
  <c r="F10823" i="13"/>
  <c r="B10459" i="13" l="1"/>
  <c r="F10824" i="13"/>
  <c r="B10460" i="13" l="1"/>
  <c r="F10825" i="13"/>
  <c r="B10461" i="13" l="1"/>
  <c r="F10826" i="13"/>
  <c r="B10462" i="13" l="1"/>
  <c r="F10827" i="13"/>
  <c r="B10463" i="13" l="1"/>
  <c r="F10828" i="13"/>
  <c r="B10464" i="13" l="1"/>
  <c r="F10829" i="13"/>
  <c r="B10465" i="13" l="1"/>
  <c r="F10830" i="13"/>
  <c r="B10466" i="13" l="1"/>
  <c r="F10831" i="13"/>
  <c r="B10467" i="13" l="1"/>
  <c r="F10832" i="13"/>
  <c r="B10468" i="13" l="1"/>
  <c r="F10833" i="13"/>
  <c r="B10469" i="13" l="1"/>
  <c r="F10834" i="13"/>
  <c r="B10470" i="13" l="1"/>
  <c r="F10835" i="13"/>
  <c r="B10471" i="13" l="1"/>
  <c r="F10836" i="13"/>
  <c r="B10472" i="13" l="1"/>
  <c r="F10837" i="13"/>
  <c r="B10474" i="13" l="1"/>
  <c r="F10838" i="13"/>
  <c r="B10475" i="13" l="1"/>
  <c r="F10840" i="13"/>
  <c r="B10476" i="13" l="1"/>
  <c r="F10841" i="13"/>
  <c r="B10477" i="13" l="1"/>
  <c r="F10842" i="13"/>
  <c r="B10478" i="13" l="1"/>
  <c r="F10843" i="13"/>
  <c r="B10479" i="13" l="1"/>
  <c r="F10844" i="13"/>
  <c r="B10480" i="13" l="1"/>
  <c r="F10845" i="13"/>
  <c r="B10481" i="13" l="1"/>
  <c r="F10846" i="13"/>
  <c r="B10482" i="13" l="1"/>
  <c r="F10847" i="13"/>
  <c r="B10483" i="13" l="1"/>
  <c r="F10848" i="13"/>
  <c r="B10484" i="13" l="1"/>
  <c r="F10849" i="13"/>
  <c r="B10485" i="13" l="1"/>
  <c r="F10850" i="13"/>
  <c r="B10486" i="13" l="1"/>
  <c r="F10851" i="13"/>
  <c r="B10487" i="13" l="1"/>
  <c r="F10852" i="13"/>
  <c r="B10488" i="13" l="1"/>
  <c r="F10853" i="13"/>
  <c r="B10489" i="13" l="1"/>
  <c r="F10854" i="13"/>
  <c r="B10490" i="13" l="1"/>
  <c r="F10855" i="13"/>
  <c r="B10491" i="13" l="1"/>
  <c r="F10856" i="13"/>
  <c r="B10492" i="13" l="1"/>
  <c r="F10857" i="13"/>
  <c r="B10493" i="13" l="1"/>
  <c r="F10858" i="13"/>
  <c r="B10494" i="13" l="1"/>
  <c r="F10859" i="13"/>
  <c r="B10495" i="13" l="1"/>
  <c r="F10860" i="13"/>
  <c r="B10496" i="13" l="1"/>
  <c r="F10861" i="13"/>
  <c r="B10497" i="13" l="1"/>
  <c r="F10862" i="13"/>
  <c r="B10498" i="13" l="1"/>
  <c r="F10863" i="13"/>
  <c r="B10499" i="13" l="1"/>
  <c r="F10864" i="13"/>
  <c r="B10500" i="13" l="1"/>
  <c r="F10865" i="13"/>
  <c r="B10501" i="13" l="1"/>
  <c r="F10866" i="13"/>
  <c r="B10502" i="13" l="1"/>
  <c r="F10867" i="13"/>
  <c r="B10503" i="13" l="1"/>
  <c r="F10869" i="13" s="1"/>
  <c r="F1086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E7" authorId="0" shapeId="0" xr:uid="{88E88455-69E6-4625-94EC-1A9388F39F6E}">
      <text>
        <r>
          <rPr>
            <sz val="9"/>
            <color indexed="81"/>
            <rFont val="Tahoma"/>
            <family val="2"/>
          </rPr>
          <t>Unidades, no metros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2" authorId="0" shapeId="0" xr:uid="{58CED174-899D-4255-B018-19773C9C551C}">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1CDB3F83-C5C0-4E20-BD8B-B8AC8A54C3F1}">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BF666687-E040-4B57-BE03-BD2519D00E3E}">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BC968B99-48C6-4662-ABC1-3C8DAEAB8DDE}">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DA1A5CEC-375B-4B80-BD9C-EBA4DECFD60A}">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454F11C7-B3A7-4F4A-942F-28C0B4EAAE7E}">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BFCD9B7C-D1C9-4729-8A31-6331CEA39BFD}">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72DE28AF-936E-4D84-A9CD-DA4CCC7FB9CA}">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sharedStrings.xml><?xml version="1.0" encoding="utf-8"?>
<sst xmlns="http://schemas.openxmlformats.org/spreadsheetml/2006/main" count="1505" uniqueCount="366">
  <si>
    <t>Fecha</t>
  </si>
  <si>
    <t>Valor Cuota Libro (*)</t>
  </si>
  <si>
    <t>Valor Cuota Mercado</t>
  </si>
  <si>
    <t>Dividendos (**)</t>
  </si>
  <si>
    <t>$Div. Yield 12M Libro</t>
  </si>
  <si>
    <t>Div. Yield 12M Mercado</t>
  </si>
  <si>
    <t>(**) Fecha efectiva de pago del dividendo</t>
  </si>
  <si>
    <t>Cifras en miles de pesos - M$</t>
  </si>
  <si>
    <t>ESTADO DE SITUACION FINANCIERA</t>
  </si>
  <si>
    <t>ACTIVOS</t>
  </si>
  <si>
    <t>Activos corrientes:</t>
  </si>
  <si>
    <t>Efectivo y equivalentes al efectivo</t>
  </si>
  <si>
    <t>Activos financieros a costo amortizado</t>
  </si>
  <si>
    <t>Cuentas y documentos por cobrar por operaciones</t>
  </si>
  <si>
    <t>Otros documentos y cuentas por cobrar</t>
  </si>
  <si>
    <t>Total activos corrientes</t>
  </si>
  <si>
    <t>Activos no corrientes:</t>
  </si>
  <si>
    <t>Inversiones valorizadas por el método de la participación</t>
  </si>
  <si>
    <t>Total activos no corrientes</t>
  </si>
  <si>
    <t>TOTAL ACTIVOS</t>
  </si>
  <si>
    <t>PASIVOS</t>
  </si>
  <si>
    <t>Pasivos corrientes:</t>
  </si>
  <si>
    <t>Préstamos</t>
  </si>
  <si>
    <t>Remuneraciones sociedad administradora</t>
  </si>
  <si>
    <t>Otros documentos y cuentas por pagar</t>
  </si>
  <si>
    <t>Otros pasivos</t>
  </si>
  <si>
    <t>Total pasivos corrientes</t>
  </si>
  <si>
    <t>Pasivos no corrientes:</t>
  </si>
  <si>
    <t>Total pasivos no corrientes</t>
  </si>
  <si>
    <t>TOTAL PASIVOS</t>
  </si>
  <si>
    <t>Patrimonio:</t>
  </si>
  <si>
    <t>Aportes</t>
  </si>
  <si>
    <t>Otras reservas</t>
  </si>
  <si>
    <t>Ganancias acumuladas</t>
  </si>
  <si>
    <t>Ganancias del ejercicio</t>
  </si>
  <si>
    <t>Dividendos provisorios</t>
  </si>
  <si>
    <t>TOTAL PATRIMONIO NETO</t>
  </si>
  <si>
    <t>TOTAL DE PATRIMONIO Y PASIVOS</t>
  </si>
  <si>
    <t>CHECK</t>
  </si>
  <si>
    <t>ESTADOS DE RESULTADOS INTEGRALES POR FUNCIÓN</t>
  </si>
  <si>
    <t>Ingresos (Pérdidas) de la operación</t>
  </si>
  <si>
    <t xml:space="preserve">Intereses y reajustes </t>
  </si>
  <si>
    <t xml:space="preserve">Otros Ingresos </t>
  </si>
  <si>
    <t xml:space="preserve">Diferencias de cambio netas sobre efectivo y efectivo equivalente </t>
  </si>
  <si>
    <t xml:space="preserve">Cambios netos en valor razonable de activos financieros y pasivos   financieros a valor razonable con efecto en resultados </t>
  </si>
  <si>
    <t xml:space="preserve">Resultado en venta de instrumentos financieros </t>
  </si>
  <si>
    <t xml:space="preserve">Resultado en inversiones valorizadas por el método de la participación </t>
  </si>
  <si>
    <t xml:space="preserve">Total ingresos netos de la operación </t>
  </si>
  <si>
    <t>Gastos</t>
  </si>
  <si>
    <t xml:space="preserve">Remuneración del comité de vigilancia </t>
  </si>
  <si>
    <t xml:space="preserve">Comisión de administración </t>
  </si>
  <si>
    <t xml:space="preserve">Otros gastos de operación </t>
  </si>
  <si>
    <t xml:space="preserve">Total gastos de operación </t>
  </si>
  <si>
    <t xml:space="preserve">Ganancia de la operación </t>
  </si>
  <si>
    <t xml:space="preserve">Costos financieros </t>
  </si>
  <si>
    <t xml:space="preserve">Ganancia antes de impuesto </t>
  </si>
  <si>
    <t xml:space="preserve">Impuestos a las ganancias por inversiones en el exterior </t>
  </si>
  <si>
    <t xml:space="preserve">Ganancia del ejercicio </t>
  </si>
  <si>
    <t>ESTADO DE RESULTADO DEVENGADO Y REALIZADO</t>
  </si>
  <si>
    <t xml:space="preserve">Descripción </t>
  </si>
  <si>
    <t xml:space="preserve">UTILIDAD (PÉRDIDA) NETA REALIZADA EN INVERSIONES </t>
  </si>
  <si>
    <t xml:space="preserve">Enajenación de cuotas de f ondos mutuos </t>
  </si>
  <si>
    <t xml:space="preserve">Dividendos Percibidos </t>
  </si>
  <si>
    <t xml:space="preserve">Enajenación títulos de deuda </t>
  </si>
  <si>
    <t xml:space="preserve">Intereses percibidos de títulos de deuda </t>
  </si>
  <si>
    <t xml:space="preserve">Otras inversiones y operaciones </t>
  </si>
  <si>
    <t>Enajenación de certificados del depósitos de valores</t>
  </si>
  <si>
    <t>PERDIDA NO REALIZADA DE INVERSIONES</t>
  </si>
  <si>
    <t xml:space="preserve">Valorización de acciones de sociedades anónimas </t>
  </si>
  <si>
    <t xml:space="preserve">UTILIDAD NO REALIZADA DE INVERSIONES </t>
  </si>
  <si>
    <t xml:space="preserve">Valorización de cuotas de fondos de inversión </t>
  </si>
  <si>
    <t xml:space="preserve">Valorización de cuotas de fondos mutuos </t>
  </si>
  <si>
    <t xml:space="preserve">Intereses devengados de títulos de deuda </t>
  </si>
  <si>
    <t xml:space="preserve">GASTOS DE EJERCICIO </t>
  </si>
  <si>
    <t xml:space="preserve">Gastos financieros </t>
  </si>
  <si>
    <t xml:space="preserve">Comisión de la sociedad administradora </t>
  </si>
  <si>
    <t xml:space="preserve">Gastos operacionales de cargo del fondo </t>
  </si>
  <si>
    <t>Diferencias de cambio y reajustes</t>
  </si>
  <si>
    <t>RESULTADO NETO DEL EJERCICIO</t>
  </si>
  <si>
    <t>DETALLE  PRINCIPALES GASTOS</t>
  </si>
  <si>
    <t>Comisión Sociedad Administradora</t>
  </si>
  <si>
    <t>Abogados</t>
  </si>
  <si>
    <t>Auditoría</t>
  </si>
  <si>
    <t>Peritos</t>
  </si>
  <si>
    <t>Contabilidad</t>
  </si>
  <si>
    <t>Honorarios DCV</t>
  </si>
  <si>
    <t>Honorarios clasificación de riesgo</t>
  </si>
  <si>
    <t>Publicaciones</t>
  </si>
  <si>
    <t>Gastos legales y notariales</t>
  </si>
  <si>
    <t>Market maker</t>
  </si>
  <si>
    <t>Otros gastos</t>
  </si>
  <si>
    <t>Comité de vigilancia</t>
  </si>
  <si>
    <t>Total</t>
  </si>
  <si>
    <t>COSTOS FINANCIEROS</t>
  </si>
  <si>
    <t>Pagarés FI Rentas Inmobiliarias</t>
  </si>
  <si>
    <t>Pagarés Otros Relacionados</t>
  </si>
  <si>
    <t>Intereses Bancarios</t>
  </si>
  <si>
    <t>Otros</t>
  </si>
  <si>
    <t>Check</t>
  </si>
  <si>
    <t>Notas</t>
  </si>
  <si>
    <t>Estados Financieros Individuales del Fondo de Inversión Independencia Rentas Inmobiliarias (CFINRENTAS)</t>
  </si>
  <si>
    <t>Otros activos financieros, corrientes</t>
  </si>
  <si>
    <t>Otros activos no financieros, corrientes</t>
  </si>
  <si>
    <t>Deudores comerciales y cuentas por cobrar, corrientes</t>
  </si>
  <si>
    <t>Cuentas por cobrar a entidades relacionadas, corrientes</t>
  </si>
  <si>
    <t>Activos por impuestos, corrientes</t>
  </si>
  <si>
    <t>Activos disponibles para la venta</t>
  </si>
  <si>
    <t>Otros activos financieros, no corrientes</t>
  </si>
  <si>
    <t>Otros activos no financieros, no corrientes</t>
  </si>
  <si>
    <t>Cuentas por cobrar a entidades relacionadas, no corrientes</t>
  </si>
  <si>
    <t>Inversiones en asociadas contabilizadas por el método de la participación</t>
  </si>
  <si>
    <t>Plusvalía (goodwill)</t>
  </si>
  <si>
    <t>Propiedades de inversión</t>
  </si>
  <si>
    <t>Activos por impuestos diferidos</t>
  </si>
  <si>
    <t>PATRIMONIO NETO Y PASIVOS</t>
  </si>
  <si>
    <t>Otros pasivos financieros, corrientes</t>
  </si>
  <si>
    <t>Cuentas comerciales y cuentas por pagar, corrientes</t>
  </si>
  <si>
    <t>Cuentas por pagar a entidades relacionadas, corrientes</t>
  </si>
  <si>
    <t>Otros pasivos por impuestos corrientes</t>
  </si>
  <si>
    <t>Otras provisiones, corrientes</t>
  </si>
  <si>
    <t>Otros pasivos no financieros, corrientes</t>
  </si>
  <si>
    <t>Pasivos mantenidos para la venta</t>
  </si>
  <si>
    <t>Total pasivos corrientes en operación</t>
  </si>
  <si>
    <t>Otros pasivos financieros, no corrientes</t>
  </si>
  <si>
    <t>Cuentas por pagar a entidades relacionadas, no corrientes</t>
  </si>
  <si>
    <t>Pasivo por impuestos diferidos</t>
  </si>
  <si>
    <t>Otros pasivos no financieros, no corrientes</t>
  </si>
  <si>
    <t>PATRIMONIO</t>
  </si>
  <si>
    <t>Capital emitido</t>
  </si>
  <si>
    <t>PATRIMONIO TOTAL</t>
  </si>
  <si>
    <t>PARTICIPACIONES NO CONTROLADORAS</t>
  </si>
  <si>
    <t>TOTAL PATRIMONIO Y PASIVOS</t>
  </si>
  <si>
    <t>ESTADO DE RESULTADOS</t>
  </si>
  <si>
    <t>Ganancia (pérdida)</t>
  </si>
  <si>
    <t>Ingresos de actividades ordinarias</t>
  </si>
  <si>
    <t>Costo de ventas</t>
  </si>
  <si>
    <t>Margen Bruto</t>
  </si>
  <si>
    <t>Otros ingresos, por función</t>
  </si>
  <si>
    <t>Gasto de administración</t>
  </si>
  <si>
    <t>Otros gastos, por función</t>
  </si>
  <si>
    <t>Otras ganancias (pérdidas)</t>
  </si>
  <si>
    <t>Ganancias (pérdidas) de actividades operacionales</t>
  </si>
  <si>
    <t>Ingresos financieros</t>
  </si>
  <si>
    <t>Costos financieros</t>
  </si>
  <si>
    <t>Participación en ganancia (pérdida) de asociadas contabilizadas por el  método de la participación</t>
  </si>
  <si>
    <t>Diferencias de cambio</t>
  </si>
  <si>
    <t>Resultados por unidades de reajuste</t>
  </si>
  <si>
    <t>Utilidad (pérdida) por cambios en el valor justo</t>
  </si>
  <si>
    <t xml:space="preserve">Ganancia (pérdida), antes de impuestos </t>
  </si>
  <si>
    <t>Gasto por impuestos a las ganancias</t>
  </si>
  <si>
    <t>Ganancia (pérdida) procedente de operaciones continuadas</t>
  </si>
  <si>
    <t>Ganancia (pérdida) procedente de operaciones discontinuadas</t>
  </si>
  <si>
    <t>GANANCIA (PÉRDIDA)</t>
  </si>
  <si>
    <t>Otros honorarios profesionales</t>
  </si>
  <si>
    <t>Contribuciones</t>
  </si>
  <si>
    <t>Seguros</t>
  </si>
  <si>
    <t>Gastos comunes por vacancia</t>
  </si>
  <si>
    <t>Comisión corredor de propiedades</t>
  </si>
  <si>
    <t>Mantención y reparaciones</t>
  </si>
  <si>
    <t>Depreciación</t>
  </si>
  <si>
    <t>PROPIEDAD DE RENTAS</t>
  </si>
  <si>
    <t>Estados Financieros consolidados de Inmobiliaria Descubrimiento</t>
  </si>
  <si>
    <t>Sociedad 100% de propiedad de CFINRENTAS desde 2014</t>
  </si>
  <si>
    <t>Estados financieros individuales de Rentas Inmobiliarias SpA</t>
  </si>
  <si>
    <t>Estados financieros individuales de Inmobiliaria Plaza Constitución SpA</t>
  </si>
  <si>
    <t>Sociedad 100% de propiedad de inmobiliaria Descubrimiento hasta 2017</t>
  </si>
  <si>
    <t>Sociedad 100% de propiedad de CFINRENTAS desde 2018</t>
  </si>
  <si>
    <t>Pagarés Otros</t>
  </si>
  <si>
    <t>Estados financieros individuales de Inmobiliaria Plaza Araucano SpA</t>
  </si>
  <si>
    <t>Sociedad 50% de propiedad de CFINRENTAS hasta 2017</t>
  </si>
  <si>
    <t>Sociedad 50% de propiedad de terceros hasta 2015</t>
  </si>
  <si>
    <t>Sociedad 50% de propiedad de Inmobiliaria Descubrimiento hasta 2017</t>
  </si>
  <si>
    <t>Estados financieros individuales de Rentas Retail SpA</t>
  </si>
  <si>
    <t>Sociedad 100% de propiedad de CFINRENTAS desde 2015</t>
  </si>
  <si>
    <t>Estados financieros individuales de Rentas Bucarest SpA</t>
  </si>
  <si>
    <t>Sociedad 100% de propiedad de CFINRENTAS desde 2017</t>
  </si>
  <si>
    <t>Estados financieros individuales de Rentas Magdalena SpA</t>
  </si>
  <si>
    <t>Estados financieros individuales de Bodenor Flexcenter SA</t>
  </si>
  <si>
    <t>Sociedad 40% de propiedad de CFINRENTAS hasta 2020</t>
  </si>
  <si>
    <t>Sociedad 70% de propiedad de CFINRENTAS desde 2021</t>
  </si>
  <si>
    <r>
      <t xml:space="preserve">Cifras en miles de pesos - M$ </t>
    </r>
    <r>
      <rPr>
        <b/>
        <sz val="11"/>
        <color theme="1"/>
        <rFont val="Source Sans Pro"/>
        <family val="2"/>
      </rPr>
      <t>PONDERADAS POR LA PARTICIPACIÓN DEL FONDO</t>
    </r>
  </si>
  <si>
    <t>Gastos propiedades</t>
  </si>
  <si>
    <t>Costo de venta + Gasto de administración consolidado (ponderado)</t>
  </si>
  <si>
    <t>Costo financiero consolidado (ponderado)</t>
  </si>
  <si>
    <t>Considera proporción de Bodenor Flexcenter de 40% durante 2020 y 70% a partir de 2021</t>
  </si>
  <si>
    <t>Cifras en dólares - US$</t>
  </si>
  <si>
    <t>Estados financieros consolidados de Constitution Real Estate</t>
  </si>
  <si>
    <t>Sociedad 99% de propiedad de CFINRENTAS</t>
  </si>
  <si>
    <t>Estados financieros consolidados de Limitless Horizon</t>
  </si>
  <si>
    <t>PROPIEDAD</t>
  </si>
  <si>
    <t>m²</t>
  </si>
  <si>
    <t>Oficinas</t>
  </si>
  <si>
    <t>Edificio Cerro el Plomo 6000</t>
  </si>
  <si>
    <t>Parque San Damián - Las Condes 11700 - Oficinas</t>
  </si>
  <si>
    <t>Isidora Goyenechea 3520</t>
  </si>
  <si>
    <t>Plaza San Damián - Las Condes 11287 - oficinas</t>
  </si>
  <si>
    <t xml:space="preserve">Edificio Plaza Constitución - Morandé 115 - oficinas. </t>
  </si>
  <si>
    <t>Providencia 655 / General Bari</t>
  </si>
  <si>
    <t>Oficinas Edificio Puente Suecia</t>
  </si>
  <si>
    <t>Oficinas Espacio M</t>
  </si>
  <si>
    <t>Edificio 7 - Av del Cóndor 520</t>
  </si>
  <si>
    <t>Coyancura 2283</t>
  </si>
  <si>
    <t>Huérfanos 770 oficinas</t>
  </si>
  <si>
    <t>Nueva de Lyon 072</t>
  </si>
  <si>
    <t>Av. del Cóndor 820</t>
  </si>
  <si>
    <t>Las Condes 9050 - oficinas</t>
  </si>
  <si>
    <t>Las Condes 11380 -  oficinas</t>
  </si>
  <si>
    <t>Locales comerciales y centros de servicio</t>
  </si>
  <si>
    <t>Sucursal bancaria Puente Alto - Concha y Toro 260</t>
  </si>
  <si>
    <t>Sucursal bancaria Maipú - Ramón Freire 1783</t>
  </si>
  <si>
    <t>Sucursal bancaria Santiago VI - Estado 103 Moneda 893</t>
  </si>
  <si>
    <t>Sucursal bancaria Santiago I - Agustinas 799 / San Antonio 205</t>
  </si>
  <si>
    <t>Sucursal bancaria Santiago III - Alameda 288</t>
  </si>
  <si>
    <t xml:space="preserve">Sucursal bancaria San Bernardo - Arturo Prat 495 </t>
  </si>
  <si>
    <t>Sucursal bancaria La Serena - Balmaceda 540</t>
  </si>
  <si>
    <t>Sucursal bancaria San Miguel - José Miguel Carrera 5120</t>
  </si>
  <si>
    <t>Sucursal bancaria San Felipe - Prat 177</t>
  </si>
  <si>
    <t>Sucursal bancaria La Reina - Príncipe de Gales 7085</t>
  </si>
  <si>
    <t>Sucursal bancaria Providencia - Providencia 1422</t>
  </si>
  <si>
    <t>Sucursal bancaria Arica - 21 de mayo 115</t>
  </si>
  <si>
    <t>Sucursal bancaria Curicó - Estado 370</t>
  </si>
  <si>
    <t>Sucursal bancaria Talca - Uno Sur 1132</t>
  </si>
  <si>
    <t>Sucursal bancaria Talcahuano - Colon 657 665</t>
  </si>
  <si>
    <t>Sucursal bancaria Osorno - Manuel Antonio Matta 624</t>
  </si>
  <si>
    <t>Sucursal bancaria San Fernando - Manuel Rodríguez 840</t>
  </si>
  <si>
    <t>Sucursal bancaria Valdivia - Ramón Picarte 356</t>
  </si>
  <si>
    <t>Sucursal bancaria Ñuñoa - Irarrázabal 3329 3341</t>
  </si>
  <si>
    <t>Sucursal bancaria San Martín 2668 - Antofagasta</t>
  </si>
  <si>
    <t>Sucursal bancaria Punta Arenas - Magallanes 998</t>
  </si>
  <si>
    <t>Sucursal bancaria Los Ángeles - Colón 398</t>
  </si>
  <si>
    <t>Bandera 201</t>
  </si>
  <si>
    <t>Plaza San Damián - Las Condes 11287 - locales</t>
  </si>
  <si>
    <t>Strip Center Los Carrera, Concepción</t>
  </si>
  <si>
    <t>Las Condes 9050 - locales</t>
  </si>
  <si>
    <t>Locales en Edificio Puente Suecia</t>
  </si>
  <si>
    <t>Huérfanos 770 - Placa Comercial</t>
  </si>
  <si>
    <t>Parque San Damián - Las Condes 11700 - Locales</t>
  </si>
  <si>
    <t>Manso - Melipilla</t>
  </si>
  <si>
    <t>Isidora Goyenechea 2874</t>
  </si>
  <si>
    <t>Locales Valdivia</t>
  </si>
  <si>
    <t>Pajaritos 1605</t>
  </si>
  <si>
    <t>Las Condes 11380 - local 11</t>
  </si>
  <si>
    <t>Salvador 42</t>
  </si>
  <si>
    <t>Locales Pro Office Valdepeñas</t>
  </si>
  <si>
    <t>Pajaritos 2222</t>
  </si>
  <si>
    <t>Edificio Plaza Constitución - placa comercial</t>
  </si>
  <si>
    <t>La Florida 9650</t>
  </si>
  <si>
    <t>Oficinas, locales comerciales y centros de servicio</t>
  </si>
  <si>
    <t>BODENOR FLEXCENTER / Centros de distribución</t>
  </si>
  <si>
    <t>Superficie corresponde al 70% de cada propiedad</t>
  </si>
  <si>
    <t>Centro de distribución Lever</t>
  </si>
  <si>
    <t>Centro de distribución Kimberly Clarke</t>
  </si>
  <si>
    <t>Panamericana Km 19</t>
  </si>
  <si>
    <t>Lo Boza 107</t>
  </si>
  <si>
    <t>Lo Boza 120</t>
  </si>
  <si>
    <t>Lo Boza 441</t>
  </si>
  <si>
    <t>Bodenor Flexcenter Bío Bío</t>
  </si>
  <si>
    <t>Bodenor Flexcenter Puerto Montt</t>
  </si>
  <si>
    <t>El Parque 1307 (ENEA1)</t>
  </si>
  <si>
    <t>Boulevard Poniente 1313 (ENEA2)</t>
  </si>
  <si>
    <t>Los Alerces (ENEA 3)</t>
  </si>
  <si>
    <t>Centros de distribución</t>
  </si>
  <si>
    <t>TOTAL DE PROPIEDADES EN ARRIENDO</t>
  </si>
  <si>
    <t>Bajo administración directa</t>
  </si>
  <si>
    <t>Terrenos de BFC (70%)</t>
  </si>
  <si>
    <t>Superficie de oficinas en EEUU</t>
  </si>
  <si>
    <t>Bajo administración indirecta y según participación</t>
  </si>
  <si>
    <t>Terrenos en reserva, en arriendo y para desarrollo</t>
  </si>
  <si>
    <t>(*) Hasta el 31 de enero de 2023, el valor cambia libro cambia el día en que fueron publicados los EE.FF., es decir, cuando se hizo público el nuevo Valor Libro. Desde esa fecha se actualizan los valores con los valores FECU.</t>
  </si>
  <si>
    <t>ESTADOS DE SITUACION FINANCIERA INMOBILIARIA DESCUBRIMIENTO</t>
  </si>
  <si>
    <t>ESTADOS DE SITUACION FINANCIERA RENTAS INMOBILIARIAS SpA</t>
  </si>
  <si>
    <t>ESTADOS DE SITUACION FINANCIERA INMOBILIARIA PLAZA CONSTITUCION</t>
  </si>
  <si>
    <t>ESTADOS DE SITUACION FINANCIERA INMOBILIARIA PLAZA ARAUCANO</t>
  </si>
  <si>
    <t>ESTADOS DE SITUACION FINANCIERA RENTAS RETAIL</t>
  </si>
  <si>
    <t>ESTADOS DE SITUACION FINANCIERA RENTAS BUCAREST</t>
  </si>
  <si>
    <t>ESTADOS DE SITUACION FINANCIERA RENTAS MAGDALENA</t>
  </si>
  <si>
    <t>ESTADOS DE SITUACION FINANCIERA BODENOR FLEXCENTER</t>
  </si>
  <si>
    <t>Locales en Isidora Goyenechea 3520</t>
  </si>
  <si>
    <t>Locales en edificio Cerro el Plomo 6000</t>
  </si>
  <si>
    <t>Locales comerciales en Edificio Providencia 655</t>
  </si>
  <si>
    <t>Sucursales bancarias (5) ex Santander</t>
  </si>
  <si>
    <t>Sociedad</t>
  </si>
  <si>
    <t>m² Bodegas</t>
  </si>
  <si>
    <t>Estacionamientos
 (unidades)</t>
  </si>
  <si>
    <t>Plaza Araucano</t>
  </si>
  <si>
    <t>Inm. Plaza Constitución</t>
  </si>
  <si>
    <t xml:space="preserve">Rentas Inmobiliarias </t>
  </si>
  <si>
    <t>Inm. Descubrimiento</t>
  </si>
  <si>
    <t>Rentas Magdalena</t>
  </si>
  <si>
    <t>Rentas Bucarest</t>
  </si>
  <si>
    <t>Local Vitacura - Las Condes 11090</t>
  </si>
  <si>
    <t>Local Las Condes I - Apoquindo 4217</t>
  </si>
  <si>
    <t>Local Las Condes II - Isidora Goyenechea 2872</t>
  </si>
  <si>
    <t>Local Puerto Varas - Del Salvador  329</t>
  </si>
  <si>
    <t>Local Santiago - Nueva York 77</t>
  </si>
  <si>
    <t>Apertura terrenos en propiedad directa</t>
  </si>
  <si>
    <t>Terrenos en arriendo</t>
  </si>
  <si>
    <t>La Florida 9612</t>
  </si>
  <si>
    <t>Desarrollos</t>
  </si>
  <si>
    <t>Proyecto edificio IBM II</t>
  </si>
  <si>
    <t>Otras propiedades</t>
  </si>
  <si>
    <t>Las Condes 11348 (casa condominio)</t>
  </si>
  <si>
    <t>Las Condes 11340 (casa condominio)</t>
  </si>
  <si>
    <t>Las Condes 11342 (casa condominio)</t>
  </si>
  <si>
    <t>Las Condes 11344 (casa condominio)</t>
  </si>
  <si>
    <t>Dpto 201C Manquehue Norte 600</t>
  </si>
  <si>
    <t>Terrenos para desarrollo</t>
  </si>
  <si>
    <t>Terreno Alcalde Delano</t>
  </si>
  <si>
    <t>Las Condes 11287 - lote B3 (terreno libre)</t>
  </si>
  <si>
    <t>Terreno Vespucio Cerrillos</t>
  </si>
  <si>
    <t>Las Verbenas 9117</t>
  </si>
  <si>
    <t>Acreedor</t>
  </si>
  <si>
    <t>Deudor</t>
  </si>
  <si>
    <t>Tipo</t>
  </si>
  <si>
    <t>Moneda</t>
  </si>
  <si>
    <t>Monto</t>
  </si>
  <si>
    <t>Tasa Carátula</t>
  </si>
  <si>
    <t>Tasa Colocación</t>
  </si>
  <si>
    <t>Vencimiento</t>
  </si>
  <si>
    <t>Fondo Rentas</t>
  </si>
  <si>
    <t>Bono</t>
  </si>
  <si>
    <t>Bullet</t>
  </si>
  <si>
    <t>UF</t>
  </si>
  <si>
    <t>Banco de Chile</t>
  </si>
  <si>
    <t>Hipotecario</t>
  </si>
  <si>
    <t>Banco Estado</t>
  </si>
  <si>
    <t>Inm. Descubrimiento SpA</t>
  </si>
  <si>
    <t>Principal</t>
  </si>
  <si>
    <t>Inmobiliaria Descubrimiento SpA</t>
  </si>
  <si>
    <t>Leasing</t>
  </si>
  <si>
    <t>Amortizing</t>
  </si>
  <si>
    <t>Rentas Magadalena Spa</t>
  </si>
  <si>
    <t>Bodenor Flexcenter</t>
  </si>
  <si>
    <t>Locales y Sucursales</t>
  </si>
  <si>
    <t>Centros de Distribución</t>
  </si>
  <si>
    <t>Pudahuel</t>
  </si>
  <si>
    <t>Nueva Las Condes/El Golf</t>
  </si>
  <si>
    <t>San Damián/Apoquindo</t>
  </si>
  <si>
    <t>Quilicura</t>
  </si>
  <si>
    <t>Santiago Centro</t>
  </si>
  <si>
    <t>Providencia</t>
  </si>
  <si>
    <t>Lampa</t>
  </si>
  <si>
    <t>Otros Regiones</t>
  </si>
  <si>
    <t>Otros RM</t>
  </si>
  <si>
    <t>Huechuraba</t>
  </si>
  <si>
    <t>Colina</t>
  </si>
  <si>
    <t>Terrenos y Otros</t>
  </si>
  <si>
    <t>TOTAL</t>
  </si>
  <si>
    <t>BINDE-I</t>
  </si>
  <si>
    <t>Sector</t>
  </si>
  <si>
    <t>Desarrollos Inmobiliarios SpA</t>
  </si>
  <si>
    <t>BINDE-K</t>
  </si>
  <si>
    <t>Superficie en mts2</t>
  </si>
  <si>
    <t>Pudahuel (ENEA)</t>
  </si>
  <si>
    <t>Pudahuel (Lo Boza)</t>
  </si>
  <si>
    <t>Valores Totales UF</t>
  </si>
  <si>
    <t>Estacionmientos y Bodegas</t>
  </si>
  <si>
    <t>Valores Unitarios UF/ m²</t>
  </si>
  <si>
    <t>APORTES MM$</t>
  </si>
  <si>
    <t>Sociedad absorbida por Rentas Inmobiliarias SpA en junio de 2025</t>
  </si>
  <si>
    <t>Banco BCI</t>
  </si>
  <si>
    <t>Préstamo</t>
  </si>
  <si>
    <t>Al 30 de septiembre de 2025</t>
  </si>
  <si>
    <t>Lo Boza 422 (Nave 1, 2 y 3)</t>
  </si>
  <si>
    <t>BBODE-A</t>
  </si>
  <si>
    <t>ANALISIS  VALOR  ACTIVOS  FONDO  RENTAS   al 31/03/26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</si>
</sst>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64" formatCode="#,##0;\(#,##0\)"/>
    <numFmt numFmtId="165" formatCode="_ * #,##0.00_ ;_ * \-#,##0.00_ ;_ * &quot;-&quot;_ ;_ @_ "/>
    <numFmt numFmtId="166" formatCode="_ * #,##0.0000_ ;_ * \-#,##0.0000_ ;_ * &quot;-&quot;_ ;_ @_ "/>
    <numFmt numFmtId="167" formatCode="_-* #,##0_-;\-* #,##0_-;_-* &quot;-&quot;??_-;_-@_-"/>
    <numFmt numFmtId="168" formatCode="_ * #,##0_ ;_ * \-#,##0_ ;_ * &quot;-&quot;??_ ;_ @_ "/>
    <numFmt numFmtId="169" formatCode="0.000%"/>
    <numFmt numFmtId="170" formatCode="_-* #,##0_-;\-* #,##0_-;_-* &quot;-&quot;_-;_-@_-"/>
    <numFmt numFmtId="171" formatCode="_-* #,##0.00_-;\-* #,##0.00_-;_-* &quot;-&quot;??_-;_-@_-"/>
    <numFmt numFmtId="172" formatCode="[$-C0A]d/mmm/yy;@"/>
    <numFmt numFmtId="173" formatCode="_ * #,##0.000_ ;_ * \-#,##0.000_ ;_ * &quot;-&quot;_ ;_ @_ "/>
    <numFmt numFmtId="174" formatCode="0.0%"/>
    <numFmt numFmtId="175" formatCode="_ * #,##0.0_ ;_ * \-#,##0.0_ ;_ * &quot;-&quot;_ ;_ @_ "/>
    <numFmt numFmtId="176" formatCode="_(* ###,0&quot;.&quot;00_);_(* \(###,0&quot;.&quot;00\);_(* &quot;-&quot;??_);_(@_)"/>
    <numFmt numFmtId="177" formatCode="#,##0.00;\(#,##0.00\)"/>
  </numFmts>
  <fonts count="26" x14ac:knownFonts="1">
    <font>
      <sz val="11"/>
      <color theme="1"/>
      <name val="Calibri"/>
      <family val="2"/>
      <scheme val="minor"/>
    </font>
    <font>
      <sz val="11"/>
      <color theme="1"/>
      <name val="Source Sans Pro"/>
      <family val="2"/>
    </font>
    <font>
      <b/>
      <sz val="11"/>
      <color theme="1"/>
      <name val="Source Sans Pro"/>
      <family val="2"/>
    </font>
    <font>
      <i/>
      <sz val="11"/>
      <color theme="1"/>
      <name val="Source Sans Pro"/>
      <family val="2"/>
    </font>
    <font>
      <b/>
      <sz val="12"/>
      <color theme="1"/>
      <name val="Source Sans Pro"/>
      <family val="2"/>
    </font>
    <font>
      <b/>
      <sz val="14"/>
      <color theme="1"/>
      <name val="Source Sans Pro"/>
      <family val="2"/>
    </font>
    <font>
      <sz val="14"/>
      <color theme="1"/>
      <name val="Source Sans Pro"/>
      <family val="2"/>
    </font>
    <font>
      <sz val="9"/>
      <color indexed="81"/>
      <name val="Tahoma"/>
      <family val="2"/>
    </font>
    <font>
      <b/>
      <sz val="9"/>
      <color indexed="81"/>
      <name val="Tahoma"/>
      <family val="2"/>
    </font>
    <font>
      <sz val="11"/>
      <color theme="1"/>
      <name val="Calibri"/>
      <family val="2"/>
      <scheme val="minor"/>
    </font>
    <font>
      <b/>
      <sz val="10"/>
      <name val="Source Sans Pro"/>
      <family val="2"/>
    </font>
    <font>
      <sz val="11"/>
      <name val="Source Sans Pro"/>
      <family val="2"/>
    </font>
    <font>
      <sz val="10"/>
      <name val="Source Sans Pro"/>
      <family val="2"/>
    </font>
    <font>
      <b/>
      <sz val="11"/>
      <name val="Source Sans Pro"/>
      <family val="2"/>
    </font>
    <font>
      <b/>
      <sz val="14"/>
      <name val="Source Sans Pro"/>
      <family val="2"/>
    </font>
    <font>
      <sz val="10"/>
      <name val="Arial"/>
      <family val="2"/>
    </font>
    <font>
      <sz val="9"/>
      <color theme="1"/>
      <name val="Calibri"/>
      <family val="2"/>
      <scheme val="minor"/>
    </font>
    <font>
      <sz val="12"/>
      <name val="Times New Roman"/>
      <family val="1"/>
    </font>
    <font>
      <b/>
      <sz val="11"/>
      <color theme="1"/>
      <name val="Calibri"/>
      <family val="2"/>
      <scheme val="minor"/>
    </font>
    <font>
      <b/>
      <sz val="12"/>
      <name val="Source Sans Pro"/>
      <family val="2"/>
    </font>
    <font>
      <b/>
      <u/>
      <sz val="14"/>
      <color theme="1"/>
      <name val="Source Sans Pro"/>
      <family val="2"/>
    </font>
    <font>
      <sz val="14"/>
      <name val="Source Sans Pro"/>
      <family val="2"/>
    </font>
    <font>
      <i/>
      <sz val="12"/>
      <color theme="1"/>
      <name val="Source Sans Pro"/>
      <family val="2"/>
    </font>
    <font>
      <sz val="11"/>
      <name val="Calibri"/>
      <family val="2"/>
      <scheme val="minor"/>
    </font>
    <font>
      <sz val="10"/>
      <color theme="1"/>
      <name val="Source Sans Pro"/>
      <family val="2"/>
    </font>
    <font>
      <b/>
      <i/>
      <sz val="11"/>
      <color theme="1"/>
      <name val="Source Sans Pro"/>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xf numFmtId="41"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170" fontId="15" fillId="0" borderId="0" applyFont="0" applyFill="0" applyBorder="0" applyAlignment="0" applyProtection="0"/>
    <xf numFmtId="0" fontId="17" fillId="0" borderId="0"/>
    <xf numFmtId="171" fontId="9" fillId="0" borderId="0" applyFont="0" applyFill="0" applyBorder="0" applyAlignment="0" applyProtection="0"/>
    <xf numFmtId="172" fontId="9" fillId="0" borderId="0"/>
    <xf numFmtId="176" fontId="17" fillId="0" borderId="0" applyFont="0" applyFill="0" applyBorder="0" applyAlignment="0" applyProtection="0"/>
  </cellStyleXfs>
  <cellXfs count="133">
    <xf numFmtId="0" fontId="0" fillId="0" borderId="0" xfId="0"/>
    <xf numFmtId="0" fontId="1" fillId="0" borderId="0" xfId="0" applyFont="1"/>
    <xf numFmtId="17" fontId="1" fillId="0" borderId="0" xfId="0" applyNumberFormat="1" applyFont="1"/>
    <xf numFmtId="164" fontId="1" fillId="0" borderId="0" xfId="0" applyNumberFormat="1" applyFont="1"/>
    <xf numFmtId="164" fontId="1" fillId="0" borderId="0" xfId="0" applyNumberFormat="1" applyFont="1" applyAlignment="1">
      <alignment horizontal="center"/>
    </xf>
    <xf numFmtId="0" fontId="1" fillId="0" borderId="0" xfId="0" applyFont="1" applyAlignment="1">
      <alignment wrapText="1"/>
    </xf>
    <xf numFmtId="0" fontId="2" fillId="0" borderId="0" xfId="0" applyFont="1"/>
    <xf numFmtId="164" fontId="2" fillId="0" borderId="0" xfId="0" applyNumberFormat="1" applyFont="1"/>
    <xf numFmtId="0" fontId="3" fillId="0" borderId="0" xfId="0" applyFont="1"/>
    <xf numFmtId="164" fontId="3" fillId="0" borderId="0" xfId="0" applyNumberFormat="1" applyFont="1"/>
    <xf numFmtId="17" fontId="2" fillId="0" borderId="0" xfId="0" applyNumberFormat="1" applyFont="1"/>
    <xf numFmtId="0" fontId="4" fillId="0" borderId="0" xfId="0" applyFont="1"/>
    <xf numFmtId="164" fontId="4" fillId="0" borderId="0" xfId="0" applyNumberFormat="1" applyFont="1"/>
    <xf numFmtId="0" fontId="1" fillId="0" borderId="0" xfId="0" applyFont="1" applyAlignment="1">
      <alignment horizontal="left" wrapText="1"/>
    </xf>
    <xf numFmtId="3" fontId="0" fillId="0" borderId="0" xfId="0" applyNumberFormat="1"/>
    <xf numFmtId="0" fontId="5" fillId="0" borderId="0" xfId="0" applyFont="1"/>
    <xf numFmtId="164" fontId="6" fillId="0" borderId="0" xfId="0" applyNumberFormat="1" applyFont="1"/>
    <xf numFmtId="0" fontId="6" fillId="0" borderId="0" xfId="0" applyFont="1"/>
    <xf numFmtId="0" fontId="1" fillId="2" borderId="0" xfId="0" applyFont="1" applyFill="1"/>
    <xf numFmtId="41" fontId="1" fillId="0" borderId="0" xfId="1" applyFont="1"/>
    <xf numFmtId="41" fontId="0" fillId="0" borderId="0" xfId="1" applyFont="1"/>
    <xf numFmtId="41" fontId="0" fillId="0" borderId="0" xfId="0" applyNumberFormat="1"/>
    <xf numFmtId="9" fontId="3" fillId="0" borderId="0" xfId="0" applyNumberFormat="1" applyFont="1"/>
    <xf numFmtId="9" fontId="1" fillId="0" borderId="0" xfId="2" applyFont="1"/>
    <xf numFmtId="14" fontId="1" fillId="0" borderId="0" xfId="0" applyNumberFormat="1" applyFont="1"/>
    <xf numFmtId="0" fontId="1" fillId="0" borderId="0" xfId="0" applyFont="1" applyAlignment="1">
      <alignment vertical="top" wrapText="1"/>
    </xf>
    <xf numFmtId="0" fontId="10" fillId="3" borderId="9" xfId="0" applyFont="1" applyFill="1" applyBorder="1" applyAlignment="1">
      <alignment vertical="center"/>
    </xf>
    <xf numFmtId="0" fontId="11" fillId="3" borderId="9" xfId="0" applyFont="1" applyFill="1" applyBorder="1" applyAlignment="1">
      <alignment horizontal="center" vertical="center"/>
    </xf>
    <xf numFmtId="0" fontId="12" fillId="3" borderId="0" xfId="0" applyFont="1" applyFill="1" applyAlignment="1">
      <alignment vertical="center"/>
    </xf>
    <xf numFmtId="0" fontId="10" fillId="3" borderId="1" xfId="0" applyFont="1" applyFill="1" applyBorder="1"/>
    <xf numFmtId="0" fontId="12" fillId="3" borderId="2" xfId="0" applyFont="1" applyFill="1" applyBorder="1"/>
    <xf numFmtId="0" fontId="12" fillId="3" borderId="0" xfId="0" applyFont="1" applyFill="1"/>
    <xf numFmtId="0" fontId="12" fillId="4" borderId="4" xfId="0" applyFont="1" applyFill="1" applyBorder="1"/>
    <xf numFmtId="3" fontId="12" fillId="4" borderId="0" xfId="0" applyNumberFormat="1" applyFont="1" applyFill="1"/>
    <xf numFmtId="14" fontId="12" fillId="3" borderId="4" xfId="0" applyNumberFormat="1" applyFont="1" applyFill="1" applyBorder="1"/>
    <xf numFmtId="3" fontId="12" fillId="3" borderId="0" xfId="0" applyNumberFormat="1" applyFont="1" applyFill="1"/>
    <xf numFmtId="0" fontId="12" fillId="3" borderId="4" xfId="0" applyFont="1" applyFill="1" applyBorder="1"/>
    <xf numFmtId="0" fontId="12" fillId="3" borderId="6" xfId="0" applyFont="1" applyFill="1" applyBorder="1"/>
    <xf numFmtId="3" fontId="12" fillId="3" borderId="7" xfId="0" applyNumberFormat="1" applyFont="1" applyFill="1" applyBorder="1"/>
    <xf numFmtId="167" fontId="10" fillId="3" borderId="9" xfId="3" applyNumberFormat="1" applyFont="1" applyFill="1" applyBorder="1"/>
    <xf numFmtId="43" fontId="10" fillId="3" borderId="0" xfId="3" applyFont="1" applyFill="1"/>
    <xf numFmtId="3" fontId="12" fillId="3" borderId="2" xfId="0" applyNumberFormat="1" applyFont="1" applyFill="1" applyBorder="1"/>
    <xf numFmtId="37" fontId="12" fillId="3" borderId="4" xfId="0" applyNumberFormat="1" applyFont="1" applyFill="1" applyBorder="1"/>
    <xf numFmtId="167" fontId="12" fillId="3" borderId="0" xfId="3" applyNumberFormat="1" applyFont="1" applyFill="1"/>
    <xf numFmtId="37" fontId="12" fillId="4" borderId="4" xfId="0" applyNumberFormat="1" applyFont="1" applyFill="1" applyBorder="1"/>
    <xf numFmtId="167" fontId="12" fillId="4" borderId="0" xfId="3" applyNumberFormat="1" applyFont="1" applyFill="1"/>
    <xf numFmtId="0" fontId="13" fillId="3" borderId="10" xfId="0" applyFont="1" applyFill="1" applyBorder="1"/>
    <xf numFmtId="167" fontId="13" fillId="3" borderId="9" xfId="3" applyNumberFormat="1" applyFont="1" applyFill="1" applyBorder="1"/>
    <xf numFmtId="0" fontId="10" fillId="3" borderId="0" xfId="0" applyFont="1" applyFill="1"/>
    <xf numFmtId="168" fontId="12" fillId="3" borderId="0" xfId="3" applyNumberFormat="1" applyFont="1" applyFill="1"/>
    <xf numFmtId="168" fontId="12" fillId="3" borderId="0" xfId="0" applyNumberFormat="1" applyFont="1" applyFill="1"/>
    <xf numFmtId="0" fontId="10" fillId="3" borderId="10" xfId="0" applyFont="1" applyFill="1" applyBorder="1"/>
    <xf numFmtId="0" fontId="10" fillId="3" borderId="9" xfId="0" applyFont="1" applyFill="1" applyBorder="1"/>
    <xf numFmtId="167" fontId="14" fillId="3" borderId="9" xfId="3" applyNumberFormat="1" applyFont="1" applyFill="1" applyBorder="1"/>
    <xf numFmtId="0" fontId="12" fillId="3" borderId="9" xfId="0" applyFont="1" applyFill="1" applyBorder="1"/>
    <xf numFmtId="41" fontId="12" fillId="3" borderId="0" xfId="1" applyFont="1" applyFill="1"/>
    <xf numFmtId="41" fontId="12" fillId="3" borderId="0" xfId="0" applyNumberFormat="1" applyFont="1" applyFill="1"/>
    <xf numFmtId="169" fontId="1" fillId="0" borderId="0" xfId="2" applyNumberFormat="1" applyFont="1"/>
    <xf numFmtId="164" fontId="11" fillId="0" borderId="0" xfId="0" applyNumberFormat="1" applyFont="1"/>
    <xf numFmtId="0" fontId="0" fillId="0" borderId="0" xfId="0" applyAlignment="1">
      <alignment wrapText="1"/>
    </xf>
    <xf numFmtId="41" fontId="12" fillId="3" borderId="0" xfId="1" applyFont="1" applyFill="1" applyBorder="1"/>
    <xf numFmtId="167" fontId="13" fillId="3" borderId="0" xfId="3" applyNumberFormat="1" applyFont="1" applyFill="1" applyBorder="1"/>
    <xf numFmtId="167" fontId="12" fillId="3" borderId="0" xfId="0" applyNumberFormat="1" applyFont="1" applyFill="1"/>
    <xf numFmtId="0" fontId="2" fillId="0" borderId="0" xfId="0"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Alignment="1">
      <alignment horizontal="center" vertical="center" wrapText="1"/>
    </xf>
    <xf numFmtId="165" fontId="1" fillId="0" borderId="0" xfId="1" applyNumberFormat="1" applyFont="1" applyFill="1"/>
    <xf numFmtId="0" fontId="1" fillId="0" borderId="0" xfId="0" applyFont="1" applyAlignment="1">
      <alignment horizontal="center" wrapText="1"/>
    </xf>
    <xf numFmtId="166" fontId="1" fillId="0" borderId="0" xfId="0" applyNumberFormat="1" applyFont="1" applyAlignment="1">
      <alignment horizontal="center" wrapText="1"/>
    </xf>
    <xf numFmtId="10" fontId="1" fillId="0" borderId="0" xfId="2" applyNumberFormat="1" applyFont="1" applyFill="1"/>
    <xf numFmtId="166" fontId="1" fillId="0" borderId="0" xfId="1" applyNumberFormat="1" applyFont="1" applyFill="1"/>
    <xf numFmtId="166" fontId="1" fillId="0" borderId="0" xfId="0" applyNumberFormat="1" applyFont="1"/>
    <xf numFmtId="165" fontId="1" fillId="0" borderId="0" xfId="1" applyNumberFormat="1" applyFont="1"/>
    <xf numFmtId="41" fontId="16" fillId="3" borderId="0" xfId="1" applyFont="1" applyFill="1"/>
    <xf numFmtId="167" fontId="10" fillId="3" borderId="0" xfId="3" applyNumberFormat="1" applyFont="1" applyFill="1" applyBorder="1"/>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41" fontId="16" fillId="5" borderId="0" xfId="1" applyFont="1" applyFill="1"/>
    <xf numFmtId="0" fontId="19" fillId="3" borderId="0" xfId="0" applyFont="1" applyFill="1"/>
    <xf numFmtId="2" fontId="10" fillId="3" borderId="0" xfId="0" applyNumberFormat="1" applyFont="1" applyFill="1"/>
    <xf numFmtId="2" fontId="12" fillId="3" borderId="0" xfId="0" applyNumberFormat="1" applyFont="1" applyFill="1"/>
    <xf numFmtId="41" fontId="10" fillId="3" borderId="0" xfId="1" applyFont="1" applyFill="1"/>
    <xf numFmtId="0" fontId="18" fillId="0" borderId="0" xfId="0" applyFont="1"/>
    <xf numFmtId="0" fontId="18" fillId="0" borderId="7" xfId="0" applyFont="1" applyBorder="1"/>
    <xf numFmtId="10" fontId="0" fillId="0" borderId="0" xfId="0" applyNumberFormat="1"/>
    <xf numFmtId="14" fontId="0" fillId="0" borderId="0" xfId="0" applyNumberFormat="1"/>
    <xf numFmtId="10" fontId="0" fillId="0" borderId="0" xfId="2" applyNumberFormat="1" applyFont="1"/>
    <xf numFmtId="173" fontId="1" fillId="0" borderId="0" xfId="1" applyNumberFormat="1" applyFont="1"/>
    <xf numFmtId="0" fontId="21" fillId="0" borderId="0" xfId="0" applyFont="1"/>
    <xf numFmtId="0" fontId="5" fillId="0" borderId="7" xfId="0" applyFont="1" applyBorder="1"/>
    <xf numFmtId="165" fontId="6" fillId="0" borderId="0" xfId="0" applyNumberFormat="1" applyFont="1"/>
    <xf numFmtId="41" fontId="6" fillId="0" borderId="0" xfId="0" applyNumberFormat="1" applyFont="1"/>
    <xf numFmtId="174" fontId="22" fillId="0" borderId="0" xfId="2" applyNumberFormat="1" applyFont="1" applyBorder="1"/>
    <xf numFmtId="0" fontId="6" fillId="0" borderId="7" xfId="0" applyFont="1" applyBorder="1"/>
    <xf numFmtId="41" fontId="6" fillId="0" borderId="7" xfId="1" applyFont="1" applyBorder="1"/>
    <xf numFmtId="174" fontId="22" fillId="0" borderId="8" xfId="2" applyNumberFormat="1" applyFont="1" applyBorder="1"/>
    <xf numFmtId="41" fontId="6" fillId="0" borderId="0" xfId="1" applyFont="1"/>
    <xf numFmtId="41" fontId="6" fillId="0" borderId="4" xfId="0" applyNumberFormat="1" applyFont="1" applyBorder="1"/>
    <xf numFmtId="174" fontId="22" fillId="0" borderId="2" xfId="2" applyNumberFormat="1" applyFont="1" applyBorder="1"/>
    <xf numFmtId="41" fontId="6" fillId="0" borderId="6" xfId="0" applyNumberFormat="1" applyFont="1" applyBorder="1"/>
    <xf numFmtId="174" fontId="22" fillId="0" borderId="7" xfId="2" applyNumberFormat="1" applyFont="1" applyBorder="1"/>
    <xf numFmtId="9" fontId="6" fillId="0" borderId="0" xfId="2" applyFont="1"/>
    <xf numFmtId="175" fontId="6" fillId="0" borderId="0" xfId="1" applyNumberFormat="1" applyFont="1" applyBorder="1"/>
    <xf numFmtId="175" fontId="6" fillId="0" borderId="0" xfId="1" applyNumberFormat="1" applyFont="1"/>
    <xf numFmtId="175" fontId="6" fillId="0" borderId="7" xfId="1" applyNumberFormat="1" applyFont="1" applyBorder="1"/>
    <xf numFmtId="0" fontId="10" fillId="3" borderId="7" xfId="0" applyFont="1" applyFill="1" applyBorder="1"/>
    <xf numFmtId="9" fontId="12" fillId="3" borderId="7" xfId="0" applyNumberFormat="1" applyFont="1" applyFill="1" applyBorder="1"/>
    <xf numFmtId="0" fontId="12" fillId="3" borderId="7" xfId="0" applyFont="1" applyFill="1" applyBorder="1"/>
    <xf numFmtId="174" fontId="22" fillId="0" borderId="0" xfId="2" applyNumberFormat="1" applyFont="1"/>
    <xf numFmtId="41" fontId="2" fillId="0" borderId="0" xfId="0" applyNumberFormat="1" applyFont="1" applyAlignment="1">
      <alignment horizontal="center" vertical="center" wrapText="1"/>
    </xf>
    <xf numFmtId="41" fontId="1" fillId="0" borderId="0" xfId="0" applyNumberFormat="1" applyFont="1" applyAlignment="1">
      <alignment horizontal="center" wrapText="1"/>
    </xf>
    <xf numFmtId="41" fontId="1" fillId="0" borderId="0" xfId="1" applyFont="1" applyFill="1"/>
    <xf numFmtId="41" fontId="1" fillId="0" borderId="0" xfId="0" applyNumberFormat="1" applyFont="1"/>
    <xf numFmtId="41" fontId="0" fillId="0" borderId="0" xfId="1" applyFont="1" applyFill="1"/>
    <xf numFmtId="0" fontId="23" fillId="0" borderId="0" xfId="0" applyFont="1"/>
    <xf numFmtId="41" fontId="23" fillId="0" borderId="0" xfId="1" applyFont="1" applyFill="1"/>
    <xf numFmtId="0" fontId="24" fillId="3" borderId="0" xfId="0" applyFont="1" applyFill="1"/>
    <xf numFmtId="0" fontId="25" fillId="0" borderId="0" xfId="0" applyFont="1"/>
    <xf numFmtId="164" fontId="25" fillId="0" borderId="0" xfId="0" applyNumberFormat="1" applyFont="1"/>
    <xf numFmtId="177" fontId="1" fillId="0" borderId="0" xfId="0" applyNumberFormat="1" applyFont="1"/>
    <xf numFmtId="4" fontId="1" fillId="0" borderId="0" xfId="0" applyNumberFormat="1" applyFont="1"/>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5" fillId="0" borderId="6" xfId="0" applyFont="1" applyBorder="1" applyAlignment="1">
      <alignment horizontal="center"/>
    </xf>
    <xf numFmtId="0" fontId="5" fillId="0" borderId="7" xfId="0" applyFont="1" applyBorder="1" applyAlignment="1">
      <alignment horizontal="center"/>
    </xf>
    <xf numFmtId="0" fontId="20" fillId="0" borderId="0" xfId="0" applyFont="1" applyAlignment="1">
      <alignment horizontal="center"/>
    </xf>
  </cellXfs>
  <cellStyles count="9">
    <cellStyle name="Millares" xfId="3" builtinId="3"/>
    <cellStyle name="Millares [0]" xfId="1" builtinId="6"/>
    <cellStyle name="Millares [0] 4" xfId="4" xr:uid="{623524A1-2FE9-415F-B9DA-5B9853985273}"/>
    <cellStyle name="Millares 14 2" xfId="6" xr:uid="{17578D25-852C-4A68-93AF-904FD81B4C70}"/>
    <cellStyle name="Millares 5" xfId="8" xr:uid="{D880F8C9-8557-45B5-8730-94584373F6FB}"/>
    <cellStyle name="Normal" xfId="0" builtinId="0"/>
    <cellStyle name="Normal 40" xfId="7" xr:uid="{7BEB5060-66E3-484D-87E2-5284601EC75F}"/>
    <cellStyle name="Normal 8" xfId="5" xr:uid="{4DC4DBC0-2272-406C-BA5F-4C72BA19AF1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A9F21-CC19-44C9-BB06-11400A9AA296}">
  <dimension ref="A1:L12544"/>
  <sheetViews>
    <sheetView workbookViewId="0">
      <pane xSplit="1" ySplit="1" topLeftCell="B11267" activePane="bottomRight" state="frozen"/>
      <selection pane="topRight" activeCell="B1" sqref="B1"/>
      <selection pane="bottomLeft" activeCell="A2" sqref="A2"/>
      <selection pane="bottomRight" activeCell="G11281" sqref="G11281"/>
    </sheetView>
  </sheetViews>
  <sheetFormatPr baseColWidth="10" defaultColWidth="11.5546875" defaultRowHeight="14.4" x14ac:dyDescent="0.3"/>
  <cols>
    <col min="1" max="1" width="11.5546875" style="1"/>
    <col min="2" max="2" width="12.109375" style="66" customWidth="1"/>
    <col min="3" max="3" width="12.109375" style="1" customWidth="1"/>
    <col min="4" max="4" width="12.109375" style="71" customWidth="1"/>
    <col min="5" max="5" width="12.109375" style="112" customWidth="1"/>
    <col min="6" max="7" width="14.109375" style="1" customWidth="1"/>
    <col min="8" max="16384" width="11.5546875" style="1"/>
  </cols>
  <sheetData>
    <row r="1" spans="1:11" ht="28.8" x14ac:dyDescent="0.3">
      <c r="A1" s="63" t="s">
        <v>0</v>
      </c>
      <c r="B1" s="64" t="s">
        <v>1</v>
      </c>
      <c r="C1" s="64" t="s">
        <v>2</v>
      </c>
      <c r="D1" s="65" t="s">
        <v>3</v>
      </c>
      <c r="E1" s="109" t="s">
        <v>358</v>
      </c>
      <c r="F1" s="64" t="s">
        <v>4</v>
      </c>
      <c r="G1" s="64" t="s">
        <v>5</v>
      </c>
    </row>
    <row r="2" spans="1:11" ht="14.4" customHeight="1" x14ac:dyDescent="0.3">
      <c r="A2" s="24">
        <v>34880</v>
      </c>
      <c r="B2" s="66">
        <v>238.94699999999997</v>
      </c>
      <c r="C2" s="67"/>
      <c r="D2" s="68">
        <v>0</v>
      </c>
      <c r="E2" s="110">
        <v>22746</v>
      </c>
    </row>
    <row r="3" spans="1:11" x14ac:dyDescent="0.3">
      <c r="A3" s="24">
        <v>34881</v>
      </c>
      <c r="B3" s="66">
        <v>238.94699999999997</v>
      </c>
      <c r="C3" s="67"/>
      <c r="D3" s="68">
        <v>0</v>
      </c>
      <c r="E3" s="110">
        <f>+E2</f>
        <v>22746</v>
      </c>
    </row>
    <row r="4" spans="1:11" x14ac:dyDescent="0.3">
      <c r="A4" s="24">
        <v>34882</v>
      </c>
      <c r="B4" s="66">
        <v>238.94699999999997</v>
      </c>
      <c r="C4" s="67"/>
      <c r="D4" s="68">
        <v>0</v>
      </c>
      <c r="E4" s="110">
        <f t="shared" ref="E4:E67" si="0">+E3</f>
        <v>22746</v>
      </c>
    </row>
    <row r="5" spans="1:11" x14ac:dyDescent="0.3">
      <c r="A5" s="24">
        <v>34883</v>
      </c>
      <c r="B5" s="66">
        <v>238.94699999999997</v>
      </c>
      <c r="C5" s="67"/>
      <c r="D5" s="68">
        <v>0</v>
      </c>
      <c r="E5" s="110">
        <f t="shared" si="0"/>
        <v>22746</v>
      </c>
    </row>
    <row r="6" spans="1:11" x14ac:dyDescent="0.3">
      <c r="A6" s="24">
        <v>34884</v>
      </c>
      <c r="B6" s="66">
        <v>238.94699999999997</v>
      </c>
      <c r="C6" s="67"/>
      <c r="D6" s="68">
        <v>0</v>
      </c>
      <c r="E6" s="110">
        <f t="shared" si="0"/>
        <v>22746</v>
      </c>
    </row>
    <row r="7" spans="1:11" x14ac:dyDescent="0.3">
      <c r="A7" s="24">
        <v>34885</v>
      </c>
      <c r="B7" s="66">
        <v>238.94699999999997</v>
      </c>
      <c r="C7" s="67"/>
      <c r="D7" s="68">
        <v>0</v>
      </c>
      <c r="E7" s="110">
        <f t="shared" si="0"/>
        <v>22746</v>
      </c>
    </row>
    <row r="8" spans="1:11" ht="14.4" customHeight="1" x14ac:dyDescent="0.3">
      <c r="A8" s="24">
        <v>34886</v>
      </c>
      <c r="B8" s="66">
        <v>238.94699999999997</v>
      </c>
      <c r="C8" s="67"/>
      <c r="D8" s="68">
        <v>0</v>
      </c>
      <c r="E8" s="110">
        <f t="shared" si="0"/>
        <v>22746</v>
      </c>
    </row>
    <row r="9" spans="1:11" x14ac:dyDescent="0.3">
      <c r="A9" s="24">
        <v>34887</v>
      </c>
      <c r="B9" s="66">
        <v>238.94699999999997</v>
      </c>
      <c r="C9" s="67"/>
      <c r="D9" s="68">
        <v>0</v>
      </c>
      <c r="E9" s="110">
        <f t="shared" si="0"/>
        <v>22746</v>
      </c>
    </row>
    <row r="10" spans="1:11" x14ac:dyDescent="0.3">
      <c r="A10" s="24">
        <v>34888</v>
      </c>
      <c r="B10" s="66">
        <v>238.94699999999997</v>
      </c>
      <c r="C10" s="67"/>
      <c r="D10" s="68">
        <v>0</v>
      </c>
      <c r="E10" s="110">
        <f t="shared" si="0"/>
        <v>22746</v>
      </c>
      <c r="I10" s="25"/>
      <c r="J10" s="25"/>
      <c r="K10" s="25"/>
    </row>
    <row r="11" spans="1:11" x14ac:dyDescent="0.3">
      <c r="A11" s="24">
        <v>34889</v>
      </c>
      <c r="B11" s="66">
        <v>238.94699999999997</v>
      </c>
      <c r="C11" s="67"/>
      <c r="D11" s="68">
        <v>0</v>
      </c>
      <c r="E11" s="110">
        <f t="shared" si="0"/>
        <v>22746</v>
      </c>
      <c r="I11" s="25"/>
      <c r="J11" s="25"/>
      <c r="K11" s="25"/>
    </row>
    <row r="12" spans="1:11" x14ac:dyDescent="0.3">
      <c r="A12" s="24">
        <v>34890</v>
      </c>
      <c r="B12" s="66">
        <v>238.94699999999997</v>
      </c>
      <c r="C12" s="67"/>
      <c r="D12" s="68">
        <v>0</v>
      </c>
      <c r="E12" s="110">
        <f t="shared" si="0"/>
        <v>22746</v>
      </c>
      <c r="I12" s="25"/>
      <c r="J12" s="25"/>
      <c r="K12" s="25"/>
    </row>
    <row r="13" spans="1:11" x14ac:dyDescent="0.3">
      <c r="A13" s="24">
        <v>34891</v>
      </c>
      <c r="B13" s="66">
        <v>238.94699999999997</v>
      </c>
      <c r="C13" s="67"/>
      <c r="D13" s="68">
        <v>0</v>
      </c>
      <c r="E13" s="110">
        <f t="shared" si="0"/>
        <v>22746</v>
      </c>
      <c r="I13" s="25"/>
      <c r="J13" s="25"/>
      <c r="K13" s="25"/>
    </row>
    <row r="14" spans="1:11" x14ac:dyDescent="0.3">
      <c r="A14" s="24">
        <v>34892</v>
      </c>
      <c r="B14" s="66">
        <v>238.94699999999997</v>
      </c>
      <c r="C14" s="67"/>
      <c r="D14" s="68">
        <v>0</v>
      </c>
      <c r="E14" s="110">
        <f t="shared" si="0"/>
        <v>22746</v>
      </c>
    </row>
    <row r="15" spans="1:11" x14ac:dyDescent="0.3">
      <c r="A15" s="24">
        <v>34893</v>
      </c>
      <c r="B15" s="66">
        <v>238.94699999999997</v>
      </c>
      <c r="C15" s="67"/>
      <c r="D15" s="68">
        <v>0</v>
      </c>
      <c r="E15" s="110">
        <f t="shared" si="0"/>
        <v>22746</v>
      </c>
    </row>
    <row r="16" spans="1:11" x14ac:dyDescent="0.3">
      <c r="A16" s="24">
        <v>34894</v>
      </c>
      <c r="B16" s="66">
        <v>238.94699999999997</v>
      </c>
      <c r="C16" s="67"/>
      <c r="D16" s="68">
        <v>0</v>
      </c>
      <c r="E16" s="110">
        <f t="shared" si="0"/>
        <v>22746</v>
      </c>
    </row>
    <row r="17" spans="1:5" x14ac:dyDescent="0.3">
      <c r="A17" s="24">
        <v>34895</v>
      </c>
      <c r="B17" s="66">
        <v>238.94699999999997</v>
      </c>
      <c r="C17" s="67"/>
      <c r="D17" s="68">
        <v>0</v>
      </c>
      <c r="E17" s="110">
        <f t="shared" si="0"/>
        <v>22746</v>
      </c>
    </row>
    <row r="18" spans="1:5" x14ac:dyDescent="0.3">
      <c r="A18" s="24">
        <v>34896</v>
      </c>
      <c r="B18" s="66">
        <v>238.94699999999997</v>
      </c>
      <c r="C18" s="67"/>
      <c r="D18" s="68">
        <v>0</v>
      </c>
      <c r="E18" s="110">
        <f t="shared" si="0"/>
        <v>22746</v>
      </c>
    </row>
    <row r="19" spans="1:5" x14ac:dyDescent="0.3">
      <c r="A19" s="24">
        <v>34897</v>
      </c>
      <c r="B19" s="66">
        <v>238.94699999999997</v>
      </c>
      <c r="C19" s="67"/>
      <c r="D19" s="68">
        <v>0</v>
      </c>
      <c r="E19" s="110">
        <f t="shared" si="0"/>
        <v>22746</v>
      </c>
    </row>
    <row r="20" spans="1:5" x14ac:dyDescent="0.3">
      <c r="A20" s="24">
        <v>34898</v>
      </c>
      <c r="B20" s="66">
        <v>238.94699999999997</v>
      </c>
      <c r="C20" s="67"/>
      <c r="D20" s="68">
        <v>0</v>
      </c>
      <c r="E20" s="110">
        <f t="shared" si="0"/>
        <v>22746</v>
      </c>
    </row>
    <row r="21" spans="1:5" x14ac:dyDescent="0.3">
      <c r="A21" s="24">
        <v>34899</v>
      </c>
      <c r="B21" s="66">
        <v>238.94699999999997</v>
      </c>
      <c r="C21" s="67"/>
      <c r="D21" s="68">
        <v>0</v>
      </c>
      <c r="E21" s="110">
        <f t="shared" si="0"/>
        <v>22746</v>
      </c>
    </row>
    <row r="22" spans="1:5" x14ac:dyDescent="0.3">
      <c r="A22" s="24">
        <v>34900</v>
      </c>
      <c r="B22" s="66">
        <v>238.94699999999997</v>
      </c>
      <c r="C22" s="67"/>
      <c r="D22" s="68">
        <v>0</v>
      </c>
      <c r="E22" s="110">
        <f t="shared" si="0"/>
        <v>22746</v>
      </c>
    </row>
    <row r="23" spans="1:5" x14ac:dyDescent="0.3">
      <c r="A23" s="24">
        <v>34901</v>
      </c>
      <c r="B23" s="66">
        <v>238.94699999999997</v>
      </c>
      <c r="C23" s="67"/>
      <c r="D23" s="68">
        <v>0</v>
      </c>
      <c r="E23" s="110">
        <f t="shared" si="0"/>
        <v>22746</v>
      </c>
    </row>
    <row r="24" spans="1:5" x14ac:dyDescent="0.3">
      <c r="A24" s="24">
        <v>34902</v>
      </c>
      <c r="B24" s="66">
        <v>238.94699999999997</v>
      </c>
      <c r="C24" s="67"/>
      <c r="D24" s="68">
        <v>0</v>
      </c>
      <c r="E24" s="110">
        <f t="shared" si="0"/>
        <v>22746</v>
      </c>
    </row>
    <row r="25" spans="1:5" x14ac:dyDescent="0.3">
      <c r="A25" s="24">
        <v>34903</v>
      </c>
      <c r="B25" s="66">
        <v>238.94699999999997</v>
      </c>
      <c r="C25" s="67"/>
      <c r="D25" s="68">
        <v>0</v>
      </c>
      <c r="E25" s="110">
        <f t="shared" si="0"/>
        <v>22746</v>
      </c>
    </row>
    <row r="26" spans="1:5" x14ac:dyDescent="0.3">
      <c r="A26" s="24">
        <v>34904</v>
      </c>
      <c r="B26" s="66">
        <v>238.94699999999997</v>
      </c>
      <c r="C26" s="67"/>
      <c r="D26" s="68">
        <v>0</v>
      </c>
      <c r="E26" s="110">
        <f t="shared" si="0"/>
        <v>22746</v>
      </c>
    </row>
    <row r="27" spans="1:5" x14ac:dyDescent="0.3">
      <c r="A27" s="24">
        <v>34905</v>
      </c>
      <c r="B27" s="66">
        <v>238.94699999999997</v>
      </c>
      <c r="C27" s="67"/>
      <c r="D27" s="68">
        <v>0</v>
      </c>
      <c r="E27" s="110">
        <f t="shared" si="0"/>
        <v>22746</v>
      </c>
    </row>
    <row r="28" spans="1:5" x14ac:dyDescent="0.3">
      <c r="A28" s="24">
        <v>34906</v>
      </c>
      <c r="B28" s="66">
        <v>238.94699999999997</v>
      </c>
      <c r="C28" s="67"/>
      <c r="D28" s="68">
        <v>0</v>
      </c>
      <c r="E28" s="110">
        <f t="shared" si="0"/>
        <v>22746</v>
      </c>
    </row>
    <row r="29" spans="1:5" x14ac:dyDescent="0.3">
      <c r="A29" s="24">
        <v>34907</v>
      </c>
      <c r="B29" s="66">
        <v>238.94699999999997</v>
      </c>
      <c r="C29" s="67"/>
      <c r="D29" s="68">
        <v>0</v>
      </c>
      <c r="E29" s="110">
        <f t="shared" si="0"/>
        <v>22746</v>
      </c>
    </row>
    <row r="30" spans="1:5" x14ac:dyDescent="0.3">
      <c r="A30" s="24">
        <v>34908</v>
      </c>
      <c r="B30" s="66">
        <v>238.94699999999997</v>
      </c>
      <c r="C30" s="67"/>
      <c r="D30" s="68">
        <v>0</v>
      </c>
      <c r="E30" s="110">
        <f t="shared" si="0"/>
        <v>22746</v>
      </c>
    </row>
    <row r="31" spans="1:5" x14ac:dyDescent="0.3">
      <c r="A31" s="24">
        <v>34909</v>
      </c>
      <c r="B31" s="66">
        <v>238.94699999999997</v>
      </c>
      <c r="C31" s="67"/>
      <c r="D31" s="68">
        <v>0</v>
      </c>
      <c r="E31" s="110">
        <f t="shared" si="0"/>
        <v>22746</v>
      </c>
    </row>
    <row r="32" spans="1:5" x14ac:dyDescent="0.3">
      <c r="A32" s="24">
        <v>34910</v>
      </c>
      <c r="B32" s="66">
        <v>238.94699999999997</v>
      </c>
      <c r="C32" s="67"/>
      <c r="D32" s="68">
        <v>0</v>
      </c>
      <c r="E32" s="110">
        <f t="shared" si="0"/>
        <v>22746</v>
      </c>
    </row>
    <row r="33" spans="1:5" x14ac:dyDescent="0.3">
      <c r="A33" s="24">
        <v>34911</v>
      </c>
      <c r="B33" s="66">
        <v>238.94699999999997</v>
      </c>
      <c r="C33" s="67"/>
      <c r="D33" s="68">
        <v>0</v>
      </c>
      <c r="E33" s="110">
        <f t="shared" si="0"/>
        <v>22746</v>
      </c>
    </row>
    <row r="34" spans="1:5" x14ac:dyDescent="0.3">
      <c r="A34" s="24">
        <v>34912</v>
      </c>
      <c r="B34" s="66">
        <v>238.94699999999997</v>
      </c>
      <c r="C34" s="67"/>
      <c r="D34" s="68">
        <v>0</v>
      </c>
      <c r="E34" s="110">
        <f t="shared" si="0"/>
        <v>22746</v>
      </c>
    </row>
    <row r="35" spans="1:5" x14ac:dyDescent="0.3">
      <c r="A35" s="24">
        <v>34913</v>
      </c>
      <c r="B35" s="66">
        <v>238.94699999999997</v>
      </c>
      <c r="C35" s="67"/>
      <c r="D35" s="68">
        <v>0</v>
      </c>
      <c r="E35" s="110">
        <f t="shared" si="0"/>
        <v>22746</v>
      </c>
    </row>
    <row r="36" spans="1:5" x14ac:dyDescent="0.3">
      <c r="A36" s="24">
        <v>34914</v>
      </c>
      <c r="B36" s="66">
        <v>238.94699999999997</v>
      </c>
      <c r="C36" s="67"/>
      <c r="D36" s="68">
        <v>0</v>
      </c>
      <c r="E36" s="110">
        <f t="shared" si="0"/>
        <v>22746</v>
      </c>
    </row>
    <row r="37" spans="1:5" x14ac:dyDescent="0.3">
      <c r="A37" s="24">
        <v>34915</v>
      </c>
      <c r="B37" s="66">
        <v>238.94699999999997</v>
      </c>
      <c r="C37" s="67"/>
      <c r="D37" s="68">
        <v>0</v>
      </c>
      <c r="E37" s="110">
        <f t="shared" si="0"/>
        <v>22746</v>
      </c>
    </row>
    <row r="38" spans="1:5" x14ac:dyDescent="0.3">
      <c r="A38" s="24">
        <v>34916</v>
      </c>
      <c r="B38" s="66">
        <v>238.94699999999997</v>
      </c>
      <c r="C38" s="67"/>
      <c r="D38" s="68">
        <v>0</v>
      </c>
      <c r="E38" s="110">
        <f t="shared" si="0"/>
        <v>22746</v>
      </c>
    </row>
    <row r="39" spans="1:5" x14ac:dyDescent="0.3">
      <c r="A39" s="24">
        <v>34917</v>
      </c>
      <c r="B39" s="66">
        <v>238.94699999999997</v>
      </c>
      <c r="C39" s="67"/>
      <c r="D39" s="68">
        <v>0</v>
      </c>
      <c r="E39" s="110">
        <f t="shared" si="0"/>
        <v>22746</v>
      </c>
    </row>
    <row r="40" spans="1:5" x14ac:dyDescent="0.3">
      <c r="A40" s="24">
        <v>34918</v>
      </c>
      <c r="B40" s="66">
        <v>238.94699999999997</v>
      </c>
      <c r="C40" s="67"/>
      <c r="D40" s="68">
        <v>0</v>
      </c>
      <c r="E40" s="110">
        <f t="shared" si="0"/>
        <v>22746</v>
      </c>
    </row>
    <row r="41" spans="1:5" x14ac:dyDescent="0.3">
      <c r="A41" s="24">
        <v>34919</v>
      </c>
      <c r="B41" s="66">
        <v>238.94699999999997</v>
      </c>
      <c r="C41" s="67"/>
      <c r="D41" s="68">
        <v>0</v>
      </c>
      <c r="E41" s="110">
        <f t="shared" si="0"/>
        <v>22746</v>
      </c>
    </row>
    <row r="42" spans="1:5" x14ac:dyDescent="0.3">
      <c r="A42" s="24">
        <v>34920</v>
      </c>
      <c r="B42" s="66">
        <v>238.94699999999997</v>
      </c>
      <c r="C42" s="67"/>
      <c r="D42" s="68">
        <v>0</v>
      </c>
      <c r="E42" s="110">
        <f t="shared" si="0"/>
        <v>22746</v>
      </c>
    </row>
    <row r="43" spans="1:5" x14ac:dyDescent="0.3">
      <c r="A43" s="24">
        <v>34921</v>
      </c>
      <c r="B43" s="66">
        <v>238.94699999999997</v>
      </c>
      <c r="C43" s="67"/>
      <c r="D43" s="68">
        <v>0</v>
      </c>
      <c r="E43" s="110">
        <f t="shared" si="0"/>
        <v>22746</v>
      </c>
    </row>
    <row r="44" spans="1:5" x14ac:dyDescent="0.3">
      <c r="A44" s="24">
        <v>34922</v>
      </c>
      <c r="B44" s="66">
        <v>238.94699999999997</v>
      </c>
      <c r="C44" s="67"/>
      <c r="D44" s="68">
        <v>0</v>
      </c>
      <c r="E44" s="110">
        <f t="shared" si="0"/>
        <v>22746</v>
      </c>
    </row>
    <row r="45" spans="1:5" x14ac:dyDescent="0.3">
      <c r="A45" s="24">
        <v>34923</v>
      </c>
      <c r="B45" s="66">
        <v>238.94699999999997</v>
      </c>
      <c r="C45" s="67"/>
      <c r="D45" s="68">
        <v>0</v>
      </c>
      <c r="E45" s="110">
        <f t="shared" si="0"/>
        <v>22746</v>
      </c>
    </row>
    <row r="46" spans="1:5" x14ac:dyDescent="0.3">
      <c r="A46" s="24">
        <v>34924</v>
      </c>
      <c r="B46" s="66">
        <v>238.94699999999997</v>
      </c>
      <c r="C46" s="67"/>
      <c r="D46" s="68">
        <v>0</v>
      </c>
      <c r="E46" s="110">
        <f t="shared" si="0"/>
        <v>22746</v>
      </c>
    </row>
    <row r="47" spans="1:5" x14ac:dyDescent="0.3">
      <c r="A47" s="24">
        <v>34925</v>
      </c>
      <c r="B47" s="66">
        <v>238.94699999999997</v>
      </c>
      <c r="C47" s="67"/>
      <c r="D47" s="68">
        <v>0</v>
      </c>
      <c r="E47" s="110">
        <f t="shared" si="0"/>
        <v>22746</v>
      </c>
    </row>
    <row r="48" spans="1:5" x14ac:dyDescent="0.3">
      <c r="A48" s="24">
        <v>34926</v>
      </c>
      <c r="B48" s="66">
        <v>238.94699999999997</v>
      </c>
      <c r="C48" s="67"/>
      <c r="D48" s="68">
        <v>0</v>
      </c>
      <c r="E48" s="110">
        <f t="shared" si="0"/>
        <v>22746</v>
      </c>
    </row>
    <row r="49" spans="1:5" x14ac:dyDescent="0.3">
      <c r="A49" s="24">
        <v>34927</v>
      </c>
      <c r="B49" s="66">
        <v>238.94699999999997</v>
      </c>
      <c r="C49" s="67"/>
      <c r="D49" s="68">
        <v>0</v>
      </c>
      <c r="E49" s="110">
        <f t="shared" si="0"/>
        <v>22746</v>
      </c>
    </row>
    <row r="50" spans="1:5" x14ac:dyDescent="0.3">
      <c r="A50" s="24">
        <v>34928</v>
      </c>
      <c r="B50" s="66">
        <v>238.94699999999997</v>
      </c>
      <c r="C50" s="67"/>
      <c r="D50" s="68">
        <v>0</v>
      </c>
      <c r="E50" s="110">
        <f t="shared" si="0"/>
        <v>22746</v>
      </c>
    </row>
    <row r="51" spans="1:5" x14ac:dyDescent="0.3">
      <c r="A51" s="24">
        <v>34929</v>
      </c>
      <c r="B51" s="66">
        <v>238.94699999999997</v>
      </c>
      <c r="C51" s="67"/>
      <c r="D51" s="68">
        <v>0</v>
      </c>
      <c r="E51" s="110">
        <f t="shared" si="0"/>
        <v>22746</v>
      </c>
    </row>
    <row r="52" spans="1:5" x14ac:dyDescent="0.3">
      <c r="A52" s="24">
        <v>34930</v>
      </c>
      <c r="B52" s="66">
        <v>238.94699999999997</v>
      </c>
      <c r="C52" s="67"/>
      <c r="D52" s="68">
        <v>0</v>
      </c>
      <c r="E52" s="110">
        <f t="shared" si="0"/>
        <v>22746</v>
      </c>
    </row>
    <row r="53" spans="1:5" x14ac:dyDescent="0.3">
      <c r="A53" s="24">
        <v>34931</v>
      </c>
      <c r="B53" s="66">
        <v>238.94699999999997</v>
      </c>
      <c r="C53" s="67"/>
      <c r="D53" s="68">
        <v>0</v>
      </c>
      <c r="E53" s="110">
        <f t="shared" si="0"/>
        <v>22746</v>
      </c>
    </row>
    <row r="54" spans="1:5" x14ac:dyDescent="0.3">
      <c r="A54" s="24">
        <v>34932</v>
      </c>
      <c r="B54" s="66">
        <v>238.94699999999997</v>
      </c>
      <c r="C54" s="67"/>
      <c r="D54" s="68">
        <v>0</v>
      </c>
      <c r="E54" s="110">
        <f t="shared" si="0"/>
        <v>22746</v>
      </c>
    </row>
    <row r="55" spans="1:5" x14ac:dyDescent="0.3">
      <c r="A55" s="24">
        <v>34933</v>
      </c>
      <c r="B55" s="66">
        <v>238.94699999999997</v>
      </c>
      <c r="C55" s="67"/>
      <c r="D55" s="68">
        <v>0</v>
      </c>
      <c r="E55" s="110">
        <f t="shared" si="0"/>
        <v>22746</v>
      </c>
    </row>
    <row r="56" spans="1:5" x14ac:dyDescent="0.3">
      <c r="A56" s="24">
        <v>34934</v>
      </c>
      <c r="B56" s="66">
        <v>238.94699999999997</v>
      </c>
      <c r="C56" s="67"/>
      <c r="D56" s="68">
        <v>0</v>
      </c>
      <c r="E56" s="110">
        <f t="shared" si="0"/>
        <v>22746</v>
      </c>
    </row>
    <row r="57" spans="1:5" x14ac:dyDescent="0.3">
      <c r="A57" s="24">
        <v>34935</v>
      </c>
      <c r="B57" s="66">
        <v>238.94699999999997</v>
      </c>
      <c r="C57" s="67"/>
      <c r="D57" s="68">
        <v>0</v>
      </c>
      <c r="E57" s="110">
        <f t="shared" si="0"/>
        <v>22746</v>
      </c>
    </row>
    <row r="58" spans="1:5" x14ac:dyDescent="0.3">
      <c r="A58" s="24">
        <v>34936</v>
      </c>
      <c r="B58" s="66">
        <v>238.94699999999997</v>
      </c>
      <c r="C58" s="67"/>
      <c r="D58" s="68">
        <v>0</v>
      </c>
      <c r="E58" s="110">
        <f t="shared" si="0"/>
        <v>22746</v>
      </c>
    </row>
    <row r="59" spans="1:5" x14ac:dyDescent="0.3">
      <c r="A59" s="24">
        <v>34937</v>
      </c>
      <c r="B59" s="66">
        <v>238.94699999999997</v>
      </c>
      <c r="C59" s="67"/>
      <c r="D59" s="68">
        <v>0</v>
      </c>
      <c r="E59" s="110">
        <f t="shared" si="0"/>
        <v>22746</v>
      </c>
    </row>
    <row r="60" spans="1:5" x14ac:dyDescent="0.3">
      <c r="A60" s="24">
        <v>34938</v>
      </c>
      <c r="B60" s="66">
        <v>238.94699999999997</v>
      </c>
      <c r="C60" s="67"/>
      <c r="D60" s="68">
        <v>0</v>
      </c>
      <c r="E60" s="110">
        <f t="shared" si="0"/>
        <v>22746</v>
      </c>
    </row>
    <row r="61" spans="1:5" x14ac:dyDescent="0.3">
      <c r="A61" s="24">
        <v>34939</v>
      </c>
      <c r="B61" s="66">
        <v>238.94699999999997</v>
      </c>
      <c r="C61" s="67"/>
      <c r="D61" s="68">
        <v>0</v>
      </c>
      <c r="E61" s="110">
        <f t="shared" si="0"/>
        <v>22746</v>
      </c>
    </row>
    <row r="62" spans="1:5" x14ac:dyDescent="0.3">
      <c r="A62" s="24">
        <v>34940</v>
      </c>
      <c r="B62" s="66">
        <v>238.94699999999997</v>
      </c>
      <c r="C62" s="67"/>
      <c r="D62" s="68">
        <v>0</v>
      </c>
      <c r="E62" s="110">
        <f t="shared" si="0"/>
        <v>22746</v>
      </c>
    </row>
    <row r="63" spans="1:5" x14ac:dyDescent="0.3">
      <c r="A63" s="24">
        <v>34941</v>
      </c>
      <c r="B63" s="66">
        <v>238.94699999999997</v>
      </c>
      <c r="C63" s="67"/>
      <c r="D63" s="68">
        <v>0</v>
      </c>
      <c r="E63" s="110">
        <f t="shared" si="0"/>
        <v>22746</v>
      </c>
    </row>
    <row r="64" spans="1:5" x14ac:dyDescent="0.3">
      <c r="A64" s="24">
        <v>34942</v>
      </c>
      <c r="B64" s="66">
        <v>238.94699999999997</v>
      </c>
      <c r="C64" s="67"/>
      <c r="D64" s="68">
        <v>0</v>
      </c>
      <c r="E64" s="110">
        <f t="shared" si="0"/>
        <v>22746</v>
      </c>
    </row>
    <row r="65" spans="1:5" x14ac:dyDescent="0.3">
      <c r="A65" s="24">
        <v>34943</v>
      </c>
      <c r="B65" s="66">
        <v>238.94699999999997</v>
      </c>
      <c r="C65" s="67"/>
      <c r="D65" s="68">
        <v>0</v>
      </c>
      <c r="E65" s="110">
        <f t="shared" si="0"/>
        <v>22746</v>
      </c>
    </row>
    <row r="66" spans="1:5" x14ac:dyDescent="0.3">
      <c r="A66" s="24">
        <v>34944</v>
      </c>
      <c r="B66" s="66">
        <v>238.94699999999997</v>
      </c>
      <c r="C66" s="67"/>
      <c r="D66" s="68">
        <v>0</v>
      </c>
      <c r="E66" s="110">
        <f t="shared" si="0"/>
        <v>22746</v>
      </c>
    </row>
    <row r="67" spans="1:5" x14ac:dyDescent="0.3">
      <c r="A67" s="24">
        <v>34945</v>
      </c>
      <c r="B67" s="66">
        <v>238.94699999999997</v>
      </c>
      <c r="C67" s="67"/>
      <c r="D67" s="68">
        <v>0</v>
      </c>
      <c r="E67" s="110">
        <f t="shared" si="0"/>
        <v>22746</v>
      </c>
    </row>
    <row r="68" spans="1:5" x14ac:dyDescent="0.3">
      <c r="A68" s="24">
        <v>34946</v>
      </c>
      <c r="B68" s="66">
        <v>238.94699999999997</v>
      </c>
      <c r="C68" s="67"/>
      <c r="D68" s="68">
        <v>0</v>
      </c>
      <c r="E68" s="110">
        <f t="shared" ref="E68:E131" si="1">+E67</f>
        <v>22746</v>
      </c>
    </row>
    <row r="69" spans="1:5" x14ac:dyDescent="0.3">
      <c r="A69" s="24">
        <v>34947</v>
      </c>
      <c r="B69" s="66">
        <v>238.94699999999997</v>
      </c>
      <c r="C69" s="67"/>
      <c r="D69" s="68">
        <v>0</v>
      </c>
      <c r="E69" s="110">
        <f t="shared" si="1"/>
        <v>22746</v>
      </c>
    </row>
    <row r="70" spans="1:5" x14ac:dyDescent="0.3">
      <c r="A70" s="24">
        <v>34948</v>
      </c>
      <c r="B70" s="66">
        <v>238.94699999999997</v>
      </c>
      <c r="C70" s="67"/>
      <c r="D70" s="68">
        <v>0</v>
      </c>
      <c r="E70" s="110">
        <f t="shared" si="1"/>
        <v>22746</v>
      </c>
    </row>
    <row r="71" spans="1:5" x14ac:dyDescent="0.3">
      <c r="A71" s="24">
        <v>34949</v>
      </c>
      <c r="B71" s="66">
        <v>238.94699999999997</v>
      </c>
      <c r="C71" s="67"/>
      <c r="D71" s="68">
        <v>0</v>
      </c>
      <c r="E71" s="110">
        <f t="shared" si="1"/>
        <v>22746</v>
      </c>
    </row>
    <row r="72" spans="1:5" x14ac:dyDescent="0.3">
      <c r="A72" s="24">
        <v>34950</v>
      </c>
      <c r="B72" s="66">
        <v>238.94699999999997</v>
      </c>
      <c r="C72" s="67"/>
      <c r="D72" s="68">
        <v>0</v>
      </c>
      <c r="E72" s="110">
        <f t="shared" si="1"/>
        <v>22746</v>
      </c>
    </row>
    <row r="73" spans="1:5" x14ac:dyDescent="0.3">
      <c r="A73" s="24">
        <v>34951</v>
      </c>
      <c r="B73" s="66">
        <v>238.94699999999997</v>
      </c>
      <c r="C73" s="67"/>
      <c r="D73" s="68">
        <v>0</v>
      </c>
      <c r="E73" s="110">
        <f t="shared" si="1"/>
        <v>22746</v>
      </c>
    </row>
    <row r="74" spans="1:5" x14ac:dyDescent="0.3">
      <c r="A74" s="24">
        <v>34952</v>
      </c>
      <c r="B74" s="66">
        <v>238.94699999999997</v>
      </c>
      <c r="C74" s="67"/>
      <c r="D74" s="68">
        <v>0</v>
      </c>
      <c r="E74" s="110">
        <f t="shared" si="1"/>
        <v>22746</v>
      </c>
    </row>
    <row r="75" spans="1:5" x14ac:dyDescent="0.3">
      <c r="A75" s="24">
        <v>34953</v>
      </c>
      <c r="B75" s="66">
        <v>238.94699999999997</v>
      </c>
      <c r="C75" s="67"/>
      <c r="D75" s="68">
        <v>0</v>
      </c>
      <c r="E75" s="110">
        <f t="shared" si="1"/>
        <v>22746</v>
      </c>
    </row>
    <row r="76" spans="1:5" x14ac:dyDescent="0.3">
      <c r="A76" s="24">
        <v>34954</v>
      </c>
      <c r="B76" s="66">
        <v>238.94699999999997</v>
      </c>
      <c r="C76" s="67"/>
      <c r="D76" s="68">
        <v>0</v>
      </c>
      <c r="E76" s="110">
        <f t="shared" si="1"/>
        <v>22746</v>
      </c>
    </row>
    <row r="77" spans="1:5" x14ac:dyDescent="0.3">
      <c r="A77" s="24">
        <v>34955</v>
      </c>
      <c r="B77" s="66">
        <v>238.94699999999997</v>
      </c>
      <c r="C77" s="67"/>
      <c r="D77" s="68">
        <v>0</v>
      </c>
      <c r="E77" s="110">
        <f t="shared" si="1"/>
        <v>22746</v>
      </c>
    </row>
    <row r="78" spans="1:5" x14ac:dyDescent="0.3">
      <c r="A78" s="24">
        <v>34956</v>
      </c>
      <c r="B78" s="66">
        <v>238.94699999999997</v>
      </c>
      <c r="C78" s="67"/>
      <c r="D78" s="68">
        <v>0</v>
      </c>
      <c r="E78" s="110">
        <f t="shared" si="1"/>
        <v>22746</v>
      </c>
    </row>
    <row r="79" spans="1:5" x14ac:dyDescent="0.3">
      <c r="A79" s="24">
        <v>34957</v>
      </c>
      <c r="B79" s="66">
        <v>238.94699999999997</v>
      </c>
      <c r="C79" s="67"/>
      <c r="D79" s="68">
        <v>0</v>
      </c>
      <c r="E79" s="110">
        <f t="shared" si="1"/>
        <v>22746</v>
      </c>
    </row>
    <row r="80" spans="1:5" x14ac:dyDescent="0.3">
      <c r="A80" s="24">
        <v>34958</v>
      </c>
      <c r="B80" s="66">
        <v>238.94699999999997</v>
      </c>
      <c r="C80" s="67"/>
      <c r="D80" s="68">
        <v>0</v>
      </c>
      <c r="E80" s="110">
        <f t="shared" si="1"/>
        <v>22746</v>
      </c>
    </row>
    <row r="81" spans="1:5" x14ac:dyDescent="0.3">
      <c r="A81" s="24">
        <v>34959</v>
      </c>
      <c r="B81" s="66">
        <v>238.94699999999997</v>
      </c>
      <c r="C81" s="67"/>
      <c r="D81" s="68">
        <v>0</v>
      </c>
      <c r="E81" s="110">
        <f t="shared" si="1"/>
        <v>22746</v>
      </c>
    </row>
    <row r="82" spans="1:5" x14ac:dyDescent="0.3">
      <c r="A82" s="24">
        <v>34960</v>
      </c>
      <c r="B82" s="66">
        <v>238.94699999999997</v>
      </c>
      <c r="C82" s="67"/>
      <c r="D82" s="68">
        <v>0</v>
      </c>
      <c r="E82" s="110">
        <f t="shared" si="1"/>
        <v>22746</v>
      </c>
    </row>
    <row r="83" spans="1:5" x14ac:dyDescent="0.3">
      <c r="A83" s="24">
        <v>34961</v>
      </c>
      <c r="B83" s="66">
        <v>238.94699999999997</v>
      </c>
      <c r="C83" s="67"/>
      <c r="D83" s="68">
        <v>0</v>
      </c>
      <c r="E83" s="110">
        <f t="shared" si="1"/>
        <v>22746</v>
      </c>
    </row>
    <row r="84" spans="1:5" x14ac:dyDescent="0.3">
      <c r="A84" s="24">
        <v>34962</v>
      </c>
      <c r="B84" s="66">
        <v>238.94699999999997</v>
      </c>
      <c r="C84" s="67"/>
      <c r="D84" s="68">
        <v>0</v>
      </c>
      <c r="E84" s="110">
        <f t="shared" si="1"/>
        <v>22746</v>
      </c>
    </row>
    <row r="85" spans="1:5" x14ac:dyDescent="0.3">
      <c r="A85" s="24">
        <v>34963</v>
      </c>
      <c r="B85" s="66">
        <v>238.94699999999997</v>
      </c>
      <c r="C85" s="67"/>
      <c r="D85" s="68">
        <v>0</v>
      </c>
      <c r="E85" s="110">
        <f t="shared" si="1"/>
        <v>22746</v>
      </c>
    </row>
    <row r="86" spans="1:5" x14ac:dyDescent="0.3">
      <c r="A86" s="24">
        <v>34964</v>
      </c>
      <c r="B86" s="66">
        <v>238.94699999999997</v>
      </c>
      <c r="C86" s="67"/>
      <c r="D86" s="68">
        <v>0</v>
      </c>
      <c r="E86" s="110">
        <f t="shared" si="1"/>
        <v>22746</v>
      </c>
    </row>
    <row r="87" spans="1:5" x14ac:dyDescent="0.3">
      <c r="A87" s="24">
        <v>34965</v>
      </c>
      <c r="B87" s="66">
        <v>238.94699999999997</v>
      </c>
      <c r="C87" s="67"/>
      <c r="D87" s="68">
        <v>0</v>
      </c>
      <c r="E87" s="110">
        <f t="shared" si="1"/>
        <v>22746</v>
      </c>
    </row>
    <row r="88" spans="1:5" x14ac:dyDescent="0.3">
      <c r="A88" s="24">
        <v>34966</v>
      </c>
      <c r="B88" s="66">
        <v>238.94699999999997</v>
      </c>
      <c r="C88" s="67"/>
      <c r="D88" s="68">
        <v>0</v>
      </c>
      <c r="E88" s="110">
        <f t="shared" si="1"/>
        <v>22746</v>
      </c>
    </row>
    <row r="89" spans="1:5" x14ac:dyDescent="0.3">
      <c r="A89" s="24">
        <v>34967</v>
      </c>
      <c r="B89" s="66">
        <v>238.94699999999997</v>
      </c>
      <c r="C89" s="67"/>
      <c r="D89" s="68">
        <v>0</v>
      </c>
      <c r="E89" s="110">
        <f t="shared" si="1"/>
        <v>22746</v>
      </c>
    </row>
    <row r="90" spans="1:5" x14ac:dyDescent="0.3">
      <c r="A90" s="24">
        <v>34968</v>
      </c>
      <c r="B90" s="66">
        <v>238.94699999999997</v>
      </c>
      <c r="C90" s="67"/>
      <c r="D90" s="68">
        <v>0</v>
      </c>
      <c r="E90" s="110">
        <f t="shared" si="1"/>
        <v>22746</v>
      </c>
    </row>
    <row r="91" spans="1:5" x14ac:dyDescent="0.3">
      <c r="A91" s="24">
        <v>34969</v>
      </c>
      <c r="B91" s="66">
        <v>238.94699999999997</v>
      </c>
      <c r="C91" s="67"/>
      <c r="D91" s="68">
        <v>0</v>
      </c>
      <c r="E91" s="110">
        <f t="shared" si="1"/>
        <v>22746</v>
      </c>
    </row>
    <row r="92" spans="1:5" x14ac:dyDescent="0.3">
      <c r="A92" s="24">
        <v>34970</v>
      </c>
      <c r="B92" s="66">
        <v>238.94699999999997</v>
      </c>
      <c r="C92" s="67"/>
      <c r="D92" s="68">
        <v>0</v>
      </c>
      <c r="E92" s="110">
        <f t="shared" si="1"/>
        <v>22746</v>
      </c>
    </row>
    <row r="93" spans="1:5" x14ac:dyDescent="0.3">
      <c r="A93" s="24">
        <v>34971</v>
      </c>
      <c r="B93" s="66">
        <v>238.94699999999997</v>
      </c>
      <c r="C93" s="67"/>
      <c r="D93" s="68">
        <v>0</v>
      </c>
      <c r="E93" s="110">
        <f t="shared" si="1"/>
        <v>22746</v>
      </c>
    </row>
    <row r="94" spans="1:5" x14ac:dyDescent="0.3">
      <c r="A94" s="24">
        <v>34972</v>
      </c>
      <c r="B94" s="66">
        <v>250.137</v>
      </c>
      <c r="C94" s="67"/>
      <c r="D94" s="68">
        <v>0</v>
      </c>
      <c r="E94" s="110">
        <f t="shared" si="1"/>
        <v>22746</v>
      </c>
    </row>
    <row r="95" spans="1:5" x14ac:dyDescent="0.3">
      <c r="A95" s="24">
        <v>34973</v>
      </c>
      <c r="B95" s="66">
        <v>250.137</v>
      </c>
      <c r="C95" s="67"/>
      <c r="D95" s="68">
        <v>0</v>
      </c>
      <c r="E95" s="110">
        <f t="shared" si="1"/>
        <v>22746</v>
      </c>
    </row>
    <row r="96" spans="1:5" x14ac:dyDescent="0.3">
      <c r="A96" s="24">
        <v>34974</v>
      </c>
      <c r="B96" s="66">
        <v>250.137</v>
      </c>
      <c r="C96" s="67"/>
      <c r="D96" s="68">
        <v>0</v>
      </c>
      <c r="E96" s="110">
        <f t="shared" si="1"/>
        <v>22746</v>
      </c>
    </row>
    <row r="97" spans="1:5" x14ac:dyDescent="0.3">
      <c r="A97" s="24">
        <v>34975</v>
      </c>
      <c r="B97" s="66">
        <v>250.137</v>
      </c>
      <c r="C97" s="67"/>
      <c r="D97" s="68">
        <v>0</v>
      </c>
      <c r="E97" s="110">
        <f t="shared" si="1"/>
        <v>22746</v>
      </c>
    </row>
    <row r="98" spans="1:5" x14ac:dyDescent="0.3">
      <c r="A98" s="24">
        <v>34976</v>
      </c>
      <c r="B98" s="66">
        <v>250.137</v>
      </c>
      <c r="C98" s="67"/>
      <c r="D98" s="68">
        <v>0</v>
      </c>
      <c r="E98" s="110">
        <f t="shared" si="1"/>
        <v>22746</v>
      </c>
    </row>
    <row r="99" spans="1:5" x14ac:dyDescent="0.3">
      <c r="A99" s="24">
        <v>34977</v>
      </c>
      <c r="B99" s="66">
        <v>250.137</v>
      </c>
      <c r="C99" s="67"/>
      <c r="D99" s="68">
        <v>0</v>
      </c>
      <c r="E99" s="110">
        <f t="shared" si="1"/>
        <v>22746</v>
      </c>
    </row>
    <row r="100" spans="1:5" x14ac:dyDescent="0.3">
      <c r="A100" s="24">
        <v>34978</v>
      </c>
      <c r="B100" s="66">
        <v>250.137</v>
      </c>
      <c r="C100" s="67"/>
      <c r="D100" s="68">
        <v>0</v>
      </c>
      <c r="E100" s="110">
        <f t="shared" si="1"/>
        <v>22746</v>
      </c>
    </row>
    <row r="101" spans="1:5" x14ac:dyDescent="0.3">
      <c r="A101" s="24">
        <v>34979</v>
      </c>
      <c r="B101" s="66">
        <v>250.137</v>
      </c>
      <c r="C101" s="67"/>
      <c r="D101" s="68">
        <v>0</v>
      </c>
      <c r="E101" s="110">
        <f t="shared" si="1"/>
        <v>22746</v>
      </c>
    </row>
    <row r="102" spans="1:5" x14ac:dyDescent="0.3">
      <c r="A102" s="24">
        <v>34980</v>
      </c>
      <c r="B102" s="66">
        <v>250.137</v>
      </c>
      <c r="C102" s="67"/>
      <c r="D102" s="68">
        <v>0</v>
      </c>
      <c r="E102" s="110">
        <f t="shared" si="1"/>
        <v>22746</v>
      </c>
    </row>
    <row r="103" spans="1:5" x14ac:dyDescent="0.3">
      <c r="A103" s="24">
        <v>34981</v>
      </c>
      <c r="B103" s="66">
        <v>250.137</v>
      </c>
      <c r="C103" s="67"/>
      <c r="D103" s="68">
        <v>0</v>
      </c>
      <c r="E103" s="110">
        <f t="shared" si="1"/>
        <v>22746</v>
      </c>
    </row>
    <row r="104" spans="1:5" x14ac:dyDescent="0.3">
      <c r="A104" s="24">
        <v>34982</v>
      </c>
      <c r="B104" s="66">
        <v>250.137</v>
      </c>
      <c r="C104" s="67"/>
      <c r="D104" s="68">
        <v>0</v>
      </c>
      <c r="E104" s="110">
        <f t="shared" si="1"/>
        <v>22746</v>
      </c>
    </row>
    <row r="105" spans="1:5" x14ac:dyDescent="0.3">
      <c r="A105" s="24">
        <v>34983</v>
      </c>
      <c r="B105" s="66">
        <v>250.137</v>
      </c>
      <c r="C105" s="67"/>
      <c r="D105" s="68">
        <v>0</v>
      </c>
      <c r="E105" s="110">
        <f t="shared" si="1"/>
        <v>22746</v>
      </c>
    </row>
    <row r="106" spans="1:5" x14ac:dyDescent="0.3">
      <c r="A106" s="24">
        <v>34984</v>
      </c>
      <c r="B106" s="66">
        <v>250.137</v>
      </c>
      <c r="C106" s="67"/>
      <c r="D106" s="68">
        <v>0</v>
      </c>
      <c r="E106" s="110">
        <f t="shared" si="1"/>
        <v>22746</v>
      </c>
    </row>
    <row r="107" spans="1:5" x14ac:dyDescent="0.3">
      <c r="A107" s="24">
        <v>34985</v>
      </c>
      <c r="B107" s="66">
        <v>250.137</v>
      </c>
      <c r="C107" s="67"/>
      <c r="D107" s="68">
        <v>0</v>
      </c>
      <c r="E107" s="110">
        <f t="shared" si="1"/>
        <v>22746</v>
      </c>
    </row>
    <row r="108" spans="1:5" x14ac:dyDescent="0.3">
      <c r="A108" s="24">
        <v>34986</v>
      </c>
      <c r="B108" s="66">
        <v>250.137</v>
      </c>
      <c r="C108" s="67"/>
      <c r="D108" s="68">
        <v>0</v>
      </c>
      <c r="E108" s="110">
        <f t="shared" si="1"/>
        <v>22746</v>
      </c>
    </row>
    <row r="109" spans="1:5" x14ac:dyDescent="0.3">
      <c r="A109" s="24">
        <v>34987</v>
      </c>
      <c r="B109" s="66">
        <v>250.137</v>
      </c>
      <c r="C109" s="67"/>
      <c r="D109" s="68">
        <v>0</v>
      </c>
      <c r="E109" s="110">
        <f t="shared" si="1"/>
        <v>22746</v>
      </c>
    </row>
    <row r="110" spans="1:5" x14ac:dyDescent="0.3">
      <c r="A110" s="24">
        <v>34988</v>
      </c>
      <c r="B110" s="66">
        <v>250.137</v>
      </c>
      <c r="C110" s="67"/>
      <c r="D110" s="68">
        <v>0</v>
      </c>
      <c r="E110" s="110">
        <f t="shared" si="1"/>
        <v>22746</v>
      </c>
    </row>
    <row r="111" spans="1:5" x14ac:dyDescent="0.3">
      <c r="A111" s="24">
        <v>34989</v>
      </c>
      <c r="B111" s="66">
        <v>250.137</v>
      </c>
      <c r="C111" s="67"/>
      <c r="D111" s="68">
        <v>0</v>
      </c>
      <c r="E111" s="110">
        <f t="shared" si="1"/>
        <v>22746</v>
      </c>
    </row>
    <row r="112" spans="1:5" x14ac:dyDescent="0.3">
      <c r="A112" s="24">
        <v>34990</v>
      </c>
      <c r="B112" s="66">
        <v>250.137</v>
      </c>
      <c r="C112" s="67"/>
      <c r="D112" s="68">
        <v>0</v>
      </c>
      <c r="E112" s="110">
        <f t="shared" si="1"/>
        <v>22746</v>
      </c>
    </row>
    <row r="113" spans="1:5" x14ac:dyDescent="0.3">
      <c r="A113" s="24">
        <v>34991</v>
      </c>
      <c r="B113" s="66">
        <v>250.137</v>
      </c>
      <c r="C113" s="67"/>
      <c r="D113" s="68">
        <v>0</v>
      </c>
      <c r="E113" s="110">
        <f t="shared" si="1"/>
        <v>22746</v>
      </c>
    </row>
    <row r="114" spans="1:5" x14ac:dyDescent="0.3">
      <c r="A114" s="24">
        <v>34992</v>
      </c>
      <c r="B114" s="66">
        <v>250.137</v>
      </c>
      <c r="C114" s="67"/>
      <c r="D114" s="68">
        <v>0</v>
      </c>
      <c r="E114" s="110">
        <f t="shared" si="1"/>
        <v>22746</v>
      </c>
    </row>
    <row r="115" spans="1:5" x14ac:dyDescent="0.3">
      <c r="A115" s="24">
        <v>34993</v>
      </c>
      <c r="B115" s="66">
        <v>250.137</v>
      </c>
      <c r="C115" s="67"/>
      <c r="D115" s="68">
        <v>0</v>
      </c>
      <c r="E115" s="110">
        <f t="shared" si="1"/>
        <v>22746</v>
      </c>
    </row>
    <row r="116" spans="1:5" x14ac:dyDescent="0.3">
      <c r="A116" s="24">
        <v>34994</v>
      </c>
      <c r="B116" s="66">
        <v>250.137</v>
      </c>
      <c r="C116" s="67"/>
      <c r="D116" s="68">
        <v>0</v>
      </c>
      <c r="E116" s="110">
        <f t="shared" si="1"/>
        <v>22746</v>
      </c>
    </row>
    <row r="117" spans="1:5" x14ac:dyDescent="0.3">
      <c r="A117" s="24">
        <v>34995</v>
      </c>
      <c r="B117" s="66">
        <v>250.137</v>
      </c>
      <c r="C117" s="67"/>
      <c r="D117" s="68">
        <v>0</v>
      </c>
      <c r="E117" s="110">
        <f t="shared" si="1"/>
        <v>22746</v>
      </c>
    </row>
    <row r="118" spans="1:5" x14ac:dyDescent="0.3">
      <c r="A118" s="24">
        <v>34996</v>
      </c>
      <c r="B118" s="66">
        <v>250.137</v>
      </c>
      <c r="C118" s="67"/>
      <c r="D118" s="68">
        <v>0</v>
      </c>
      <c r="E118" s="110">
        <f t="shared" si="1"/>
        <v>22746</v>
      </c>
    </row>
    <row r="119" spans="1:5" x14ac:dyDescent="0.3">
      <c r="A119" s="24">
        <v>34997</v>
      </c>
      <c r="B119" s="66">
        <v>250.137</v>
      </c>
      <c r="C119" s="67"/>
      <c r="D119" s="68">
        <v>0</v>
      </c>
      <c r="E119" s="110">
        <f t="shared" si="1"/>
        <v>22746</v>
      </c>
    </row>
    <row r="120" spans="1:5" x14ac:dyDescent="0.3">
      <c r="A120" s="24">
        <v>34998</v>
      </c>
      <c r="B120" s="66">
        <v>250.137</v>
      </c>
      <c r="C120" s="67"/>
      <c r="D120" s="68">
        <v>0</v>
      </c>
      <c r="E120" s="110">
        <f t="shared" si="1"/>
        <v>22746</v>
      </c>
    </row>
    <row r="121" spans="1:5" x14ac:dyDescent="0.3">
      <c r="A121" s="24">
        <v>34999</v>
      </c>
      <c r="B121" s="66">
        <v>250.137</v>
      </c>
      <c r="C121" s="67"/>
      <c r="D121" s="68">
        <v>0</v>
      </c>
      <c r="E121" s="110">
        <f t="shared" si="1"/>
        <v>22746</v>
      </c>
    </row>
    <row r="122" spans="1:5" x14ac:dyDescent="0.3">
      <c r="A122" s="24">
        <v>35000</v>
      </c>
      <c r="B122" s="66">
        <v>250.137</v>
      </c>
      <c r="C122" s="67"/>
      <c r="D122" s="68">
        <v>0</v>
      </c>
      <c r="E122" s="110">
        <f t="shared" si="1"/>
        <v>22746</v>
      </c>
    </row>
    <row r="123" spans="1:5" x14ac:dyDescent="0.3">
      <c r="A123" s="24">
        <v>35001</v>
      </c>
      <c r="B123" s="66">
        <v>250.137</v>
      </c>
      <c r="C123" s="67"/>
      <c r="D123" s="68">
        <v>0</v>
      </c>
      <c r="E123" s="110">
        <f t="shared" si="1"/>
        <v>22746</v>
      </c>
    </row>
    <row r="124" spans="1:5" x14ac:dyDescent="0.3">
      <c r="A124" s="24">
        <v>35002</v>
      </c>
      <c r="B124" s="66">
        <v>250.137</v>
      </c>
      <c r="C124" s="67"/>
      <c r="D124" s="68">
        <v>0</v>
      </c>
      <c r="E124" s="110">
        <f t="shared" si="1"/>
        <v>22746</v>
      </c>
    </row>
    <row r="125" spans="1:5" x14ac:dyDescent="0.3">
      <c r="A125" s="24">
        <v>35003</v>
      </c>
      <c r="B125" s="66">
        <v>250.137</v>
      </c>
      <c r="C125" s="67"/>
      <c r="D125" s="68">
        <v>0</v>
      </c>
      <c r="E125" s="110">
        <f t="shared" si="1"/>
        <v>22746</v>
      </c>
    </row>
    <row r="126" spans="1:5" x14ac:dyDescent="0.3">
      <c r="A126" s="24">
        <v>35004</v>
      </c>
      <c r="B126" s="66">
        <v>250.137</v>
      </c>
      <c r="C126" s="67"/>
      <c r="D126" s="68">
        <v>0</v>
      </c>
      <c r="E126" s="110">
        <f t="shared" si="1"/>
        <v>22746</v>
      </c>
    </row>
    <row r="127" spans="1:5" x14ac:dyDescent="0.3">
      <c r="A127" s="24">
        <v>35005</v>
      </c>
      <c r="B127" s="66">
        <v>250.137</v>
      </c>
      <c r="C127" s="67"/>
      <c r="D127" s="68">
        <v>0</v>
      </c>
      <c r="E127" s="110">
        <f t="shared" si="1"/>
        <v>22746</v>
      </c>
    </row>
    <row r="128" spans="1:5" x14ac:dyDescent="0.3">
      <c r="A128" s="24">
        <v>35006</v>
      </c>
      <c r="B128" s="66">
        <v>250.137</v>
      </c>
      <c r="C128" s="67"/>
      <c r="D128" s="68">
        <v>0</v>
      </c>
      <c r="E128" s="110">
        <f t="shared" si="1"/>
        <v>22746</v>
      </c>
    </row>
    <row r="129" spans="1:5" x14ac:dyDescent="0.3">
      <c r="A129" s="24">
        <v>35007</v>
      </c>
      <c r="B129" s="66">
        <v>250.137</v>
      </c>
      <c r="C129" s="67"/>
      <c r="D129" s="68">
        <v>0</v>
      </c>
      <c r="E129" s="110">
        <f t="shared" si="1"/>
        <v>22746</v>
      </c>
    </row>
    <row r="130" spans="1:5" x14ac:dyDescent="0.3">
      <c r="A130" s="24">
        <v>35008</v>
      </c>
      <c r="B130" s="66">
        <v>250.137</v>
      </c>
      <c r="C130" s="67"/>
      <c r="D130" s="68">
        <v>0</v>
      </c>
      <c r="E130" s="110">
        <f t="shared" si="1"/>
        <v>22746</v>
      </c>
    </row>
    <row r="131" spans="1:5" x14ac:dyDescent="0.3">
      <c r="A131" s="24">
        <v>35009</v>
      </c>
      <c r="B131" s="66">
        <v>250.137</v>
      </c>
      <c r="C131" s="67"/>
      <c r="D131" s="68">
        <v>0</v>
      </c>
      <c r="E131" s="110">
        <f t="shared" si="1"/>
        <v>22746</v>
      </c>
    </row>
    <row r="132" spans="1:5" x14ac:dyDescent="0.3">
      <c r="A132" s="24">
        <v>35010</v>
      </c>
      <c r="B132" s="66">
        <v>250.137</v>
      </c>
      <c r="C132" s="67"/>
      <c r="D132" s="68">
        <v>0</v>
      </c>
      <c r="E132" s="110">
        <f t="shared" ref="E132:E195" si="2">+E131</f>
        <v>22746</v>
      </c>
    </row>
    <row r="133" spans="1:5" x14ac:dyDescent="0.3">
      <c r="A133" s="24">
        <v>35011</v>
      </c>
      <c r="B133" s="66">
        <v>250.137</v>
      </c>
      <c r="C133" s="67"/>
      <c r="D133" s="68">
        <v>0</v>
      </c>
      <c r="E133" s="110">
        <f t="shared" si="2"/>
        <v>22746</v>
      </c>
    </row>
    <row r="134" spans="1:5" x14ac:dyDescent="0.3">
      <c r="A134" s="24">
        <v>35012</v>
      </c>
      <c r="B134" s="66">
        <v>250.137</v>
      </c>
      <c r="C134" s="67"/>
      <c r="D134" s="68">
        <v>0</v>
      </c>
      <c r="E134" s="110">
        <f t="shared" si="2"/>
        <v>22746</v>
      </c>
    </row>
    <row r="135" spans="1:5" x14ac:dyDescent="0.3">
      <c r="A135" s="24">
        <v>35013</v>
      </c>
      <c r="B135" s="66">
        <v>250.137</v>
      </c>
      <c r="C135" s="67"/>
      <c r="D135" s="68">
        <v>0</v>
      </c>
      <c r="E135" s="110">
        <f t="shared" si="2"/>
        <v>22746</v>
      </c>
    </row>
    <row r="136" spans="1:5" x14ac:dyDescent="0.3">
      <c r="A136" s="24">
        <v>35014</v>
      </c>
      <c r="B136" s="66">
        <v>250.137</v>
      </c>
      <c r="C136" s="67"/>
      <c r="D136" s="68">
        <v>0</v>
      </c>
      <c r="E136" s="110">
        <f t="shared" si="2"/>
        <v>22746</v>
      </c>
    </row>
    <row r="137" spans="1:5" x14ac:dyDescent="0.3">
      <c r="A137" s="24">
        <v>35015</v>
      </c>
      <c r="B137" s="66">
        <v>250.137</v>
      </c>
      <c r="C137" s="67"/>
      <c r="D137" s="68">
        <v>0</v>
      </c>
      <c r="E137" s="110">
        <f t="shared" si="2"/>
        <v>22746</v>
      </c>
    </row>
    <row r="138" spans="1:5" x14ac:dyDescent="0.3">
      <c r="A138" s="24">
        <v>35016</v>
      </c>
      <c r="B138" s="66">
        <v>250.137</v>
      </c>
      <c r="C138" s="67"/>
      <c r="D138" s="68">
        <v>0</v>
      </c>
      <c r="E138" s="110">
        <f t="shared" si="2"/>
        <v>22746</v>
      </c>
    </row>
    <row r="139" spans="1:5" x14ac:dyDescent="0.3">
      <c r="A139" s="24">
        <v>35017</v>
      </c>
      <c r="B139" s="66">
        <v>250.137</v>
      </c>
      <c r="C139" s="67"/>
      <c r="D139" s="68">
        <v>0</v>
      </c>
      <c r="E139" s="110">
        <f t="shared" si="2"/>
        <v>22746</v>
      </c>
    </row>
    <row r="140" spans="1:5" x14ac:dyDescent="0.3">
      <c r="A140" s="24">
        <v>35018</v>
      </c>
      <c r="B140" s="66">
        <v>250.137</v>
      </c>
      <c r="C140" s="67"/>
      <c r="D140" s="68">
        <v>0</v>
      </c>
      <c r="E140" s="110">
        <f t="shared" si="2"/>
        <v>22746</v>
      </c>
    </row>
    <row r="141" spans="1:5" x14ac:dyDescent="0.3">
      <c r="A141" s="24">
        <v>35019</v>
      </c>
      <c r="B141" s="66">
        <v>250.137</v>
      </c>
      <c r="C141" s="67"/>
      <c r="D141" s="68">
        <v>0</v>
      </c>
      <c r="E141" s="110">
        <f t="shared" si="2"/>
        <v>22746</v>
      </c>
    </row>
    <row r="142" spans="1:5" x14ac:dyDescent="0.3">
      <c r="A142" s="24">
        <v>35020</v>
      </c>
      <c r="B142" s="66">
        <v>250.137</v>
      </c>
      <c r="C142" s="67"/>
      <c r="D142" s="68">
        <v>0</v>
      </c>
      <c r="E142" s="110">
        <f t="shared" si="2"/>
        <v>22746</v>
      </c>
    </row>
    <row r="143" spans="1:5" x14ac:dyDescent="0.3">
      <c r="A143" s="24">
        <v>35021</v>
      </c>
      <c r="B143" s="66">
        <v>250.137</v>
      </c>
      <c r="C143" s="67"/>
      <c r="D143" s="68">
        <v>0</v>
      </c>
      <c r="E143" s="110">
        <f t="shared" si="2"/>
        <v>22746</v>
      </c>
    </row>
    <row r="144" spans="1:5" x14ac:dyDescent="0.3">
      <c r="A144" s="24">
        <v>35022</v>
      </c>
      <c r="B144" s="66">
        <v>250.137</v>
      </c>
      <c r="C144" s="67"/>
      <c r="D144" s="68">
        <v>0</v>
      </c>
      <c r="E144" s="110">
        <f t="shared" si="2"/>
        <v>22746</v>
      </c>
    </row>
    <row r="145" spans="1:5" x14ac:dyDescent="0.3">
      <c r="A145" s="24">
        <v>35023</v>
      </c>
      <c r="B145" s="66">
        <v>250.137</v>
      </c>
      <c r="C145" s="67"/>
      <c r="D145" s="68">
        <v>0</v>
      </c>
      <c r="E145" s="110">
        <f t="shared" si="2"/>
        <v>22746</v>
      </c>
    </row>
    <row r="146" spans="1:5" x14ac:dyDescent="0.3">
      <c r="A146" s="24">
        <v>35024</v>
      </c>
      <c r="B146" s="66">
        <v>250.137</v>
      </c>
      <c r="C146" s="67"/>
      <c r="D146" s="68">
        <v>0</v>
      </c>
      <c r="E146" s="110">
        <f t="shared" si="2"/>
        <v>22746</v>
      </c>
    </row>
    <row r="147" spans="1:5" x14ac:dyDescent="0.3">
      <c r="A147" s="24">
        <v>35025</v>
      </c>
      <c r="B147" s="66">
        <v>250.137</v>
      </c>
      <c r="C147" s="67"/>
      <c r="D147" s="68">
        <v>0</v>
      </c>
      <c r="E147" s="110">
        <f t="shared" si="2"/>
        <v>22746</v>
      </c>
    </row>
    <row r="148" spans="1:5" x14ac:dyDescent="0.3">
      <c r="A148" s="24">
        <v>35026</v>
      </c>
      <c r="B148" s="66">
        <v>250.137</v>
      </c>
      <c r="C148" s="67"/>
      <c r="D148" s="68">
        <v>0</v>
      </c>
      <c r="E148" s="110">
        <f t="shared" si="2"/>
        <v>22746</v>
      </c>
    </row>
    <row r="149" spans="1:5" x14ac:dyDescent="0.3">
      <c r="A149" s="24">
        <v>35027</v>
      </c>
      <c r="B149" s="66">
        <v>250.137</v>
      </c>
      <c r="C149" s="67"/>
      <c r="D149" s="68">
        <v>0</v>
      </c>
      <c r="E149" s="110">
        <f t="shared" si="2"/>
        <v>22746</v>
      </c>
    </row>
    <row r="150" spans="1:5" x14ac:dyDescent="0.3">
      <c r="A150" s="24">
        <v>35028</v>
      </c>
      <c r="B150" s="66">
        <v>250.137</v>
      </c>
      <c r="C150" s="67"/>
      <c r="D150" s="68">
        <v>0</v>
      </c>
      <c r="E150" s="110">
        <f t="shared" si="2"/>
        <v>22746</v>
      </c>
    </row>
    <row r="151" spans="1:5" x14ac:dyDescent="0.3">
      <c r="A151" s="24">
        <v>35029</v>
      </c>
      <c r="B151" s="66">
        <v>250.137</v>
      </c>
      <c r="C151" s="67"/>
      <c r="D151" s="68">
        <v>0</v>
      </c>
      <c r="E151" s="110">
        <f t="shared" si="2"/>
        <v>22746</v>
      </c>
    </row>
    <row r="152" spans="1:5" x14ac:dyDescent="0.3">
      <c r="A152" s="24">
        <v>35030</v>
      </c>
      <c r="B152" s="66">
        <v>250.137</v>
      </c>
      <c r="C152" s="67"/>
      <c r="D152" s="68">
        <v>0</v>
      </c>
      <c r="E152" s="110">
        <f t="shared" si="2"/>
        <v>22746</v>
      </c>
    </row>
    <row r="153" spans="1:5" x14ac:dyDescent="0.3">
      <c r="A153" s="24">
        <v>35031</v>
      </c>
      <c r="B153" s="66">
        <v>250.137</v>
      </c>
      <c r="C153" s="67"/>
      <c r="D153" s="68">
        <v>0</v>
      </c>
      <c r="E153" s="110">
        <f t="shared" si="2"/>
        <v>22746</v>
      </c>
    </row>
    <row r="154" spans="1:5" x14ac:dyDescent="0.3">
      <c r="A154" s="24">
        <v>35032</v>
      </c>
      <c r="B154" s="66">
        <v>250.137</v>
      </c>
      <c r="C154" s="67"/>
      <c r="D154" s="68">
        <v>0</v>
      </c>
      <c r="E154" s="110">
        <f t="shared" si="2"/>
        <v>22746</v>
      </c>
    </row>
    <row r="155" spans="1:5" x14ac:dyDescent="0.3">
      <c r="A155" s="24">
        <v>35033</v>
      </c>
      <c r="B155" s="66">
        <v>250.137</v>
      </c>
      <c r="C155" s="67"/>
      <c r="D155" s="68">
        <v>0</v>
      </c>
      <c r="E155" s="110">
        <f t="shared" si="2"/>
        <v>22746</v>
      </c>
    </row>
    <row r="156" spans="1:5" x14ac:dyDescent="0.3">
      <c r="A156" s="24">
        <v>35034</v>
      </c>
      <c r="B156" s="66">
        <v>250.137</v>
      </c>
      <c r="C156" s="67"/>
      <c r="D156" s="68">
        <v>0</v>
      </c>
      <c r="E156" s="110">
        <f t="shared" si="2"/>
        <v>22746</v>
      </c>
    </row>
    <row r="157" spans="1:5" x14ac:dyDescent="0.3">
      <c r="A157" s="24">
        <v>35035</v>
      </c>
      <c r="B157" s="66">
        <v>250.137</v>
      </c>
      <c r="C157" s="67"/>
      <c r="D157" s="68">
        <v>0</v>
      </c>
      <c r="E157" s="110">
        <f t="shared" si="2"/>
        <v>22746</v>
      </c>
    </row>
    <row r="158" spans="1:5" x14ac:dyDescent="0.3">
      <c r="A158" s="24">
        <v>35036</v>
      </c>
      <c r="B158" s="66">
        <v>250.137</v>
      </c>
      <c r="C158" s="67"/>
      <c r="D158" s="68">
        <v>0</v>
      </c>
      <c r="E158" s="110">
        <f t="shared" si="2"/>
        <v>22746</v>
      </c>
    </row>
    <row r="159" spans="1:5" x14ac:dyDescent="0.3">
      <c r="A159" s="24">
        <v>35037</v>
      </c>
      <c r="B159" s="66">
        <v>250.137</v>
      </c>
      <c r="C159" s="67"/>
      <c r="D159" s="68">
        <v>0</v>
      </c>
      <c r="E159" s="110">
        <f t="shared" si="2"/>
        <v>22746</v>
      </c>
    </row>
    <row r="160" spans="1:5" x14ac:dyDescent="0.3">
      <c r="A160" s="24">
        <v>35038</v>
      </c>
      <c r="B160" s="66">
        <v>250.137</v>
      </c>
      <c r="C160" s="67"/>
      <c r="D160" s="68">
        <v>0</v>
      </c>
      <c r="E160" s="110">
        <f t="shared" si="2"/>
        <v>22746</v>
      </c>
    </row>
    <row r="161" spans="1:5" x14ac:dyDescent="0.3">
      <c r="A161" s="24">
        <v>35039</v>
      </c>
      <c r="B161" s="66">
        <v>250.137</v>
      </c>
      <c r="C161" s="67"/>
      <c r="D161" s="68">
        <v>0</v>
      </c>
      <c r="E161" s="110">
        <f t="shared" si="2"/>
        <v>22746</v>
      </c>
    </row>
    <row r="162" spans="1:5" x14ac:dyDescent="0.3">
      <c r="A162" s="24">
        <v>35040</v>
      </c>
      <c r="B162" s="66">
        <v>250.137</v>
      </c>
      <c r="C162" s="67"/>
      <c r="D162" s="68">
        <v>0</v>
      </c>
      <c r="E162" s="110">
        <f t="shared" si="2"/>
        <v>22746</v>
      </c>
    </row>
    <row r="163" spans="1:5" x14ac:dyDescent="0.3">
      <c r="A163" s="24">
        <v>35041</v>
      </c>
      <c r="B163" s="66">
        <v>250.137</v>
      </c>
      <c r="C163" s="67"/>
      <c r="D163" s="68">
        <v>0</v>
      </c>
      <c r="E163" s="110">
        <f t="shared" si="2"/>
        <v>22746</v>
      </c>
    </row>
    <row r="164" spans="1:5" x14ac:dyDescent="0.3">
      <c r="A164" s="24">
        <v>35042</v>
      </c>
      <c r="B164" s="66">
        <v>250.137</v>
      </c>
      <c r="C164" s="67"/>
      <c r="D164" s="68">
        <v>0</v>
      </c>
      <c r="E164" s="110">
        <f t="shared" si="2"/>
        <v>22746</v>
      </c>
    </row>
    <row r="165" spans="1:5" x14ac:dyDescent="0.3">
      <c r="A165" s="24">
        <v>35043</v>
      </c>
      <c r="B165" s="66">
        <v>250.137</v>
      </c>
      <c r="C165" s="67"/>
      <c r="D165" s="68">
        <v>0</v>
      </c>
      <c r="E165" s="110">
        <f t="shared" si="2"/>
        <v>22746</v>
      </c>
    </row>
    <row r="166" spans="1:5" x14ac:dyDescent="0.3">
      <c r="A166" s="24">
        <v>35044</v>
      </c>
      <c r="B166" s="66">
        <v>250.137</v>
      </c>
      <c r="C166" s="67"/>
      <c r="D166" s="68">
        <v>0</v>
      </c>
      <c r="E166" s="110">
        <f t="shared" si="2"/>
        <v>22746</v>
      </c>
    </row>
    <row r="167" spans="1:5" x14ac:dyDescent="0.3">
      <c r="A167" s="24">
        <v>35045</v>
      </c>
      <c r="B167" s="66">
        <v>250.137</v>
      </c>
      <c r="C167" s="67"/>
      <c r="D167" s="68">
        <v>0</v>
      </c>
      <c r="E167" s="110">
        <f t="shared" si="2"/>
        <v>22746</v>
      </c>
    </row>
    <row r="168" spans="1:5" x14ac:dyDescent="0.3">
      <c r="A168" s="24">
        <v>35046</v>
      </c>
      <c r="B168" s="66">
        <v>250.137</v>
      </c>
      <c r="C168" s="67"/>
      <c r="D168" s="68">
        <v>0</v>
      </c>
      <c r="E168" s="110">
        <f t="shared" si="2"/>
        <v>22746</v>
      </c>
    </row>
    <row r="169" spans="1:5" x14ac:dyDescent="0.3">
      <c r="A169" s="24">
        <v>35047</v>
      </c>
      <c r="B169" s="66">
        <v>250.137</v>
      </c>
      <c r="C169" s="67"/>
      <c r="D169" s="68">
        <v>0</v>
      </c>
      <c r="E169" s="110">
        <f t="shared" si="2"/>
        <v>22746</v>
      </c>
    </row>
    <row r="170" spans="1:5" x14ac:dyDescent="0.3">
      <c r="A170" s="24">
        <v>35048</v>
      </c>
      <c r="B170" s="66">
        <v>250.137</v>
      </c>
      <c r="C170" s="67"/>
      <c r="D170" s="68">
        <v>0</v>
      </c>
      <c r="E170" s="110">
        <f t="shared" si="2"/>
        <v>22746</v>
      </c>
    </row>
    <row r="171" spans="1:5" x14ac:dyDescent="0.3">
      <c r="A171" s="24">
        <v>35049</v>
      </c>
      <c r="B171" s="66">
        <v>250.137</v>
      </c>
      <c r="C171" s="67"/>
      <c r="D171" s="68">
        <v>0</v>
      </c>
      <c r="E171" s="110">
        <f t="shared" si="2"/>
        <v>22746</v>
      </c>
    </row>
    <row r="172" spans="1:5" x14ac:dyDescent="0.3">
      <c r="A172" s="24">
        <v>35050</v>
      </c>
      <c r="B172" s="66">
        <v>250.137</v>
      </c>
      <c r="C172" s="67"/>
      <c r="D172" s="68">
        <v>0</v>
      </c>
      <c r="E172" s="110">
        <f t="shared" si="2"/>
        <v>22746</v>
      </c>
    </row>
    <row r="173" spans="1:5" x14ac:dyDescent="0.3">
      <c r="A173" s="24">
        <v>35051</v>
      </c>
      <c r="B173" s="66">
        <v>250.137</v>
      </c>
      <c r="C173" s="67"/>
      <c r="D173" s="68">
        <v>0</v>
      </c>
      <c r="E173" s="110">
        <f t="shared" si="2"/>
        <v>22746</v>
      </c>
    </row>
    <row r="174" spans="1:5" x14ac:dyDescent="0.3">
      <c r="A174" s="24">
        <v>35052</v>
      </c>
      <c r="B174" s="66">
        <v>250.137</v>
      </c>
      <c r="C174" s="67"/>
      <c r="D174" s="68">
        <v>0</v>
      </c>
      <c r="E174" s="110">
        <f t="shared" si="2"/>
        <v>22746</v>
      </c>
    </row>
    <row r="175" spans="1:5" x14ac:dyDescent="0.3">
      <c r="A175" s="24">
        <v>35053</v>
      </c>
      <c r="B175" s="66">
        <v>250.137</v>
      </c>
      <c r="C175" s="67"/>
      <c r="D175" s="68">
        <v>0</v>
      </c>
      <c r="E175" s="110">
        <f t="shared" si="2"/>
        <v>22746</v>
      </c>
    </row>
    <row r="176" spans="1:5" x14ac:dyDescent="0.3">
      <c r="A176" s="24">
        <v>35054</v>
      </c>
      <c r="B176" s="66">
        <v>250.137</v>
      </c>
      <c r="C176" s="67"/>
      <c r="D176" s="68">
        <v>0</v>
      </c>
      <c r="E176" s="110">
        <f t="shared" si="2"/>
        <v>22746</v>
      </c>
    </row>
    <row r="177" spans="1:5" x14ac:dyDescent="0.3">
      <c r="A177" s="24">
        <v>35055</v>
      </c>
      <c r="B177" s="66">
        <v>250.137</v>
      </c>
      <c r="C177" s="67"/>
      <c r="D177" s="68">
        <v>0</v>
      </c>
      <c r="E177" s="110">
        <f t="shared" si="2"/>
        <v>22746</v>
      </c>
    </row>
    <row r="178" spans="1:5" x14ac:dyDescent="0.3">
      <c r="A178" s="24">
        <v>35056</v>
      </c>
      <c r="B178" s="66">
        <v>250.137</v>
      </c>
      <c r="C178" s="67"/>
      <c r="D178" s="68">
        <v>0</v>
      </c>
      <c r="E178" s="110">
        <f t="shared" si="2"/>
        <v>22746</v>
      </c>
    </row>
    <row r="179" spans="1:5" x14ac:dyDescent="0.3">
      <c r="A179" s="24">
        <v>35057</v>
      </c>
      <c r="B179" s="66">
        <v>250.137</v>
      </c>
      <c r="C179" s="67"/>
      <c r="D179" s="68">
        <v>0</v>
      </c>
      <c r="E179" s="110">
        <f t="shared" si="2"/>
        <v>22746</v>
      </c>
    </row>
    <row r="180" spans="1:5" x14ac:dyDescent="0.3">
      <c r="A180" s="24">
        <v>35058</v>
      </c>
      <c r="B180" s="66">
        <v>250.137</v>
      </c>
      <c r="C180" s="67"/>
      <c r="D180" s="68">
        <v>0</v>
      </c>
      <c r="E180" s="110">
        <f t="shared" si="2"/>
        <v>22746</v>
      </c>
    </row>
    <row r="181" spans="1:5" x14ac:dyDescent="0.3">
      <c r="A181" s="24">
        <v>35059</v>
      </c>
      <c r="B181" s="66">
        <v>250.137</v>
      </c>
      <c r="C181" s="67"/>
      <c r="D181" s="68">
        <v>0</v>
      </c>
      <c r="E181" s="110">
        <f t="shared" si="2"/>
        <v>22746</v>
      </c>
    </row>
    <row r="182" spans="1:5" x14ac:dyDescent="0.3">
      <c r="A182" s="24">
        <v>35060</v>
      </c>
      <c r="B182" s="66">
        <v>250.137</v>
      </c>
      <c r="C182" s="67"/>
      <c r="D182" s="68">
        <v>0</v>
      </c>
      <c r="E182" s="110">
        <f t="shared" si="2"/>
        <v>22746</v>
      </c>
    </row>
    <row r="183" spans="1:5" x14ac:dyDescent="0.3">
      <c r="A183" s="24">
        <v>35061</v>
      </c>
      <c r="B183" s="66">
        <v>250.137</v>
      </c>
      <c r="C183" s="67"/>
      <c r="D183" s="68">
        <v>0</v>
      </c>
      <c r="E183" s="110">
        <f t="shared" si="2"/>
        <v>22746</v>
      </c>
    </row>
    <row r="184" spans="1:5" x14ac:dyDescent="0.3">
      <c r="A184" s="24">
        <v>35062</v>
      </c>
      <c r="B184" s="66">
        <v>250.137</v>
      </c>
      <c r="C184" s="67"/>
      <c r="D184" s="68">
        <v>0</v>
      </c>
      <c r="E184" s="110">
        <f t="shared" si="2"/>
        <v>22746</v>
      </c>
    </row>
    <row r="185" spans="1:5" x14ac:dyDescent="0.3">
      <c r="A185" s="24">
        <v>35063</v>
      </c>
      <c r="B185" s="66">
        <v>250.137</v>
      </c>
      <c r="C185" s="67"/>
      <c r="D185" s="68">
        <v>0</v>
      </c>
      <c r="E185" s="110">
        <f t="shared" si="2"/>
        <v>22746</v>
      </c>
    </row>
    <row r="186" spans="1:5" x14ac:dyDescent="0.3">
      <c r="A186" s="24">
        <v>35064</v>
      </c>
      <c r="B186" s="66">
        <v>264.65800000000002</v>
      </c>
      <c r="C186" s="67"/>
      <c r="D186" s="68">
        <v>0</v>
      </c>
      <c r="E186" s="110">
        <f t="shared" si="2"/>
        <v>22746</v>
      </c>
    </row>
    <row r="187" spans="1:5" x14ac:dyDescent="0.3">
      <c r="A187" s="24">
        <v>35065</v>
      </c>
      <c r="B187" s="66">
        <v>264.65800000000002</v>
      </c>
      <c r="C187" s="67"/>
      <c r="D187" s="68">
        <v>0</v>
      </c>
      <c r="E187" s="110">
        <f t="shared" si="2"/>
        <v>22746</v>
      </c>
    </row>
    <row r="188" spans="1:5" x14ac:dyDescent="0.3">
      <c r="A188" s="24">
        <v>35066</v>
      </c>
      <c r="B188" s="66">
        <v>264.65800000000002</v>
      </c>
      <c r="C188" s="67"/>
      <c r="D188" s="68">
        <v>0</v>
      </c>
      <c r="E188" s="110">
        <f t="shared" si="2"/>
        <v>22746</v>
      </c>
    </row>
    <row r="189" spans="1:5" x14ac:dyDescent="0.3">
      <c r="A189" s="24">
        <v>35067</v>
      </c>
      <c r="B189" s="66">
        <v>264.65800000000002</v>
      </c>
      <c r="C189" s="67"/>
      <c r="D189" s="68">
        <v>0</v>
      </c>
      <c r="E189" s="110">
        <f t="shared" si="2"/>
        <v>22746</v>
      </c>
    </row>
    <row r="190" spans="1:5" x14ac:dyDescent="0.3">
      <c r="A190" s="24">
        <v>35068</v>
      </c>
      <c r="B190" s="66">
        <v>264.65800000000002</v>
      </c>
      <c r="C190" s="67"/>
      <c r="D190" s="68">
        <v>0</v>
      </c>
      <c r="E190" s="110">
        <f t="shared" si="2"/>
        <v>22746</v>
      </c>
    </row>
    <row r="191" spans="1:5" x14ac:dyDescent="0.3">
      <c r="A191" s="24">
        <v>35069</v>
      </c>
      <c r="B191" s="66">
        <v>264.65800000000002</v>
      </c>
      <c r="C191" s="67"/>
      <c r="D191" s="68">
        <v>0</v>
      </c>
      <c r="E191" s="110">
        <f t="shared" si="2"/>
        <v>22746</v>
      </c>
    </row>
    <row r="192" spans="1:5" x14ac:dyDescent="0.3">
      <c r="A192" s="24">
        <v>35070</v>
      </c>
      <c r="B192" s="66">
        <v>264.65800000000002</v>
      </c>
      <c r="C192" s="67"/>
      <c r="D192" s="68">
        <v>0</v>
      </c>
      <c r="E192" s="110">
        <f t="shared" si="2"/>
        <v>22746</v>
      </c>
    </row>
    <row r="193" spans="1:5" x14ac:dyDescent="0.3">
      <c r="A193" s="24">
        <v>35071</v>
      </c>
      <c r="B193" s="66">
        <v>264.65800000000002</v>
      </c>
      <c r="C193" s="67"/>
      <c r="D193" s="68">
        <v>0</v>
      </c>
      <c r="E193" s="110">
        <f t="shared" si="2"/>
        <v>22746</v>
      </c>
    </row>
    <row r="194" spans="1:5" x14ac:dyDescent="0.3">
      <c r="A194" s="24">
        <v>35072</v>
      </c>
      <c r="B194" s="66">
        <v>264.65800000000002</v>
      </c>
      <c r="C194" s="67"/>
      <c r="D194" s="68">
        <v>0</v>
      </c>
      <c r="E194" s="110">
        <f t="shared" si="2"/>
        <v>22746</v>
      </c>
    </row>
    <row r="195" spans="1:5" x14ac:dyDescent="0.3">
      <c r="A195" s="24">
        <v>35073</v>
      </c>
      <c r="B195" s="66">
        <v>264.65800000000002</v>
      </c>
      <c r="C195" s="67"/>
      <c r="D195" s="68">
        <v>0</v>
      </c>
      <c r="E195" s="110">
        <f t="shared" si="2"/>
        <v>22746</v>
      </c>
    </row>
    <row r="196" spans="1:5" x14ac:dyDescent="0.3">
      <c r="A196" s="24">
        <v>35074</v>
      </c>
      <c r="B196" s="66">
        <v>264.65800000000002</v>
      </c>
      <c r="C196" s="67"/>
      <c r="D196" s="68">
        <v>0</v>
      </c>
      <c r="E196" s="110">
        <f t="shared" ref="E196:E259" si="3">+E195</f>
        <v>22746</v>
      </c>
    </row>
    <row r="197" spans="1:5" x14ac:dyDescent="0.3">
      <c r="A197" s="24">
        <v>35075</v>
      </c>
      <c r="B197" s="66">
        <v>264.65800000000002</v>
      </c>
      <c r="C197" s="67"/>
      <c r="D197" s="68">
        <v>0</v>
      </c>
      <c r="E197" s="110">
        <f t="shared" si="3"/>
        <v>22746</v>
      </c>
    </row>
    <row r="198" spans="1:5" x14ac:dyDescent="0.3">
      <c r="A198" s="24">
        <v>35076</v>
      </c>
      <c r="B198" s="66">
        <v>264.65800000000002</v>
      </c>
      <c r="C198" s="67"/>
      <c r="D198" s="68">
        <v>0</v>
      </c>
      <c r="E198" s="110">
        <f t="shared" si="3"/>
        <v>22746</v>
      </c>
    </row>
    <row r="199" spans="1:5" x14ac:dyDescent="0.3">
      <c r="A199" s="24">
        <v>35077</v>
      </c>
      <c r="B199" s="66">
        <v>264.65800000000002</v>
      </c>
      <c r="C199" s="67"/>
      <c r="D199" s="68">
        <v>0</v>
      </c>
      <c r="E199" s="110">
        <f t="shared" si="3"/>
        <v>22746</v>
      </c>
    </row>
    <row r="200" spans="1:5" x14ac:dyDescent="0.3">
      <c r="A200" s="24">
        <v>35078</v>
      </c>
      <c r="B200" s="66">
        <v>264.65800000000002</v>
      </c>
      <c r="C200" s="67"/>
      <c r="D200" s="68">
        <v>0</v>
      </c>
      <c r="E200" s="110">
        <f t="shared" si="3"/>
        <v>22746</v>
      </c>
    </row>
    <row r="201" spans="1:5" x14ac:dyDescent="0.3">
      <c r="A201" s="24">
        <v>35079</v>
      </c>
      <c r="B201" s="66">
        <v>264.65800000000002</v>
      </c>
      <c r="C201" s="67"/>
      <c r="D201" s="68">
        <v>0</v>
      </c>
      <c r="E201" s="110">
        <f t="shared" si="3"/>
        <v>22746</v>
      </c>
    </row>
    <row r="202" spans="1:5" x14ac:dyDescent="0.3">
      <c r="A202" s="24">
        <v>35080</v>
      </c>
      <c r="B202" s="66">
        <v>264.65800000000002</v>
      </c>
      <c r="C202" s="67"/>
      <c r="D202" s="68">
        <v>0</v>
      </c>
      <c r="E202" s="110">
        <f t="shared" si="3"/>
        <v>22746</v>
      </c>
    </row>
    <row r="203" spans="1:5" x14ac:dyDescent="0.3">
      <c r="A203" s="24">
        <v>35081</v>
      </c>
      <c r="B203" s="66">
        <v>264.65800000000002</v>
      </c>
      <c r="C203" s="67"/>
      <c r="D203" s="68">
        <v>0</v>
      </c>
      <c r="E203" s="110">
        <f t="shared" si="3"/>
        <v>22746</v>
      </c>
    </row>
    <row r="204" spans="1:5" x14ac:dyDescent="0.3">
      <c r="A204" s="24">
        <v>35082</v>
      </c>
      <c r="B204" s="66">
        <v>264.65800000000002</v>
      </c>
      <c r="C204" s="67"/>
      <c r="D204" s="68">
        <v>0</v>
      </c>
      <c r="E204" s="110">
        <f t="shared" si="3"/>
        <v>22746</v>
      </c>
    </row>
    <row r="205" spans="1:5" x14ac:dyDescent="0.3">
      <c r="A205" s="24">
        <v>35083</v>
      </c>
      <c r="B205" s="66">
        <v>264.65800000000002</v>
      </c>
      <c r="C205" s="67"/>
      <c r="D205" s="68">
        <v>0</v>
      </c>
      <c r="E205" s="110">
        <f t="shared" si="3"/>
        <v>22746</v>
      </c>
    </row>
    <row r="206" spans="1:5" x14ac:dyDescent="0.3">
      <c r="A206" s="24">
        <v>35084</v>
      </c>
      <c r="B206" s="66">
        <v>264.65800000000002</v>
      </c>
      <c r="C206" s="67"/>
      <c r="D206" s="68">
        <v>0</v>
      </c>
      <c r="E206" s="110">
        <f t="shared" si="3"/>
        <v>22746</v>
      </c>
    </row>
    <row r="207" spans="1:5" x14ac:dyDescent="0.3">
      <c r="A207" s="24">
        <v>35085</v>
      </c>
      <c r="B207" s="66">
        <v>264.65800000000002</v>
      </c>
      <c r="C207" s="67"/>
      <c r="D207" s="68">
        <v>0</v>
      </c>
      <c r="E207" s="110">
        <f t="shared" si="3"/>
        <v>22746</v>
      </c>
    </row>
    <row r="208" spans="1:5" x14ac:dyDescent="0.3">
      <c r="A208" s="24">
        <v>35086</v>
      </c>
      <c r="B208" s="66">
        <v>264.65800000000002</v>
      </c>
      <c r="C208" s="67"/>
      <c r="D208" s="68">
        <v>0</v>
      </c>
      <c r="E208" s="110">
        <f t="shared" si="3"/>
        <v>22746</v>
      </c>
    </row>
    <row r="209" spans="1:5" x14ac:dyDescent="0.3">
      <c r="A209" s="24">
        <v>35087</v>
      </c>
      <c r="B209" s="66">
        <v>264.65800000000002</v>
      </c>
      <c r="C209" s="67"/>
      <c r="D209" s="68">
        <v>0</v>
      </c>
      <c r="E209" s="110">
        <f t="shared" si="3"/>
        <v>22746</v>
      </c>
    </row>
    <row r="210" spans="1:5" x14ac:dyDescent="0.3">
      <c r="A210" s="24">
        <v>35088</v>
      </c>
      <c r="B210" s="66">
        <v>264.65800000000002</v>
      </c>
      <c r="C210" s="67"/>
      <c r="D210" s="68">
        <v>0</v>
      </c>
      <c r="E210" s="110">
        <f t="shared" si="3"/>
        <v>22746</v>
      </c>
    </row>
    <row r="211" spans="1:5" x14ac:dyDescent="0.3">
      <c r="A211" s="24">
        <v>35089</v>
      </c>
      <c r="B211" s="66">
        <v>264.65800000000002</v>
      </c>
      <c r="C211" s="67"/>
      <c r="D211" s="68">
        <v>0</v>
      </c>
      <c r="E211" s="110">
        <f t="shared" si="3"/>
        <v>22746</v>
      </c>
    </row>
    <row r="212" spans="1:5" x14ac:dyDescent="0.3">
      <c r="A212" s="24">
        <v>35090</v>
      </c>
      <c r="B212" s="66">
        <v>264.65800000000002</v>
      </c>
      <c r="C212" s="67"/>
      <c r="D212" s="68">
        <v>0</v>
      </c>
      <c r="E212" s="110">
        <f t="shared" si="3"/>
        <v>22746</v>
      </c>
    </row>
    <row r="213" spans="1:5" x14ac:dyDescent="0.3">
      <c r="A213" s="24">
        <v>35091</v>
      </c>
      <c r="B213" s="66">
        <v>264.65800000000002</v>
      </c>
      <c r="C213" s="67"/>
      <c r="D213" s="68">
        <v>0</v>
      </c>
      <c r="E213" s="110">
        <f t="shared" si="3"/>
        <v>22746</v>
      </c>
    </row>
    <row r="214" spans="1:5" x14ac:dyDescent="0.3">
      <c r="A214" s="24">
        <v>35092</v>
      </c>
      <c r="B214" s="66">
        <v>264.65800000000002</v>
      </c>
      <c r="C214" s="67"/>
      <c r="D214" s="68">
        <v>0</v>
      </c>
      <c r="E214" s="110">
        <f t="shared" si="3"/>
        <v>22746</v>
      </c>
    </row>
    <row r="215" spans="1:5" x14ac:dyDescent="0.3">
      <c r="A215" s="24">
        <v>35093</v>
      </c>
      <c r="B215" s="66">
        <v>264.65800000000002</v>
      </c>
      <c r="C215" s="67"/>
      <c r="D215" s="68">
        <v>0</v>
      </c>
      <c r="E215" s="110">
        <f t="shared" si="3"/>
        <v>22746</v>
      </c>
    </row>
    <row r="216" spans="1:5" x14ac:dyDescent="0.3">
      <c r="A216" s="24">
        <v>35094</v>
      </c>
      <c r="B216" s="66">
        <v>264.65800000000002</v>
      </c>
      <c r="C216" s="67"/>
      <c r="D216" s="68">
        <v>0</v>
      </c>
      <c r="E216" s="110">
        <f t="shared" si="3"/>
        <v>22746</v>
      </c>
    </row>
    <row r="217" spans="1:5" x14ac:dyDescent="0.3">
      <c r="A217" s="24">
        <v>35095</v>
      </c>
      <c r="B217" s="66">
        <v>264.65800000000002</v>
      </c>
      <c r="C217" s="67"/>
      <c r="D217" s="68">
        <v>0</v>
      </c>
      <c r="E217" s="110">
        <f t="shared" si="3"/>
        <v>22746</v>
      </c>
    </row>
    <row r="218" spans="1:5" x14ac:dyDescent="0.3">
      <c r="A218" s="24">
        <v>35096</v>
      </c>
      <c r="B218" s="66">
        <v>264.65800000000002</v>
      </c>
      <c r="C218" s="67"/>
      <c r="D218" s="68">
        <v>0</v>
      </c>
      <c r="E218" s="110">
        <f t="shared" si="3"/>
        <v>22746</v>
      </c>
    </row>
    <row r="219" spans="1:5" x14ac:dyDescent="0.3">
      <c r="A219" s="24">
        <v>35097</v>
      </c>
      <c r="B219" s="66">
        <v>264.65800000000002</v>
      </c>
      <c r="C219" s="67"/>
      <c r="D219" s="68">
        <v>0</v>
      </c>
      <c r="E219" s="110">
        <f t="shared" si="3"/>
        <v>22746</v>
      </c>
    </row>
    <row r="220" spans="1:5" x14ac:dyDescent="0.3">
      <c r="A220" s="24">
        <v>35098</v>
      </c>
      <c r="B220" s="66">
        <v>264.65800000000002</v>
      </c>
      <c r="C220" s="67"/>
      <c r="D220" s="68">
        <v>0</v>
      </c>
      <c r="E220" s="110">
        <f t="shared" si="3"/>
        <v>22746</v>
      </c>
    </row>
    <row r="221" spans="1:5" x14ac:dyDescent="0.3">
      <c r="A221" s="24">
        <v>35099</v>
      </c>
      <c r="B221" s="66">
        <v>264.65800000000002</v>
      </c>
      <c r="C221" s="67"/>
      <c r="D221" s="68">
        <v>0</v>
      </c>
      <c r="E221" s="110">
        <f t="shared" si="3"/>
        <v>22746</v>
      </c>
    </row>
    <row r="222" spans="1:5" x14ac:dyDescent="0.3">
      <c r="A222" s="24">
        <v>35100</v>
      </c>
      <c r="B222" s="66">
        <v>264.65800000000002</v>
      </c>
      <c r="C222" s="67"/>
      <c r="D222" s="68">
        <v>0</v>
      </c>
      <c r="E222" s="110">
        <f t="shared" si="3"/>
        <v>22746</v>
      </c>
    </row>
    <row r="223" spans="1:5" x14ac:dyDescent="0.3">
      <c r="A223" s="24">
        <v>35101</v>
      </c>
      <c r="B223" s="66">
        <v>264.65800000000002</v>
      </c>
      <c r="C223" s="67"/>
      <c r="D223" s="68">
        <v>0</v>
      </c>
      <c r="E223" s="110">
        <f t="shared" si="3"/>
        <v>22746</v>
      </c>
    </row>
    <row r="224" spans="1:5" x14ac:dyDescent="0.3">
      <c r="A224" s="24">
        <v>35102</v>
      </c>
      <c r="B224" s="66">
        <v>264.65800000000002</v>
      </c>
      <c r="C224" s="67"/>
      <c r="D224" s="68">
        <v>0</v>
      </c>
      <c r="E224" s="110">
        <f t="shared" si="3"/>
        <v>22746</v>
      </c>
    </row>
    <row r="225" spans="1:5" x14ac:dyDescent="0.3">
      <c r="A225" s="24">
        <v>35103</v>
      </c>
      <c r="B225" s="66">
        <v>264.65800000000002</v>
      </c>
      <c r="C225" s="67"/>
      <c r="D225" s="68">
        <v>0</v>
      </c>
      <c r="E225" s="110">
        <f t="shared" si="3"/>
        <v>22746</v>
      </c>
    </row>
    <row r="226" spans="1:5" x14ac:dyDescent="0.3">
      <c r="A226" s="24">
        <v>35104</v>
      </c>
      <c r="B226" s="66">
        <v>264.65800000000002</v>
      </c>
      <c r="C226" s="67"/>
      <c r="D226" s="68">
        <v>0</v>
      </c>
      <c r="E226" s="110">
        <f t="shared" si="3"/>
        <v>22746</v>
      </c>
    </row>
    <row r="227" spans="1:5" x14ac:dyDescent="0.3">
      <c r="A227" s="24">
        <v>35105</v>
      </c>
      <c r="B227" s="66">
        <v>264.65800000000002</v>
      </c>
      <c r="C227" s="67"/>
      <c r="D227" s="68">
        <v>0</v>
      </c>
      <c r="E227" s="110">
        <f t="shared" si="3"/>
        <v>22746</v>
      </c>
    </row>
    <row r="228" spans="1:5" x14ac:dyDescent="0.3">
      <c r="A228" s="24">
        <v>35106</v>
      </c>
      <c r="B228" s="66">
        <v>264.65800000000002</v>
      </c>
      <c r="C228" s="67"/>
      <c r="D228" s="68">
        <v>0</v>
      </c>
      <c r="E228" s="110">
        <f t="shared" si="3"/>
        <v>22746</v>
      </c>
    </row>
    <row r="229" spans="1:5" x14ac:dyDescent="0.3">
      <c r="A229" s="24">
        <v>35107</v>
      </c>
      <c r="B229" s="66">
        <v>264.65800000000002</v>
      </c>
      <c r="C229" s="67"/>
      <c r="D229" s="68">
        <v>0</v>
      </c>
      <c r="E229" s="110">
        <f t="shared" si="3"/>
        <v>22746</v>
      </c>
    </row>
    <row r="230" spans="1:5" x14ac:dyDescent="0.3">
      <c r="A230" s="24">
        <v>35108</v>
      </c>
      <c r="B230" s="66">
        <v>264.65800000000002</v>
      </c>
      <c r="C230" s="67"/>
      <c r="D230" s="68">
        <v>0</v>
      </c>
      <c r="E230" s="110">
        <f t="shared" si="3"/>
        <v>22746</v>
      </c>
    </row>
    <row r="231" spans="1:5" x14ac:dyDescent="0.3">
      <c r="A231" s="24">
        <v>35109</v>
      </c>
      <c r="B231" s="66">
        <v>264.65800000000002</v>
      </c>
      <c r="C231" s="67"/>
      <c r="D231" s="68">
        <v>0</v>
      </c>
      <c r="E231" s="110">
        <f t="shared" si="3"/>
        <v>22746</v>
      </c>
    </row>
    <row r="232" spans="1:5" x14ac:dyDescent="0.3">
      <c r="A232" s="24">
        <v>35110</v>
      </c>
      <c r="B232" s="66">
        <v>264.65800000000002</v>
      </c>
      <c r="C232" s="67"/>
      <c r="D232" s="68">
        <v>0</v>
      </c>
      <c r="E232" s="110">
        <f t="shared" si="3"/>
        <v>22746</v>
      </c>
    </row>
    <row r="233" spans="1:5" x14ac:dyDescent="0.3">
      <c r="A233" s="24">
        <v>35111</v>
      </c>
      <c r="B233" s="66">
        <v>264.65800000000002</v>
      </c>
      <c r="C233" s="67"/>
      <c r="D233" s="68">
        <v>0</v>
      </c>
      <c r="E233" s="110">
        <f t="shared" si="3"/>
        <v>22746</v>
      </c>
    </row>
    <row r="234" spans="1:5" x14ac:dyDescent="0.3">
      <c r="A234" s="24">
        <v>35112</v>
      </c>
      <c r="B234" s="66">
        <v>264.65800000000002</v>
      </c>
      <c r="C234" s="67"/>
      <c r="D234" s="68">
        <v>0</v>
      </c>
      <c r="E234" s="110">
        <f t="shared" si="3"/>
        <v>22746</v>
      </c>
    </row>
    <row r="235" spans="1:5" x14ac:dyDescent="0.3">
      <c r="A235" s="24">
        <v>35113</v>
      </c>
      <c r="B235" s="66">
        <v>264.65800000000002</v>
      </c>
      <c r="C235" s="67"/>
      <c r="D235" s="68">
        <v>0</v>
      </c>
      <c r="E235" s="110">
        <f t="shared" si="3"/>
        <v>22746</v>
      </c>
    </row>
    <row r="236" spans="1:5" x14ac:dyDescent="0.3">
      <c r="A236" s="24">
        <v>35114</v>
      </c>
      <c r="B236" s="66">
        <v>264.65800000000002</v>
      </c>
      <c r="C236" s="67"/>
      <c r="D236" s="68">
        <v>0</v>
      </c>
      <c r="E236" s="110">
        <f t="shared" si="3"/>
        <v>22746</v>
      </c>
    </row>
    <row r="237" spans="1:5" x14ac:dyDescent="0.3">
      <c r="A237" s="24">
        <v>35115</v>
      </c>
      <c r="B237" s="66">
        <v>264.65800000000002</v>
      </c>
      <c r="C237" s="67"/>
      <c r="D237" s="68">
        <v>0</v>
      </c>
      <c r="E237" s="110">
        <f t="shared" si="3"/>
        <v>22746</v>
      </c>
    </row>
    <row r="238" spans="1:5" x14ac:dyDescent="0.3">
      <c r="A238" s="24">
        <v>35116</v>
      </c>
      <c r="B238" s="66">
        <v>264.65800000000002</v>
      </c>
      <c r="C238" s="67"/>
      <c r="D238" s="68">
        <v>0</v>
      </c>
      <c r="E238" s="110">
        <f t="shared" si="3"/>
        <v>22746</v>
      </c>
    </row>
    <row r="239" spans="1:5" x14ac:dyDescent="0.3">
      <c r="A239" s="24">
        <v>35117</v>
      </c>
      <c r="B239" s="66">
        <v>264.65800000000002</v>
      </c>
      <c r="C239" s="67"/>
      <c r="D239" s="68">
        <v>0</v>
      </c>
      <c r="E239" s="110">
        <f t="shared" si="3"/>
        <v>22746</v>
      </c>
    </row>
    <row r="240" spans="1:5" x14ac:dyDescent="0.3">
      <c r="A240" s="24">
        <v>35118</v>
      </c>
      <c r="B240" s="66">
        <v>264.65800000000002</v>
      </c>
      <c r="C240" s="67"/>
      <c r="D240" s="68">
        <v>0</v>
      </c>
      <c r="E240" s="110">
        <f t="shared" si="3"/>
        <v>22746</v>
      </c>
    </row>
    <row r="241" spans="1:5" x14ac:dyDescent="0.3">
      <c r="A241" s="24">
        <v>35119</v>
      </c>
      <c r="B241" s="66">
        <v>264.65800000000002</v>
      </c>
      <c r="C241" s="67"/>
      <c r="D241" s="68">
        <v>0</v>
      </c>
      <c r="E241" s="110">
        <f t="shared" si="3"/>
        <v>22746</v>
      </c>
    </row>
    <row r="242" spans="1:5" x14ac:dyDescent="0.3">
      <c r="A242" s="24">
        <v>35120</v>
      </c>
      <c r="B242" s="66">
        <v>264.65800000000002</v>
      </c>
      <c r="C242" s="67"/>
      <c r="D242" s="68">
        <v>0</v>
      </c>
      <c r="E242" s="110">
        <f t="shared" si="3"/>
        <v>22746</v>
      </c>
    </row>
    <row r="243" spans="1:5" x14ac:dyDescent="0.3">
      <c r="A243" s="24">
        <v>35121</v>
      </c>
      <c r="B243" s="66">
        <v>264.65800000000002</v>
      </c>
      <c r="C243" s="67"/>
      <c r="D243" s="68">
        <v>0</v>
      </c>
      <c r="E243" s="110">
        <f t="shared" si="3"/>
        <v>22746</v>
      </c>
    </row>
    <row r="244" spans="1:5" x14ac:dyDescent="0.3">
      <c r="A244" s="24">
        <v>35122</v>
      </c>
      <c r="B244" s="66">
        <v>264.65800000000002</v>
      </c>
      <c r="C244" s="67"/>
      <c r="D244" s="68">
        <v>0</v>
      </c>
      <c r="E244" s="110">
        <f t="shared" si="3"/>
        <v>22746</v>
      </c>
    </row>
    <row r="245" spans="1:5" x14ac:dyDescent="0.3">
      <c r="A245" s="24">
        <v>35123</v>
      </c>
      <c r="B245" s="66">
        <v>264.65800000000002</v>
      </c>
      <c r="C245" s="67"/>
      <c r="D245" s="68">
        <v>0</v>
      </c>
      <c r="E245" s="110">
        <f t="shared" si="3"/>
        <v>22746</v>
      </c>
    </row>
    <row r="246" spans="1:5" x14ac:dyDescent="0.3">
      <c r="A246" s="24">
        <v>35124</v>
      </c>
      <c r="B246" s="66">
        <v>264.65800000000002</v>
      </c>
      <c r="C246" s="67"/>
      <c r="D246" s="68">
        <v>0</v>
      </c>
      <c r="E246" s="110">
        <f t="shared" si="3"/>
        <v>22746</v>
      </c>
    </row>
    <row r="247" spans="1:5" x14ac:dyDescent="0.3">
      <c r="A247" s="24">
        <v>35125</v>
      </c>
      <c r="B247" s="66">
        <v>264.65800000000002</v>
      </c>
      <c r="C247" s="67"/>
      <c r="D247" s="68">
        <v>0</v>
      </c>
      <c r="E247" s="110">
        <f t="shared" si="3"/>
        <v>22746</v>
      </c>
    </row>
    <row r="248" spans="1:5" x14ac:dyDescent="0.3">
      <c r="A248" s="24">
        <v>35126</v>
      </c>
      <c r="B248" s="66">
        <v>264.65800000000002</v>
      </c>
      <c r="C248" s="67"/>
      <c r="D248" s="68">
        <v>0</v>
      </c>
      <c r="E248" s="110">
        <f t="shared" si="3"/>
        <v>22746</v>
      </c>
    </row>
    <row r="249" spans="1:5" x14ac:dyDescent="0.3">
      <c r="A249" s="24">
        <v>35127</v>
      </c>
      <c r="B249" s="66">
        <v>264.65800000000002</v>
      </c>
      <c r="C249" s="67"/>
      <c r="D249" s="68">
        <v>0</v>
      </c>
      <c r="E249" s="110">
        <f t="shared" si="3"/>
        <v>22746</v>
      </c>
    </row>
    <row r="250" spans="1:5" x14ac:dyDescent="0.3">
      <c r="A250" s="24">
        <v>35128</v>
      </c>
      <c r="B250" s="66">
        <v>264.65800000000002</v>
      </c>
      <c r="C250" s="67"/>
      <c r="D250" s="68">
        <v>0</v>
      </c>
      <c r="E250" s="110">
        <f t="shared" si="3"/>
        <v>22746</v>
      </c>
    </row>
    <row r="251" spans="1:5" x14ac:dyDescent="0.3">
      <c r="A251" s="24">
        <v>35129</v>
      </c>
      <c r="B251" s="66">
        <v>264.65800000000002</v>
      </c>
      <c r="C251" s="67"/>
      <c r="D251" s="68">
        <v>0</v>
      </c>
      <c r="E251" s="110">
        <f t="shared" si="3"/>
        <v>22746</v>
      </c>
    </row>
    <row r="252" spans="1:5" x14ac:dyDescent="0.3">
      <c r="A252" s="24">
        <v>35130</v>
      </c>
      <c r="B252" s="66">
        <v>264.65800000000002</v>
      </c>
      <c r="C252" s="67"/>
      <c r="D252" s="68">
        <v>0</v>
      </c>
      <c r="E252" s="110">
        <f t="shared" si="3"/>
        <v>22746</v>
      </c>
    </row>
    <row r="253" spans="1:5" x14ac:dyDescent="0.3">
      <c r="A253" s="24">
        <v>35131</v>
      </c>
      <c r="B253" s="66">
        <v>264.65800000000002</v>
      </c>
      <c r="C253" s="67"/>
      <c r="D253" s="68">
        <v>0</v>
      </c>
      <c r="E253" s="110">
        <f t="shared" si="3"/>
        <v>22746</v>
      </c>
    </row>
    <row r="254" spans="1:5" x14ac:dyDescent="0.3">
      <c r="A254" s="24">
        <v>35132</v>
      </c>
      <c r="B254" s="66">
        <v>264.65800000000002</v>
      </c>
      <c r="C254" s="67"/>
      <c r="D254" s="68">
        <v>0</v>
      </c>
      <c r="E254" s="110">
        <f t="shared" si="3"/>
        <v>22746</v>
      </c>
    </row>
    <row r="255" spans="1:5" x14ac:dyDescent="0.3">
      <c r="A255" s="24">
        <v>35133</v>
      </c>
      <c r="B255" s="66">
        <v>264.65800000000002</v>
      </c>
      <c r="C255" s="67"/>
      <c r="D255" s="68">
        <v>0</v>
      </c>
      <c r="E255" s="110">
        <f t="shared" si="3"/>
        <v>22746</v>
      </c>
    </row>
    <row r="256" spans="1:5" x14ac:dyDescent="0.3">
      <c r="A256" s="24">
        <v>35134</v>
      </c>
      <c r="B256" s="66">
        <v>264.65800000000002</v>
      </c>
      <c r="C256" s="67"/>
      <c r="D256" s="68">
        <v>0</v>
      </c>
      <c r="E256" s="110">
        <f t="shared" si="3"/>
        <v>22746</v>
      </c>
    </row>
    <row r="257" spans="1:5" x14ac:dyDescent="0.3">
      <c r="A257" s="24">
        <v>35135</v>
      </c>
      <c r="B257" s="66">
        <v>264.65800000000002</v>
      </c>
      <c r="C257" s="67"/>
      <c r="D257" s="68">
        <v>0</v>
      </c>
      <c r="E257" s="110">
        <f t="shared" si="3"/>
        <v>22746</v>
      </c>
    </row>
    <row r="258" spans="1:5" x14ac:dyDescent="0.3">
      <c r="A258" s="24">
        <v>35136</v>
      </c>
      <c r="B258" s="66">
        <v>264.65800000000002</v>
      </c>
      <c r="C258" s="67"/>
      <c r="D258" s="68">
        <v>0</v>
      </c>
      <c r="E258" s="110">
        <f t="shared" si="3"/>
        <v>22746</v>
      </c>
    </row>
    <row r="259" spans="1:5" x14ac:dyDescent="0.3">
      <c r="A259" s="24">
        <v>35137</v>
      </c>
      <c r="B259" s="66">
        <v>264.65800000000002</v>
      </c>
      <c r="C259" s="67"/>
      <c r="D259" s="68">
        <v>0</v>
      </c>
      <c r="E259" s="110">
        <f t="shared" si="3"/>
        <v>22746</v>
      </c>
    </row>
    <row r="260" spans="1:5" x14ac:dyDescent="0.3">
      <c r="A260" s="24">
        <v>35138</v>
      </c>
      <c r="B260" s="66">
        <v>264.65800000000002</v>
      </c>
      <c r="C260" s="67"/>
      <c r="D260" s="68">
        <v>0</v>
      </c>
      <c r="E260" s="110">
        <f t="shared" ref="E260:E314" si="4">+E259</f>
        <v>22746</v>
      </c>
    </row>
    <row r="261" spans="1:5" x14ac:dyDescent="0.3">
      <c r="A261" s="24">
        <v>35139</v>
      </c>
      <c r="B261" s="66">
        <v>264.65800000000002</v>
      </c>
      <c r="C261" s="67"/>
      <c r="D261" s="68">
        <v>0</v>
      </c>
      <c r="E261" s="110">
        <f t="shared" si="4"/>
        <v>22746</v>
      </c>
    </row>
    <row r="262" spans="1:5" x14ac:dyDescent="0.3">
      <c r="A262" s="24">
        <v>35140</v>
      </c>
      <c r="B262" s="66">
        <v>264.65800000000002</v>
      </c>
      <c r="C262" s="67"/>
      <c r="D262" s="68">
        <v>0</v>
      </c>
      <c r="E262" s="110">
        <f t="shared" si="4"/>
        <v>22746</v>
      </c>
    </row>
    <row r="263" spans="1:5" x14ac:dyDescent="0.3">
      <c r="A263" s="24">
        <v>35141</v>
      </c>
      <c r="B263" s="66">
        <v>264.65800000000002</v>
      </c>
      <c r="C263" s="67"/>
      <c r="D263" s="68">
        <v>0</v>
      </c>
      <c r="E263" s="110">
        <f t="shared" si="4"/>
        <v>22746</v>
      </c>
    </row>
    <row r="264" spans="1:5" x14ac:dyDescent="0.3">
      <c r="A264" s="24">
        <v>35142</v>
      </c>
      <c r="B264" s="66">
        <v>264.65800000000002</v>
      </c>
      <c r="C264" s="67"/>
      <c r="D264" s="68">
        <v>0</v>
      </c>
      <c r="E264" s="110">
        <f t="shared" si="4"/>
        <v>22746</v>
      </c>
    </row>
    <row r="265" spans="1:5" x14ac:dyDescent="0.3">
      <c r="A265" s="24">
        <v>35143</v>
      </c>
      <c r="B265" s="66">
        <v>264.65800000000002</v>
      </c>
      <c r="C265" s="67"/>
      <c r="D265" s="68">
        <v>0</v>
      </c>
      <c r="E265" s="110">
        <f t="shared" si="4"/>
        <v>22746</v>
      </c>
    </row>
    <row r="266" spans="1:5" x14ac:dyDescent="0.3">
      <c r="A266" s="24">
        <v>35144</v>
      </c>
      <c r="B266" s="66">
        <v>264.65800000000002</v>
      </c>
      <c r="C266" s="67"/>
      <c r="D266" s="68">
        <v>0</v>
      </c>
      <c r="E266" s="110">
        <f t="shared" si="4"/>
        <v>22746</v>
      </c>
    </row>
    <row r="267" spans="1:5" x14ac:dyDescent="0.3">
      <c r="A267" s="24">
        <v>35145</v>
      </c>
      <c r="B267" s="66">
        <v>264.65800000000002</v>
      </c>
      <c r="C267" s="67"/>
      <c r="D267" s="68">
        <v>0</v>
      </c>
      <c r="E267" s="110">
        <f t="shared" si="4"/>
        <v>22746</v>
      </c>
    </row>
    <row r="268" spans="1:5" x14ac:dyDescent="0.3">
      <c r="A268" s="24">
        <v>35146</v>
      </c>
      <c r="B268" s="66">
        <v>264.65800000000002</v>
      </c>
      <c r="C268" s="67"/>
      <c r="D268" s="68">
        <v>0</v>
      </c>
      <c r="E268" s="110">
        <f t="shared" si="4"/>
        <v>22746</v>
      </c>
    </row>
    <row r="269" spans="1:5" x14ac:dyDescent="0.3">
      <c r="A269" s="24">
        <v>35147</v>
      </c>
      <c r="B269" s="66">
        <v>264.65800000000002</v>
      </c>
      <c r="C269" s="67"/>
      <c r="D269" s="68">
        <v>0</v>
      </c>
      <c r="E269" s="110">
        <f t="shared" si="4"/>
        <v>22746</v>
      </c>
    </row>
    <row r="270" spans="1:5" x14ac:dyDescent="0.3">
      <c r="A270" s="24">
        <v>35148</v>
      </c>
      <c r="B270" s="66">
        <v>264.65800000000002</v>
      </c>
      <c r="C270" s="67"/>
      <c r="D270" s="68">
        <v>0</v>
      </c>
      <c r="E270" s="110">
        <f t="shared" si="4"/>
        <v>22746</v>
      </c>
    </row>
    <row r="271" spans="1:5" x14ac:dyDescent="0.3">
      <c r="A271" s="24">
        <v>35149</v>
      </c>
      <c r="B271" s="66">
        <v>264.65800000000002</v>
      </c>
      <c r="C271" s="67"/>
      <c r="D271" s="68">
        <v>0</v>
      </c>
      <c r="E271" s="110">
        <f t="shared" si="4"/>
        <v>22746</v>
      </c>
    </row>
    <row r="272" spans="1:5" x14ac:dyDescent="0.3">
      <c r="A272" s="24">
        <v>35150</v>
      </c>
      <c r="B272" s="66">
        <v>264.65800000000002</v>
      </c>
      <c r="C272" s="67"/>
      <c r="D272" s="68">
        <v>0</v>
      </c>
      <c r="E272" s="110">
        <f t="shared" si="4"/>
        <v>22746</v>
      </c>
    </row>
    <row r="273" spans="1:5" x14ac:dyDescent="0.3">
      <c r="A273" s="24">
        <v>35151</v>
      </c>
      <c r="B273" s="66">
        <v>264.65800000000002</v>
      </c>
      <c r="C273" s="67"/>
      <c r="D273" s="68">
        <v>0</v>
      </c>
      <c r="E273" s="110">
        <f t="shared" si="4"/>
        <v>22746</v>
      </c>
    </row>
    <row r="274" spans="1:5" x14ac:dyDescent="0.3">
      <c r="A274" s="24">
        <v>35152</v>
      </c>
      <c r="B274" s="66">
        <v>264.65800000000002</v>
      </c>
      <c r="C274" s="67"/>
      <c r="D274" s="68">
        <v>0</v>
      </c>
      <c r="E274" s="110">
        <f t="shared" si="4"/>
        <v>22746</v>
      </c>
    </row>
    <row r="275" spans="1:5" x14ac:dyDescent="0.3">
      <c r="A275" s="24">
        <v>35153</v>
      </c>
      <c r="B275" s="66">
        <v>264.65800000000002</v>
      </c>
      <c r="C275" s="67"/>
      <c r="D275" s="68">
        <v>0</v>
      </c>
      <c r="E275" s="110">
        <f t="shared" si="4"/>
        <v>22746</v>
      </c>
    </row>
    <row r="276" spans="1:5" x14ac:dyDescent="0.3">
      <c r="A276" s="24">
        <v>35154</v>
      </c>
      <c r="B276" s="66">
        <v>264.65800000000002</v>
      </c>
      <c r="C276" s="67"/>
      <c r="D276" s="68">
        <v>0</v>
      </c>
      <c r="E276" s="110">
        <f t="shared" si="4"/>
        <v>22746</v>
      </c>
    </row>
    <row r="277" spans="1:5" x14ac:dyDescent="0.3">
      <c r="A277" s="24">
        <v>35155</v>
      </c>
      <c r="B277" s="66">
        <v>270.24200000000002</v>
      </c>
      <c r="C277" s="67"/>
      <c r="D277" s="68">
        <v>0</v>
      </c>
      <c r="E277" s="110">
        <f t="shared" si="4"/>
        <v>22746</v>
      </c>
    </row>
    <row r="278" spans="1:5" x14ac:dyDescent="0.3">
      <c r="A278" s="24">
        <v>35156</v>
      </c>
      <c r="B278" s="66">
        <v>270.24200000000002</v>
      </c>
      <c r="C278" s="67"/>
      <c r="D278" s="68">
        <v>0</v>
      </c>
      <c r="E278" s="110">
        <f t="shared" si="4"/>
        <v>22746</v>
      </c>
    </row>
    <row r="279" spans="1:5" x14ac:dyDescent="0.3">
      <c r="A279" s="24">
        <v>35157</v>
      </c>
      <c r="B279" s="66">
        <v>270.24200000000002</v>
      </c>
      <c r="C279" s="67"/>
      <c r="D279" s="68">
        <v>0</v>
      </c>
      <c r="E279" s="110">
        <f t="shared" si="4"/>
        <v>22746</v>
      </c>
    </row>
    <row r="280" spans="1:5" x14ac:dyDescent="0.3">
      <c r="A280" s="24">
        <v>35158</v>
      </c>
      <c r="B280" s="66">
        <v>270.24200000000002</v>
      </c>
      <c r="C280" s="67"/>
      <c r="D280" s="68">
        <v>0</v>
      </c>
      <c r="E280" s="110">
        <f t="shared" si="4"/>
        <v>22746</v>
      </c>
    </row>
    <row r="281" spans="1:5" x14ac:dyDescent="0.3">
      <c r="A281" s="24">
        <v>35159</v>
      </c>
      <c r="B281" s="66">
        <v>270.24200000000002</v>
      </c>
      <c r="C281" s="67"/>
      <c r="D281" s="68">
        <v>0</v>
      </c>
      <c r="E281" s="110">
        <f t="shared" si="4"/>
        <v>22746</v>
      </c>
    </row>
    <row r="282" spans="1:5" x14ac:dyDescent="0.3">
      <c r="A282" s="24">
        <v>35160</v>
      </c>
      <c r="B282" s="66">
        <v>270.24200000000002</v>
      </c>
      <c r="C282" s="67"/>
      <c r="D282" s="68">
        <v>0</v>
      </c>
      <c r="E282" s="110">
        <f t="shared" si="4"/>
        <v>22746</v>
      </c>
    </row>
    <row r="283" spans="1:5" x14ac:dyDescent="0.3">
      <c r="A283" s="24">
        <v>35161</v>
      </c>
      <c r="B283" s="66">
        <v>270.24200000000002</v>
      </c>
      <c r="C283" s="67"/>
      <c r="D283" s="68">
        <v>0</v>
      </c>
      <c r="E283" s="110">
        <f t="shared" si="4"/>
        <v>22746</v>
      </c>
    </row>
    <row r="284" spans="1:5" x14ac:dyDescent="0.3">
      <c r="A284" s="24">
        <v>35162</v>
      </c>
      <c r="B284" s="66">
        <v>270.24200000000002</v>
      </c>
      <c r="C284" s="67"/>
      <c r="D284" s="68">
        <v>0</v>
      </c>
      <c r="E284" s="110">
        <f t="shared" si="4"/>
        <v>22746</v>
      </c>
    </row>
    <row r="285" spans="1:5" x14ac:dyDescent="0.3">
      <c r="A285" s="24">
        <v>35163</v>
      </c>
      <c r="B285" s="66">
        <v>270.24200000000002</v>
      </c>
      <c r="C285" s="67"/>
      <c r="D285" s="68">
        <v>0</v>
      </c>
      <c r="E285" s="110">
        <f t="shared" si="4"/>
        <v>22746</v>
      </c>
    </row>
    <row r="286" spans="1:5" x14ac:dyDescent="0.3">
      <c r="A286" s="24">
        <v>35164</v>
      </c>
      <c r="B286" s="66">
        <v>270.24200000000002</v>
      </c>
      <c r="C286" s="67"/>
      <c r="D286" s="68">
        <v>0</v>
      </c>
      <c r="E286" s="110">
        <f t="shared" si="4"/>
        <v>22746</v>
      </c>
    </row>
    <row r="287" spans="1:5" x14ac:dyDescent="0.3">
      <c r="A287" s="24">
        <v>35165</v>
      </c>
      <c r="B287" s="66">
        <v>270.24200000000002</v>
      </c>
      <c r="C287" s="67"/>
      <c r="D287" s="68">
        <v>0</v>
      </c>
      <c r="E287" s="110">
        <f t="shared" si="4"/>
        <v>22746</v>
      </c>
    </row>
    <row r="288" spans="1:5" x14ac:dyDescent="0.3">
      <c r="A288" s="24">
        <v>35166</v>
      </c>
      <c r="B288" s="66">
        <v>270.24200000000002</v>
      </c>
      <c r="C288" s="67"/>
      <c r="D288" s="68">
        <v>0</v>
      </c>
      <c r="E288" s="110">
        <f t="shared" si="4"/>
        <v>22746</v>
      </c>
    </row>
    <row r="289" spans="1:5" x14ac:dyDescent="0.3">
      <c r="A289" s="24">
        <v>35167</v>
      </c>
      <c r="B289" s="66">
        <v>270.24200000000002</v>
      </c>
      <c r="C289" s="67"/>
      <c r="D289" s="68">
        <v>0</v>
      </c>
      <c r="E289" s="110">
        <f t="shared" si="4"/>
        <v>22746</v>
      </c>
    </row>
    <row r="290" spans="1:5" x14ac:dyDescent="0.3">
      <c r="A290" s="24">
        <v>35168</v>
      </c>
      <c r="B290" s="66">
        <v>270.24200000000002</v>
      </c>
      <c r="C290" s="67"/>
      <c r="D290" s="68">
        <v>0</v>
      </c>
      <c r="E290" s="110">
        <f t="shared" si="4"/>
        <v>22746</v>
      </c>
    </row>
    <row r="291" spans="1:5" x14ac:dyDescent="0.3">
      <c r="A291" s="24">
        <v>35169</v>
      </c>
      <c r="B291" s="66">
        <v>270.24200000000002</v>
      </c>
      <c r="C291" s="67"/>
      <c r="D291" s="68">
        <v>0</v>
      </c>
      <c r="E291" s="110">
        <f t="shared" si="4"/>
        <v>22746</v>
      </c>
    </row>
    <row r="292" spans="1:5" x14ac:dyDescent="0.3">
      <c r="A292" s="24">
        <v>35170</v>
      </c>
      <c r="B292" s="66">
        <v>270.24200000000002</v>
      </c>
      <c r="C292" s="67"/>
      <c r="D292" s="68">
        <v>0</v>
      </c>
      <c r="E292" s="110">
        <f t="shared" si="4"/>
        <v>22746</v>
      </c>
    </row>
    <row r="293" spans="1:5" x14ac:dyDescent="0.3">
      <c r="A293" s="24">
        <v>35171</v>
      </c>
      <c r="B293" s="66">
        <v>270.24200000000002</v>
      </c>
      <c r="C293" s="67"/>
      <c r="D293" s="68">
        <v>0</v>
      </c>
      <c r="E293" s="110">
        <f t="shared" si="4"/>
        <v>22746</v>
      </c>
    </row>
    <row r="294" spans="1:5" x14ac:dyDescent="0.3">
      <c r="A294" s="24">
        <v>35172</v>
      </c>
      <c r="B294" s="66">
        <v>270.24200000000002</v>
      </c>
      <c r="C294" s="67"/>
      <c r="D294" s="68">
        <v>0</v>
      </c>
      <c r="E294" s="110">
        <f t="shared" si="4"/>
        <v>22746</v>
      </c>
    </row>
    <row r="295" spans="1:5" x14ac:dyDescent="0.3">
      <c r="A295" s="24">
        <v>35173</v>
      </c>
      <c r="B295" s="66">
        <v>270.24200000000002</v>
      </c>
      <c r="C295" s="67"/>
      <c r="D295" s="68">
        <v>0</v>
      </c>
      <c r="E295" s="110">
        <f t="shared" si="4"/>
        <v>22746</v>
      </c>
    </row>
    <row r="296" spans="1:5" x14ac:dyDescent="0.3">
      <c r="A296" s="24">
        <v>35174</v>
      </c>
      <c r="B296" s="66">
        <v>270.24200000000002</v>
      </c>
      <c r="C296" s="67"/>
      <c r="D296" s="68">
        <v>0</v>
      </c>
      <c r="E296" s="110">
        <f t="shared" si="4"/>
        <v>22746</v>
      </c>
    </row>
    <row r="297" spans="1:5" x14ac:dyDescent="0.3">
      <c r="A297" s="24">
        <v>35175</v>
      </c>
      <c r="B297" s="66">
        <v>270.24200000000002</v>
      </c>
      <c r="C297" s="67"/>
      <c r="D297" s="68">
        <v>0</v>
      </c>
      <c r="E297" s="110">
        <f t="shared" si="4"/>
        <v>22746</v>
      </c>
    </row>
    <row r="298" spans="1:5" x14ac:dyDescent="0.3">
      <c r="A298" s="24">
        <v>35176</v>
      </c>
      <c r="B298" s="66">
        <v>270.24200000000002</v>
      </c>
      <c r="C298" s="67"/>
      <c r="D298" s="68">
        <v>0</v>
      </c>
      <c r="E298" s="110">
        <f t="shared" si="4"/>
        <v>22746</v>
      </c>
    </row>
    <row r="299" spans="1:5" x14ac:dyDescent="0.3">
      <c r="A299" s="24">
        <v>35177</v>
      </c>
      <c r="B299" s="66">
        <v>270.24200000000002</v>
      </c>
      <c r="C299" s="67"/>
      <c r="D299" s="68">
        <v>0</v>
      </c>
      <c r="E299" s="110">
        <f t="shared" si="4"/>
        <v>22746</v>
      </c>
    </row>
    <row r="300" spans="1:5" x14ac:dyDescent="0.3">
      <c r="A300" s="24">
        <v>35178</v>
      </c>
      <c r="B300" s="66">
        <v>270.24200000000002</v>
      </c>
      <c r="C300" s="67"/>
      <c r="D300" s="68">
        <v>0</v>
      </c>
      <c r="E300" s="110">
        <f t="shared" si="4"/>
        <v>22746</v>
      </c>
    </row>
    <row r="301" spans="1:5" x14ac:dyDescent="0.3">
      <c r="A301" s="24">
        <v>35179</v>
      </c>
      <c r="B301" s="66">
        <v>270.24200000000002</v>
      </c>
      <c r="C301" s="67"/>
      <c r="D301" s="68">
        <v>0</v>
      </c>
      <c r="E301" s="110">
        <f t="shared" si="4"/>
        <v>22746</v>
      </c>
    </row>
    <row r="302" spans="1:5" x14ac:dyDescent="0.3">
      <c r="A302" s="24">
        <v>35180</v>
      </c>
      <c r="B302" s="66">
        <v>270.24200000000002</v>
      </c>
      <c r="C302" s="67"/>
      <c r="D302" s="68">
        <v>0</v>
      </c>
      <c r="E302" s="110">
        <f t="shared" si="4"/>
        <v>22746</v>
      </c>
    </row>
    <row r="303" spans="1:5" x14ac:dyDescent="0.3">
      <c r="A303" s="24">
        <v>35181</v>
      </c>
      <c r="B303" s="66">
        <v>270.24200000000002</v>
      </c>
      <c r="C303" s="67"/>
      <c r="D303" s="68">
        <v>0</v>
      </c>
      <c r="E303" s="110">
        <f t="shared" si="4"/>
        <v>22746</v>
      </c>
    </row>
    <row r="304" spans="1:5" x14ac:dyDescent="0.3">
      <c r="A304" s="24">
        <v>35182</v>
      </c>
      <c r="B304" s="66">
        <v>270.24200000000002</v>
      </c>
      <c r="C304" s="67"/>
      <c r="D304" s="68">
        <v>0</v>
      </c>
      <c r="E304" s="110">
        <f t="shared" si="4"/>
        <v>22746</v>
      </c>
    </row>
    <row r="305" spans="1:5" x14ac:dyDescent="0.3">
      <c r="A305" s="24">
        <v>35183</v>
      </c>
      <c r="B305" s="66">
        <v>270.24200000000002</v>
      </c>
      <c r="C305" s="67"/>
      <c r="D305" s="68">
        <v>0</v>
      </c>
      <c r="E305" s="110">
        <f t="shared" si="4"/>
        <v>22746</v>
      </c>
    </row>
    <row r="306" spans="1:5" x14ac:dyDescent="0.3">
      <c r="A306" s="24">
        <v>35184</v>
      </c>
      <c r="B306" s="66">
        <v>270.24200000000002</v>
      </c>
      <c r="C306" s="67"/>
      <c r="D306" s="68">
        <v>0</v>
      </c>
      <c r="E306" s="110">
        <f t="shared" si="4"/>
        <v>22746</v>
      </c>
    </row>
    <row r="307" spans="1:5" x14ac:dyDescent="0.3">
      <c r="A307" s="24">
        <v>35185</v>
      </c>
      <c r="B307" s="66">
        <v>270.24200000000002</v>
      </c>
      <c r="C307" s="67"/>
      <c r="D307" s="68">
        <v>0</v>
      </c>
      <c r="E307" s="110">
        <f t="shared" si="4"/>
        <v>22746</v>
      </c>
    </row>
    <row r="308" spans="1:5" x14ac:dyDescent="0.3">
      <c r="A308" s="24">
        <v>35186</v>
      </c>
      <c r="B308" s="66">
        <v>270.24200000000002</v>
      </c>
      <c r="C308" s="67"/>
      <c r="D308" s="68">
        <v>0</v>
      </c>
      <c r="E308" s="110">
        <f t="shared" si="4"/>
        <v>22746</v>
      </c>
    </row>
    <row r="309" spans="1:5" x14ac:dyDescent="0.3">
      <c r="A309" s="24">
        <v>35187</v>
      </c>
      <c r="B309" s="66">
        <v>270.24200000000002</v>
      </c>
      <c r="C309" s="67"/>
      <c r="D309" s="68">
        <v>0</v>
      </c>
      <c r="E309" s="110">
        <f t="shared" si="4"/>
        <v>22746</v>
      </c>
    </row>
    <row r="310" spans="1:5" x14ac:dyDescent="0.3">
      <c r="A310" s="24">
        <v>35188</v>
      </c>
      <c r="B310" s="66">
        <v>270.24200000000002</v>
      </c>
      <c r="C310" s="67"/>
      <c r="D310" s="68">
        <v>0</v>
      </c>
      <c r="E310" s="110">
        <f t="shared" si="4"/>
        <v>22746</v>
      </c>
    </row>
    <row r="311" spans="1:5" x14ac:dyDescent="0.3">
      <c r="A311" s="24">
        <v>35189</v>
      </c>
      <c r="B311" s="66">
        <v>270.24200000000002</v>
      </c>
      <c r="C311" s="67"/>
      <c r="D311" s="68">
        <v>0</v>
      </c>
      <c r="E311" s="110">
        <f t="shared" si="4"/>
        <v>22746</v>
      </c>
    </row>
    <row r="312" spans="1:5" x14ac:dyDescent="0.3">
      <c r="A312" s="24">
        <v>35190</v>
      </c>
      <c r="B312" s="66">
        <v>270.24200000000002</v>
      </c>
      <c r="C312" s="67"/>
      <c r="D312" s="68">
        <v>0</v>
      </c>
      <c r="E312" s="110">
        <f t="shared" si="4"/>
        <v>22746</v>
      </c>
    </row>
    <row r="313" spans="1:5" x14ac:dyDescent="0.3">
      <c r="A313" s="24">
        <v>35191</v>
      </c>
      <c r="B313" s="66">
        <v>270.24200000000002</v>
      </c>
      <c r="C313" s="67"/>
      <c r="D313" s="68">
        <v>0</v>
      </c>
      <c r="E313" s="110">
        <f t="shared" si="4"/>
        <v>22746</v>
      </c>
    </row>
    <row r="314" spans="1:5" x14ac:dyDescent="0.3">
      <c r="A314" s="24">
        <v>35192</v>
      </c>
      <c r="B314" s="66">
        <v>270.24200000000002</v>
      </c>
      <c r="C314" s="67"/>
      <c r="D314" s="68">
        <v>0</v>
      </c>
      <c r="E314" s="110">
        <f t="shared" si="4"/>
        <v>22746</v>
      </c>
    </row>
    <row r="315" spans="1:5" x14ac:dyDescent="0.3">
      <c r="A315" s="24">
        <v>35193</v>
      </c>
      <c r="B315" s="66">
        <v>270.24200000000002</v>
      </c>
      <c r="C315" s="67"/>
      <c r="D315" s="68">
        <v>0</v>
      </c>
      <c r="E315" s="110">
        <v>33000</v>
      </c>
    </row>
    <row r="316" spans="1:5" x14ac:dyDescent="0.3">
      <c r="A316" s="24">
        <v>35194</v>
      </c>
      <c r="B316" s="66">
        <v>270.24200000000002</v>
      </c>
      <c r="C316" s="67"/>
      <c r="D316" s="68">
        <v>0</v>
      </c>
      <c r="E316" s="110">
        <f>+E315</f>
        <v>33000</v>
      </c>
    </row>
    <row r="317" spans="1:5" x14ac:dyDescent="0.3">
      <c r="A317" s="24">
        <v>35195</v>
      </c>
      <c r="B317" s="66">
        <v>270.24200000000002</v>
      </c>
      <c r="C317" s="67"/>
      <c r="D317" s="68">
        <v>0</v>
      </c>
      <c r="E317" s="110">
        <f t="shared" ref="E317:E380" si="5">+E316</f>
        <v>33000</v>
      </c>
    </row>
    <row r="318" spans="1:5" x14ac:dyDescent="0.3">
      <c r="A318" s="24">
        <v>35196</v>
      </c>
      <c r="B318" s="66">
        <v>270.24200000000002</v>
      </c>
      <c r="C318" s="67"/>
      <c r="D318" s="68">
        <v>0</v>
      </c>
      <c r="E318" s="110">
        <f t="shared" si="5"/>
        <v>33000</v>
      </c>
    </row>
    <row r="319" spans="1:5" x14ac:dyDescent="0.3">
      <c r="A319" s="24">
        <v>35197</v>
      </c>
      <c r="B319" s="66">
        <v>270.24200000000002</v>
      </c>
      <c r="C319" s="67"/>
      <c r="D319" s="68">
        <v>0</v>
      </c>
      <c r="E319" s="110">
        <f t="shared" si="5"/>
        <v>33000</v>
      </c>
    </row>
    <row r="320" spans="1:5" x14ac:dyDescent="0.3">
      <c r="A320" s="24">
        <v>35198</v>
      </c>
      <c r="B320" s="66">
        <v>270.24200000000002</v>
      </c>
      <c r="C320" s="67"/>
      <c r="D320" s="68">
        <v>0</v>
      </c>
      <c r="E320" s="110">
        <f t="shared" si="5"/>
        <v>33000</v>
      </c>
    </row>
    <row r="321" spans="1:6" x14ac:dyDescent="0.3">
      <c r="A321" s="24">
        <v>35199</v>
      </c>
      <c r="B321" s="66">
        <v>270.24200000000002</v>
      </c>
      <c r="C321" s="67"/>
      <c r="D321" s="68">
        <v>0</v>
      </c>
      <c r="E321" s="110">
        <f t="shared" si="5"/>
        <v>33000</v>
      </c>
    </row>
    <row r="322" spans="1:6" x14ac:dyDescent="0.3">
      <c r="A322" s="24">
        <v>35200</v>
      </c>
      <c r="B322" s="66">
        <v>270.24200000000002</v>
      </c>
      <c r="C322" s="67"/>
      <c r="D322" s="68">
        <v>0</v>
      </c>
      <c r="E322" s="110">
        <f t="shared" si="5"/>
        <v>33000</v>
      </c>
    </row>
    <row r="323" spans="1:6" x14ac:dyDescent="0.3">
      <c r="A323" s="24">
        <v>35201</v>
      </c>
      <c r="B323" s="66">
        <v>270.24200000000002</v>
      </c>
      <c r="C323" s="67"/>
      <c r="D323" s="68">
        <v>4.1742497435621306</v>
      </c>
      <c r="E323" s="110">
        <f t="shared" si="5"/>
        <v>33000</v>
      </c>
      <c r="F323" s="69">
        <v>1.7469354055761867E-2</v>
      </c>
    </row>
    <row r="324" spans="1:6" x14ac:dyDescent="0.3">
      <c r="A324" s="24">
        <v>35202</v>
      </c>
      <c r="B324" s="66">
        <v>270.24200000000002</v>
      </c>
      <c r="C324" s="67"/>
      <c r="D324" s="68">
        <v>0</v>
      </c>
      <c r="E324" s="110">
        <f t="shared" si="5"/>
        <v>33000</v>
      </c>
    </row>
    <row r="325" spans="1:6" x14ac:dyDescent="0.3">
      <c r="A325" s="24">
        <v>35203</v>
      </c>
      <c r="B325" s="66">
        <v>270.24200000000002</v>
      </c>
      <c r="C325" s="67"/>
      <c r="D325" s="68">
        <v>0</v>
      </c>
      <c r="E325" s="110">
        <f t="shared" si="5"/>
        <v>33000</v>
      </c>
    </row>
    <row r="326" spans="1:6" x14ac:dyDescent="0.3">
      <c r="A326" s="24">
        <v>35204</v>
      </c>
      <c r="B326" s="66">
        <v>270.24200000000002</v>
      </c>
      <c r="C326" s="67"/>
      <c r="D326" s="68">
        <v>0</v>
      </c>
      <c r="E326" s="110">
        <f t="shared" si="5"/>
        <v>33000</v>
      </c>
    </row>
    <row r="327" spans="1:6" x14ac:dyDescent="0.3">
      <c r="A327" s="24">
        <v>35205</v>
      </c>
      <c r="B327" s="66">
        <v>270.24200000000002</v>
      </c>
      <c r="C327" s="67"/>
      <c r="D327" s="68">
        <v>0</v>
      </c>
      <c r="E327" s="110">
        <f t="shared" si="5"/>
        <v>33000</v>
      </c>
    </row>
    <row r="328" spans="1:6" x14ac:dyDescent="0.3">
      <c r="A328" s="24">
        <v>35206</v>
      </c>
      <c r="B328" s="66">
        <v>270.24200000000002</v>
      </c>
      <c r="C328" s="67"/>
      <c r="D328" s="68">
        <v>0</v>
      </c>
      <c r="E328" s="110">
        <f t="shared" si="5"/>
        <v>33000</v>
      </c>
    </row>
    <row r="329" spans="1:6" x14ac:dyDescent="0.3">
      <c r="A329" s="24">
        <v>35207</v>
      </c>
      <c r="B329" s="66">
        <v>270.24200000000002</v>
      </c>
      <c r="C329" s="67"/>
      <c r="D329" s="68">
        <v>0</v>
      </c>
      <c r="E329" s="110">
        <f t="shared" si="5"/>
        <v>33000</v>
      </c>
    </row>
    <row r="330" spans="1:6" x14ac:dyDescent="0.3">
      <c r="A330" s="24">
        <v>35208</v>
      </c>
      <c r="B330" s="66">
        <v>270.24200000000002</v>
      </c>
      <c r="C330" s="67"/>
      <c r="D330" s="68">
        <v>0</v>
      </c>
      <c r="E330" s="110">
        <f t="shared" si="5"/>
        <v>33000</v>
      </c>
    </row>
    <row r="331" spans="1:6" x14ac:dyDescent="0.3">
      <c r="A331" s="24">
        <v>35209</v>
      </c>
      <c r="B331" s="66">
        <v>270.24200000000002</v>
      </c>
      <c r="C331" s="67"/>
      <c r="D331" s="68">
        <v>0</v>
      </c>
      <c r="E331" s="110">
        <f t="shared" si="5"/>
        <v>33000</v>
      </c>
    </row>
    <row r="332" spans="1:6" x14ac:dyDescent="0.3">
      <c r="A332" s="24">
        <v>35210</v>
      </c>
      <c r="B332" s="66">
        <v>270.24200000000002</v>
      </c>
      <c r="C332" s="67"/>
      <c r="D332" s="68">
        <v>0</v>
      </c>
      <c r="E332" s="110">
        <f t="shared" si="5"/>
        <v>33000</v>
      </c>
    </row>
    <row r="333" spans="1:6" x14ac:dyDescent="0.3">
      <c r="A333" s="24">
        <v>35211</v>
      </c>
      <c r="B333" s="66">
        <v>270.24200000000002</v>
      </c>
      <c r="C333" s="67"/>
      <c r="D333" s="68">
        <v>0</v>
      </c>
      <c r="E333" s="110">
        <f t="shared" si="5"/>
        <v>33000</v>
      </c>
    </row>
    <row r="334" spans="1:6" x14ac:dyDescent="0.3">
      <c r="A334" s="24">
        <v>35212</v>
      </c>
      <c r="B334" s="66">
        <v>270.24200000000002</v>
      </c>
      <c r="C334" s="67"/>
      <c r="D334" s="68">
        <v>0</v>
      </c>
      <c r="E334" s="110">
        <f t="shared" si="5"/>
        <v>33000</v>
      </c>
    </row>
    <row r="335" spans="1:6" x14ac:dyDescent="0.3">
      <c r="A335" s="24">
        <v>35213</v>
      </c>
      <c r="B335" s="66">
        <v>270.24200000000002</v>
      </c>
      <c r="C335" s="67"/>
      <c r="D335" s="68">
        <v>0</v>
      </c>
      <c r="E335" s="110">
        <f t="shared" si="5"/>
        <v>33000</v>
      </c>
    </row>
    <row r="336" spans="1:6" x14ac:dyDescent="0.3">
      <c r="A336" s="24">
        <v>35214</v>
      </c>
      <c r="B336" s="66">
        <v>270.24200000000002</v>
      </c>
      <c r="C336" s="67"/>
      <c r="D336" s="68">
        <v>0</v>
      </c>
      <c r="E336" s="110">
        <f t="shared" si="5"/>
        <v>33000</v>
      </c>
    </row>
    <row r="337" spans="1:5" x14ac:dyDescent="0.3">
      <c r="A337" s="24">
        <v>35215</v>
      </c>
      <c r="B337" s="66">
        <v>270.24200000000002</v>
      </c>
      <c r="C337" s="67"/>
      <c r="D337" s="68">
        <v>0</v>
      </c>
      <c r="E337" s="110">
        <f t="shared" si="5"/>
        <v>33000</v>
      </c>
    </row>
    <row r="338" spans="1:5" x14ac:dyDescent="0.3">
      <c r="A338" s="24">
        <v>35216</v>
      </c>
      <c r="B338" s="66">
        <v>270.24200000000002</v>
      </c>
      <c r="C338" s="67"/>
      <c r="D338" s="68">
        <v>0</v>
      </c>
      <c r="E338" s="110">
        <f t="shared" si="5"/>
        <v>33000</v>
      </c>
    </row>
    <row r="339" spans="1:5" x14ac:dyDescent="0.3">
      <c r="A339" s="24">
        <v>35217</v>
      </c>
      <c r="B339" s="66">
        <v>270.24200000000002</v>
      </c>
      <c r="C339" s="67"/>
      <c r="D339" s="68">
        <v>0</v>
      </c>
      <c r="E339" s="110">
        <f t="shared" si="5"/>
        <v>33000</v>
      </c>
    </row>
    <row r="340" spans="1:5" x14ac:dyDescent="0.3">
      <c r="A340" s="24">
        <v>35218</v>
      </c>
      <c r="B340" s="66">
        <v>270.24200000000002</v>
      </c>
      <c r="C340" s="67"/>
      <c r="D340" s="68">
        <v>0</v>
      </c>
      <c r="E340" s="110">
        <f t="shared" si="5"/>
        <v>33000</v>
      </c>
    </row>
    <row r="341" spans="1:5" x14ac:dyDescent="0.3">
      <c r="A341" s="24">
        <v>35219</v>
      </c>
      <c r="B341" s="66">
        <v>270.24200000000002</v>
      </c>
      <c r="C341" s="67"/>
      <c r="D341" s="68">
        <v>0</v>
      </c>
      <c r="E341" s="110">
        <f t="shared" si="5"/>
        <v>33000</v>
      </c>
    </row>
    <row r="342" spans="1:5" x14ac:dyDescent="0.3">
      <c r="A342" s="24">
        <v>35220</v>
      </c>
      <c r="B342" s="66">
        <v>270.24200000000002</v>
      </c>
      <c r="C342" s="67"/>
      <c r="D342" s="68">
        <v>0</v>
      </c>
      <c r="E342" s="110">
        <f t="shared" si="5"/>
        <v>33000</v>
      </c>
    </row>
    <row r="343" spans="1:5" x14ac:dyDescent="0.3">
      <c r="A343" s="24">
        <v>35221</v>
      </c>
      <c r="B343" s="66">
        <v>270.24200000000002</v>
      </c>
      <c r="C343" s="67"/>
      <c r="D343" s="68">
        <v>0</v>
      </c>
      <c r="E343" s="110">
        <f t="shared" si="5"/>
        <v>33000</v>
      </c>
    </row>
    <row r="344" spans="1:5" x14ac:dyDescent="0.3">
      <c r="A344" s="24">
        <v>35222</v>
      </c>
      <c r="B344" s="66">
        <v>270.24200000000002</v>
      </c>
      <c r="C344" s="67"/>
      <c r="D344" s="68">
        <v>0</v>
      </c>
      <c r="E344" s="110">
        <f t="shared" si="5"/>
        <v>33000</v>
      </c>
    </row>
    <row r="345" spans="1:5" x14ac:dyDescent="0.3">
      <c r="A345" s="24">
        <v>35223</v>
      </c>
      <c r="B345" s="66">
        <v>270.24200000000002</v>
      </c>
      <c r="C345" s="67"/>
      <c r="D345" s="68">
        <v>0</v>
      </c>
      <c r="E345" s="110">
        <f t="shared" si="5"/>
        <v>33000</v>
      </c>
    </row>
    <row r="346" spans="1:5" x14ac:dyDescent="0.3">
      <c r="A346" s="24">
        <v>35224</v>
      </c>
      <c r="B346" s="66">
        <v>270.24200000000002</v>
      </c>
      <c r="C346" s="67"/>
      <c r="D346" s="68">
        <v>0</v>
      </c>
      <c r="E346" s="110">
        <f t="shared" si="5"/>
        <v>33000</v>
      </c>
    </row>
    <row r="347" spans="1:5" x14ac:dyDescent="0.3">
      <c r="A347" s="24">
        <v>35225</v>
      </c>
      <c r="B347" s="66">
        <v>270.24200000000002</v>
      </c>
      <c r="C347" s="67"/>
      <c r="D347" s="68">
        <v>0</v>
      </c>
      <c r="E347" s="110">
        <f t="shared" si="5"/>
        <v>33000</v>
      </c>
    </row>
    <row r="348" spans="1:5" x14ac:dyDescent="0.3">
      <c r="A348" s="24">
        <v>35226</v>
      </c>
      <c r="B348" s="66">
        <v>270.24200000000002</v>
      </c>
      <c r="C348" s="67"/>
      <c r="D348" s="68">
        <v>0</v>
      </c>
      <c r="E348" s="110">
        <f t="shared" si="5"/>
        <v>33000</v>
      </c>
    </row>
    <row r="349" spans="1:5" x14ac:dyDescent="0.3">
      <c r="A349" s="24">
        <v>35227</v>
      </c>
      <c r="B349" s="66">
        <v>270.24200000000002</v>
      </c>
      <c r="C349" s="67"/>
      <c r="D349" s="68">
        <v>0</v>
      </c>
      <c r="E349" s="110">
        <f t="shared" si="5"/>
        <v>33000</v>
      </c>
    </row>
    <row r="350" spans="1:5" x14ac:dyDescent="0.3">
      <c r="A350" s="24">
        <v>35228</v>
      </c>
      <c r="B350" s="66">
        <v>270.24200000000002</v>
      </c>
      <c r="C350" s="67"/>
      <c r="D350" s="68">
        <v>0</v>
      </c>
      <c r="E350" s="110">
        <f t="shared" si="5"/>
        <v>33000</v>
      </c>
    </row>
    <row r="351" spans="1:5" x14ac:dyDescent="0.3">
      <c r="A351" s="24">
        <v>35229</v>
      </c>
      <c r="B351" s="66">
        <v>270.24200000000002</v>
      </c>
      <c r="C351" s="67"/>
      <c r="D351" s="68">
        <v>0</v>
      </c>
      <c r="E351" s="110">
        <f t="shared" si="5"/>
        <v>33000</v>
      </c>
    </row>
    <row r="352" spans="1:5" x14ac:dyDescent="0.3">
      <c r="A352" s="24">
        <v>35230</v>
      </c>
      <c r="B352" s="66">
        <v>270.24200000000002</v>
      </c>
      <c r="C352" s="67"/>
      <c r="D352" s="68">
        <v>0</v>
      </c>
      <c r="E352" s="110">
        <f t="shared" si="5"/>
        <v>33000</v>
      </c>
    </row>
    <row r="353" spans="1:5" x14ac:dyDescent="0.3">
      <c r="A353" s="24">
        <v>35231</v>
      </c>
      <c r="B353" s="66">
        <v>270.24200000000002</v>
      </c>
      <c r="C353" s="67"/>
      <c r="D353" s="68">
        <v>0</v>
      </c>
      <c r="E353" s="110">
        <f t="shared" si="5"/>
        <v>33000</v>
      </c>
    </row>
    <row r="354" spans="1:5" x14ac:dyDescent="0.3">
      <c r="A354" s="24">
        <v>35232</v>
      </c>
      <c r="B354" s="66">
        <v>270.24200000000002</v>
      </c>
      <c r="C354" s="67"/>
      <c r="D354" s="68">
        <v>0</v>
      </c>
      <c r="E354" s="110">
        <f t="shared" si="5"/>
        <v>33000</v>
      </c>
    </row>
    <row r="355" spans="1:5" x14ac:dyDescent="0.3">
      <c r="A355" s="24">
        <v>35233</v>
      </c>
      <c r="B355" s="66">
        <v>270.24200000000002</v>
      </c>
      <c r="C355" s="67"/>
      <c r="D355" s="68">
        <v>0</v>
      </c>
      <c r="E355" s="110">
        <f t="shared" si="5"/>
        <v>33000</v>
      </c>
    </row>
    <row r="356" spans="1:5" x14ac:dyDescent="0.3">
      <c r="A356" s="24">
        <v>35234</v>
      </c>
      <c r="B356" s="66">
        <v>270.24200000000002</v>
      </c>
      <c r="C356" s="67"/>
      <c r="D356" s="68">
        <v>0</v>
      </c>
      <c r="E356" s="110">
        <f t="shared" si="5"/>
        <v>33000</v>
      </c>
    </row>
    <row r="357" spans="1:5" x14ac:dyDescent="0.3">
      <c r="A357" s="24">
        <v>35235</v>
      </c>
      <c r="B357" s="66">
        <v>270.24200000000002</v>
      </c>
      <c r="C357" s="67"/>
      <c r="D357" s="68">
        <v>0</v>
      </c>
      <c r="E357" s="110">
        <f t="shared" si="5"/>
        <v>33000</v>
      </c>
    </row>
    <row r="358" spans="1:5" x14ac:dyDescent="0.3">
      <c r="A358" s="24">
        <v>35236</v>
      </c>
      <c r="B358" s="66">
        <v>270.24200000000002</v>
      </c>
      <c r="C358" s="67"/>
      <c r="D358" s="68">
        <v>0</v>
      </c>
      <c r="E358" s="110">
        <f t="shared" si="5"/>
        <v>33000</v>
      </c>
    </row>
    <row r="359" spans="1:5" x14ac:dyDescent="0.3">
      <c r="A359" s="24">
        <v>35237</v>
      </c>
      <c r="B359" s="66">
        <v>270.24200000000002</v>
      </c>
      <c r="C359" s="67"/>
      <c r="D359" s="68">
        <v>0</v>
      </c>
      <c r="E359" s="110">
        <f t="shared" si="5"/>
        <v>33000</v>
      </c>
    </row>
    <row r="360" spans="1:5" x14ac:dyDescent="0.3">
      <c r="A360" s="24">
        <v>35238</v>
      </c>
      <c r="B360" s="66">
        <v>270.24200000000002</v>
      </c>
      <c r="C360" s="67"/>
      <c r="D360" s="68">
        <v>0</v>
      </c>
      <c r="E360" s="110">
        <f t="shared" si="5"/>
        <v>33000</v>
      </c>
    </row>
    <row r="361" spans="1:5" x14ac:dyDescent="0.3">
      <c r="A361" s="24">
        <v>35239</v>
      </c>
      <c r="B361" s="66">
        <v>270.24200000000002</v>
      </c>
      <c r="C361" s="67"/>
      <c r="D361" s="68">
        <v>0</v>
      </c>
      <c r="E361" s="110">
        <f t="shared" si="5"/>
        <v>33000</v>
      </c>
    </row>
    <row r="362" spans="1:5" x14ac:dyDescent="0.3">
      <c r="A362" s="24">
        <v>35240</v>
      </c>
      <c r="B362" s="66">
        <v>270.24200000000002</v>
      </c>
      <c r="C362" s="67"/>
      <c r="D362" s="68">
        <v>0</v>
      </c>
      <c r="E362" s="110">
        <f t="shared" si="5"/>
        <v>33000</v>
      </c>
    </row>
    <row r="363" spans="1:5" x14ac:dyDescent="0.3">
      <c r="A363" s="24">
        <v>35241</v>
      </c>
      <c r="B363" s="66">
        <v>270.24200000000002</v>
      </c>
      <c r="C363" s="67"/>
      <c r="D363" s="68">
        <v>0</v>
      </c>
      <c r="E363" s="110">
        <f t="shared" si="5"/>
        <v>33000</v>
      </c>
    </row>
    <row r="364" spans="1:5" x14ac:dyDescent="0.3">
      <c r="A364" s="24">
        <v>35242</v>
      </c>
      <c r="B364" s="66">
        <v>270.24200000000002</v>
      </c>
      <c r="C364" s="67"/>
      <c r="D364" s="68">
        <v>0</v>
      </c>
      <c r="E364" s="110">
        <f t="shared" si="5"/>
        <v>33000</v>
      </c>
    </row>
    <row r="365" spans="1:5" x14ac:dyDescent="0.3">
      <c r="A365" s="24">
        <v>35243</v>
      </c>
      <c r="B365" s="66">
        <v>270.24200000000002</v>
      </c>
      <c r="C365" s="67"/>
      <c r="D365" s="68">
        <v>0</v>
      </c>
      <c r="E365" s="110">
        <f t="shared" si="5"/>
        <v>33000</v>
      </c>
    </row>
    <row r="366" spans="1:5" x14ac:dyDescent="0.3">
      <c r="A366" s="24">
        <v>35244</v>
      </c>
      <c r="B366" s="66">
        <v>270.24200000000002</v>
      </c>
      <c r="C366" s="67"/>
      <c r="D366" s="68">
        <v>0</v>
      </c>
      <c r="E366" s="110">
        <f t="shared" si="5"/>
        <v>33000</v>
      </c>
    </row>
    <row r="367" spans="1:5" x14ac:dyDescent="0.3">
      <c r="A367" s="24">
        <v>35245</v>
      </c>
      <c r="B367" s="66">
        <v>270.24200000000002</v>
      </c>
      <c r="C367" s="67"/>
      <c r="D367" s="68">
        <v>0</v>
      </c>
      <c r="E367" s="110">
        <f t="shared" si="5"/>
        <v>33000</v>
      </c>
    </row>
    <row r="368" spans="1:5" x14ac:dyDescent="0.3">
      <c r="A368" s="24">
        <v>35246</v>
      </c>
      <c r="B368" s="66">
        <v>274.49</v>
      </c>
      <c r="C368" s="67"/>
      <c r="D368" s="68">
        <v>0</v>
      </c>
      <c r="E368" s="110">
        <f t="shared" si="5"/>
        <v>33000</v>
      </c>
    </row>
    <row r="369" spans="1:5" x14ac:dyDescent="0.3">
      <c r="A369" s="24">
        <v>35247</v>
      </c>
      <c r="B369" s="66">
        <v>274.49</v>
      </c>
      <c r="C369" s="67"/>
      <c r="D369" s="68">
        <v>0</v>
      </c>
      <c r="E369" s="110">
        <f t="shared" si="5"/>
        <v>33000</v>
      </c>
    </row>
    <row r="370" spans="1:5" x14ac:dyDescent="0.3">
      <c r="A370" s="24">
        <v>35248</v>
      </c>
      <c r="B370" s="66">
        <v>274.49</v>
      </c>
      <c r="C370" s="67"/>
      <c r="D370" s="68">
        <v>0</v>
      </c>
      <c r="E370" s="110">
        <f t="shared" si="5"/>
        <v>33000</v>
      </c>
    </row>
    <row r="371" spans="1:5" x14ac:dyDescent="0.3">
      <c r="A371" s="24">
        <v>35249</v>
      </c>
      <c r="B371" s="66">
        <v>274.49</v>
      </c>
      <c r="C371" s="67"/>
      <c r="D371" s="68">
        <v>0</v>
      </c>
      <c r="E371" s="110">
        <f t="shared" si="5"/>
        <v>33000</v>
      </c>
    </row>
    <row r="372" spans="1:5" x14ac:dyDescent="0.3">
      <c r="A372" s="24">
        <v>35250</v>
      </c>
      <c r="B372" s="66">
        <v>274.49</v>
      </c>
      <c r="C372" s="67"/>
      <c r="D372" s="68">
        <v>0</v>
      </c>
      <c r="E372" s="110">
        <f t="shared" si="5"/>
        <v>33000</v>
      </c>
    </row>
    <row r="373" spans="1:5" x14ac:dyDescent="0.3">
      <c r="A373" s="24">
        <v>35251</v>
      </c>
      <c r="B373" s="66">
        <v>274.49</v>
      </c>
      <c r="C373" s="67"/>
      <c r="D373" s="68">
        <v>0</v>
      </c>
      <c r="E373" s="110">
        <f t="shared" si="5"/>
        <v>33000</v>
      </c>
    </row>
    <row r="374" spans="1:5" x14ac:dyDescent="0.3">
      <c r="A374" s="24">
        <v>35252</v>
      </c>
      <c r="B374" s="66">
        <v>274.49</v>
      </c>
      <c r="C374" s="67"/>
      <c r="D374" s="68">
        <v>0</v>
      </c>
      <c r="E374" s="110">
        <f t="shared" si="5"/>
        <v>33000</v>
      </c>
    </row>
    <row r="375" spans="1:5" x14ac:dyDescent="0.3">
      <c r="A375" s="24">
        <v>35253</v>
      </c>
      <c r="B375" s="66">
        <v>274.49</v>
      </c>
      <c r="C375" s="67"/>
      <c r="D375" s="68">
        <v>0</v>
      </c>
      <c r="E375" s="110">
        <f t="shared" si="5"/>
        <v>33000</v>
      </c>
    </row>
    <row r="376" spans="1:5" x14ac:dyDescent="0.3">
      <c r="A376" s="24">
        <v>35254</v>
      </c>
      <c r="B376" s="66">
        <v>274.49</v>
      </c>
      <c r="C376" s="67"/>
      <c r="D376" s="68">
        <v>0</v>
      </c>
      <c r="E376" s="110">
        <f t="shared" si="5"/>
        <v>33000</v>
      </c>
    </row>
    <row r="377" spans="1:5" x14ac:dyDescent="0.3">
      <c r="A377" s="24">
        <v>35255</v>
      </c>
      <c r="B377" s="66">
        <v>274.49</v>
      </c>
      <c r="C377" s="67"/>
      <c r="D377" s="68">
        <v>0</v>
      </c>
      <c r="E377" s="110">
        <f t="shared" si="5"/>
        <v>33000</v>
      </c>
    </row>
    <row r="378" spans="1:5" x14ac:dyDescent="0.3">
      <c r="A378" s="24">
        <v>35256</v>
      </c>
      <c r="B378" s="66">
        <v>274.49</v>
      </c>
      <c r="C378" s="67"/>
      <c r="D378" s="68">
        <v>0</v>
      </c>
      <c r="E378" s="110">
        <f t="shared" si="5"/>
        <v>33000</v>
      </c>
    </row>
    <row r="379" spans="1:5" x14ac:dyDescent="0.3">
      <c r="A379" s="24">
        <v>35257</v>
      </c>
      <c r="B379" s="66">
        <v>274.49</v>
      </c>
      <c r="C379" s="67"/>
      <c r="D379" s="68">
        <v>0</v>
      </c>
      <c r="E379" s="110">
        <f t="shared" si="5"/>
        <v>33000</v>
      </c>
    </row>
    <row r="380" spans="1:5" x14ac:dyDescent="0.3">
      <c r="A380" s="24">
        <v>35258</v>
      </c>
      <c r="B380" s="66">
        <v>274.49</v>
      </c>
      <c r="C380" s="67"/>
      <c r="D380" s="68">
        <v>0</v>
      </c>
      <c r="E380" s="110">
        <f t="shared" si="5"/>
        <v>33000</v>
      </c>
    </row>
    <row r="381" spans="1:5" x14ac:dyDescent="0.3">
      <c r="A381" s="24">
        <v>35259</v>
      </c>
      <c r="B381" s="66">
        <v>274.49</v>
      </c>
      <c r="C381" s="67"/>
      <c r="D381" s="68">
        <v>0</v>
      </c>
      <c r="E381" s="110">
        <f t="shared" ref="E381:E444" si="6">+E380</f>
        <v>33000</v>
      </c>
    </row>
    <row r="382" spans="1:5" x14ac:dyDescent="0.3">
      <c r="A382" s="24">
        <v>35260</v>
      </c>
      <c r="B382" s="66">
        <v>274.49</v>
      </c>
      <c r="C382" s="67"/>
      <c r="D382" s="68">
        <v>0</v>
      </c>
      <c r="E382" s="110">
        <f t="shared" si="6"/>
        <v>33000</v>
      </c>
    </row>
    <row r="383" spans="1:5" x14ac:dyDescent="0.3">
      <c r="A383" s="24">
        <v>35261</v>
      </c>
      <c r="B383" s="66">
        <v>274.49</v>
      </c>
      <c r="C383" s="67"/>
      <c r="D383" s="68">
        <v>0</v>
      </c>
      <c r="E383" s="110">
        <f t="shared" si="6"/>
        <v>33000</v>
      </c>
    </row>
    <row r="384" spans="1:5" x14ac:dyDescent="0.3">
      <c r="A384" s="24">
        <v>35262</v>
      </c>
      <c r="B384" s="66">
        <v>274.49</v>
      </c>
      <c r="C384" s="67"/>
      <c r="D384" s="68">
        <v>0</v>
      </c>
      <c r="E384" s="110">
        <f t="shared" si="6"/>
        <v>33000</v>
      </c>
    </row>
    <row r="385" spans="1:5" x14ac:dyDescent="0.3">
      <c r="A385" s="24">
        <v>35263</v>
      </c>
      <c r="B385" s="66">
        <v>274.49</v>
      </c>
      <c r="C385" s="67"/>
      <c r="D385" s="68">
        <v>0</v>
      </c>
      <c r="E385" s="110">
        <f t="shared" si="6"/>
        <v>33000</v>
      </c>
    </row>
    <row r="386" spans="1:5" x14ac:dyDescent="0.3">
      <c r="A386" s="24">
        <v>35264</v>
      </c>
      <c r="B386" s="66">
        <v>274.49</v>
      </c>
      <c r="C386" s="67"/>
      <c r="D386" s="68">
        <v>0</v>
      </c>
      <c r="E386" s="110">
        <f t="shared" si="6"/>
        <v>33000</v>
      </c>
    </row>
    <row r="387" spans="1:5" x14ac:dyDescent="0.3">
      <c r="A387" s="24">
        <v>35265</v>
      </c>
      <c r="B387" s="66">
        <v>274.49</v>
      </c>
      <c r="C387" s="67"/>
      <c r="D387" s="68">
        <v>0</v>
      </c>
      <c r="E387" s="110">
        <f t="shared" si="6"/>
        <v>33000</v>
      </c>
    </row>
    <row r="388" spans="1:5" x14ac:dyDescent="0.3">
      <c r="A388" s="24">
        <v>35266</v>
      </c>
      <c r="B388" s="66">
        <v>274.49</v>
      </c>
      <c r="C388" s="67"/>
      <c r="D388" s="68">
        <v>0</v>
      </c>
      <c r="E388" s="110">
        <f t="shared" si="6"/>
        <v>33000</v>
      </c>
    </row>
    <row r="389" spans="1:5" x14ac:dyDescent="0.3">
      <c r="A389" s="24">
        <v>35267</v>
      </c>
      <c r="B389" s="66">
        <v>274.49</v>
      </c>
      <c r="C389" s="67"/>
      <c r="D389" s="68">
        <v>0</v>
      </c>
      <c r="E389" s="110">
        <f t="shared" si="6"/>
        <v>33000</v>
      </c>
    </row>
    <row r="390" spans="1:5" x14ac:dyDescent="0.3">
      <c r="A390" s="24">
        <v>35268</v>
      </c>
      <c r="B390" s="66">
        <v>274.49</v>
      </c>
      <c r="C390" s="67"/>
      <c r="D390" s="68">
        <v>0</v>
      </c>
      <c r="E390" s="110">
        <f t="shared" si="6"/>
        <v>33000</v>
      </c>
    </row>
    <row r="391" spans="1:5" x14ac:dyDescent="0.3">
      <c r="A391" s="24">
        <v>35269</v>
      </c>
      <c r="B391" s="66">
        <v>274.49</v>
      </c>
      <c r="C391" s="67"/>
      <c r="D391" s="68">
        <v>0</v>
      </c>
      <c r="E391" s="110">
        <f t="shared" si="6"/>
        <v>33000</v>
      </c>
    </row>
    <row r="392" spans="1:5" x14ac:dyDescent="0.3">
      <c r="A392" s="24">
        <v>35270</v>
      </c>
      <c r="B392" s="66">
        <v>274.49</v>
      </c>
      <c r="C392" s="67"/>
      <c r="D392" s="68">
        <v>0</v>
      </c>
      <c r="E392" s="110">
        <f t="shared" si="6"/>
        <v>33000</v>
      </c>
    </row>
    <row r="393" spans="1:5" x14ac:dyDescent="0.3">
      <c r="A393" s="24">
        <v>35271</v>
      </c>
      <c r="B393" s="66">
        <v>274.49</v>
      </c>
      <c r="C393" s="67"/>
      <c r="D393" s="68">
        <v>0</v>
      </c>
      <c r="E393" s="110">
        <f t="shared" si="6"/>
        <v>33000</v>
      </c>
    </row>
    <row r="394" spans="1:5" x14ac:dyDescent="0.3">
      <c r="A394" s="24">
        <v>35272</v>
      </c>
      <c r="B394" s="66">
        <v>274.49</v>
      </c>
      <c r="C394" s="67"/>
      <c r="D394" s="68">
        <v>0</v>
      </c>
      <c r="E394" s="110">
        <f t="shared" si="6"/>
        <v>33000</v>
      </c>
    </row>
    <row r="395" spans="1:5" x14ac:dyDescent="0.3">
      <c r="A395" s="24">
        <v>35273</v>
      </c>
      <c r="B395" s="66">
        <v>274.49</v>
      </c>
      <c r="C395" s="67"/>
      <c r="D395" s="68">
        <v>0</v>
      </c>
      <c r="E395" s="110">
        <f t="shared" si="6"/>
        <v>33000</v>
      </c>
    </row>
    <row r="396" spans="1:5" x14ac:dyDescent="0.3">
      <c r="A396" s="24">
        <v>35274</v>
      </c>
      <c r="B396" s="66">
        <v>274.49</v>
      </c>
      <c r="C396" s="67"/>
      <c r="D396" s="68">
        <v>0</v>
      </c>
      <c r="E396" s="110">
        <f t="shared" si="6"/>
        <v>33000</v>
      </c>
    </row>
    <row r="397" spans="1:5" x14ac:dyDescent="0.3">
      <c r="A397" s="24">
        <v>35275</v>
      </c>
      <c r="B397" s="66">
        <v>274.49</v>
      </c>
      <c r="C397" s="67"/>
      <c r="D397" s="68">
        <v>0</v>
      </c>
      <c r="E397" s="110">
        <f t="shared" si="6"/>
        <v>33000</v>
      </c>
    </row>
    <row r="398" spans="1:5" x14ac:dyDescent="0.3">
      <c r="A398" s="24">
        <v>35276</v>
      </c>
      <c r="B398" s="66">
        <v>274.49</v>
      </c>
      <c r="C398" s="67"/>
      <c r="D398" s="68">
        <v>0</v>
      </c>
      <c r="E398" s="110">
        <f t="shared" si="6"/>
        <v>33000</v>
      </c>
    </row>
    <row r="399" spans="1:5" x14ac:dyDescent="0.3">
      <c r="A399" s="24">
        <v>35277</v>
      </c>
      <c r="B399" s="66">
        <v>274.49</v>
      </c>
      <c r="C399" s="67"/>
      <c r="D399" s="68">
        <v>0</v>
      </c>
      <c r="E399" s="110">
        <f t="shared" si="6"/>
        <v>33000</v>
      </c>
    </row>
    <row r="400" spans="1:5" x14ac:dyDescent="0.3">
      <c r="A400" s="24">
        <v>35278</v>
      </c>
      <c r="B400" s="66">
        <v>274.49</v>
      </c>
      <c r="C400" s="67"/>
      <c r="D400" s="68">
        <v>0</v>
      </c>
      <c r="E400" s="110">
        <f t="shared" si="6"/>
        <v>33000</v>
      </c>
    </row>
    <row r="401" spans="1:5" x14ac:dyDescent="0.3">
      <c r="A401" s="24">
        <v>35279</v>
      </c>
      <c r="B401" s="66">
        <v>274.49</v>
      </c>
      <c r="C401" s="67"/>
      <c r="D401" s="68">
        <v>0</v>
      </c>
      <c r="E401" s="110">
        <f t="shared" si="6"/>
        <v>33000</v>
      </c>
    </row>
    <row r="402" spans="1:5" x14ac:dyDescent="0.3">
      <c r="A402" s="24">
        <v>35280</v>
      </c>
      <c r="B402" s="66">
        <v>274.49</v>
      </c>
      <c r="C402" s="67"/>
      <c r="D402" s="68">
        <v>0</v>
      </c>
      <c r="E402" s="110">
        <f t="shared" si="6"/>
        <v>33000</v>
      </c>
    </row>
    <row r="403" spans="1:5" x14ac:dyDescent="0.3">
      <c r="A403" s="24">
        <v>35281</v>
      </c>
      <c r="B403" s="66">
        <v>274.49</v>
      </c>
      <c r="C403" s="67"/>
      <c r="D403" s="68">
        <v>0</v>
      </c>
      <c r="E403" s="110">
        <f t="shared" si="6"/>
        <v>33000</v>
      </c>
    </row>
    <row r="404" spans="1:5" x14ac:dyDescent="0.3">
      <c r="A404" s="24">
        <v>35282</v>
      </c>
      <c r="B404" s="66">
        <v>274.49</v>
      </c>
      <c r="C404" s="67"/>
      <c r="D404" s="68">
        <v>0</v>
      </c>
      <c r="E404" s="110">
        <f t="shared" si="6"/>
        <v>33000</v>
      </c>
    </row>
    <row r="405" spans="1:5" x14ac:dyDescent="0.3">
      <c r="A405" s="24">
        <v>35283</v>
      </c>
      <c r="B405" s="66">
        <v>274.49</v>
      </c>
      <c r="C405" s="67"/>
      <c r="D405" s="68">
        <v>0</v>
      </c>
      <c r="E405" s="110">
        <f t="shared" si="6"/>
        <v>33000</v>
      </c>
    </row>
    <row r="406" spans="1:5" x14ac:dyDescent="0.3">
      <c r="A406" s="24">
        <v>35284</v>
      </c>
      <c r="B406" s="66">
        <v>274.49</v>
      </c>
      <c r="C406" s="67"/>
      <c r="D406" s="68">
        <v>0</v>
      </c>
      <c r="E406" s="110">
        <f t="shared" si="6"/>
        <v>33000</v>
      </c>
    </row>
    <row r="407" spans="1:5" x14ac:dyDescent="0.3">
      <c r="A407" s="24">
        <v>35285</v>
      </c>
      <c r="B407" s="66">
        <v>274.49</v>
      </c>
      <c r="C407" s="67"/>
      <c r="D407" s="68">
        <v>0</v>
      </c>
      <c r="E407" s="110">
        <f t="shared" si="6"/>
        <v>33000</v>
      </c>
    </row>
    <row r="408" spans="1:5" x14ac:dyDescent="0.3">
      <c r="A408" s="24">
        <v>35286</v>
      </c>
      <c r="B408" s="66">
        <v>274.49</v>
      </c>
      <c r="C408" s="67"/>
      <c r="D408" s="68">
        <v>0</v>
      </c>
      <c r="E408" s="110">
        <f t="shared" si="6"/>
        <v>33000</v>
      </c>
    </row>
    <row r="409" spans="1:5" x14ac:dyDescent="0.3">
      <c r="A409" s="24">
        <v>35287</v>
      </c>
      <c r="B409" s="66">
        <v>274.49</v>
      </c>
      <c r="C409" s="67"/>
      <c r="D409" s="68">
        <v>0</v>
      </c>
      <c r="E409" s="110">
        <f t="shared" si="6"/>
        <v>33000</v>
      </c>
    </row>
    <row r="410" spans="1:5" x14ac:dyDescent="0.3">
      <c r="A410" s="24">
        <v>35288</v>
      </c>
      <c r="B410" s="66">
        <v>274.49</v>
      </c>
      <c r="C410" s="67"/>
      <c r="D410" s="68">
        <v>0</v>
      </c>
      <c r="E410" s="110">
        <f t="shared" si="6"/>
        <v>33000</v>
      </c>
    </row>
    <row r="411" spans="1:5" x14ac:dyDescent="0.3">
      <c r="A411" s="24">
        <v>35289</v>
      </c>
      <c r="B411" s="66">
        <v>274.49</v>
      </c>
      <c r="C411" s="67"/>
      <c r="D411" s="68">
        <v>0</v>
      </c>
      <c r="E411" s="110">
        <f t="shared" si="6"/>
        <v>33000</v>
      </c>
    </row>
    <row r="412" spans="1:5" x14ac:dyDescent="0.3">
      <c r="A412" s="24">
        <v>35290</v>
      </c>
      <c r="B412" s="66">
        <v>274.49</v>
      </c>
      <c r="C412" s="67"/>
      <c r="D412" s="68">
        <v>0</v>
      </c>
      <c r="E412" s="110">
        <f t="shared" si="6"/>
        <v>33000</v>
      </c>
    </row>
    <row r="413" spans="1:5" x14ac:dyDescent="0.3">
      <c r="A413" s="24">
        <v>35291</v>
      </c>
      <c r="B413" s="66">
        <v>274.49</v>
      </c>
      <c r="C413" s="67"/>
      <c r="D413" s="68">
        <v>0</v>
      </c>
      <c r="E413" s="110">
        <f t="shared" si="6"/>
        <v>33000</v>
      </c>
    </row>
    <row r="414" spans="1:5" x14ac:dyDescent="0.3">
      <c r="A414" s="24">
        <v>35292</v>
      </c>
      <c r="B414" s="66">
        <v>274.49</v>
      </c>
      <c r="C414" s="67"/>
      <c r="D414" s="68">
        <v>0</v>
      </c>
      <c r="E414" s="110">
        <f t="shared" si="6"/>
        <v>33000</v>
      </c>
    </row>
    <row r="415" spans="1:5" x14ac:dyDescent="0.3">
      <c r="A415" s="24">
        <v>35293</v>
      </c>
      <c r="B415" s="66">
        <v>274.49</v>
      </c>
      <c r="C415" s="67"/>
      <c r="D415" s="68">
        <v>0</v>
      </c>
      <c r="E415" s="110">
        <f t="shared" si="6"/>
        <v>33000</v>
      </c>
    </row>
    <row r="416" spans="1:5" x14ac:dyDescent="0.3">
      <c r="A416" s="24">
        <v>35294</v>
      </c>
      <c r="B416" s="66">
        <v>274.49</v>
      </c>
      <c r="C416" s="67"/>
      <c r="D416" s="68">
        <v>0</v>
      </c>
      <c r="E416" s="110">
        <f t="shared" si="6"/>
        <v>33000</v>
      </c>
    </row>
    <row r="417" spans="1:5" x14ac:dyDescent="0.3">
      <c r="A417" s="24">
        <v>35295</v>
      </c>
      <c r="B417" s="66">
        <v>274.49</v>
      </c>
      <c r="C417" s="67"/>
      <c r="D417" s="68">
        <v>0</v>
      </c>
      <c r="E417" s="110">
        <f t="shared" si="6"/>
        <v>33000</v>
      </c>
    </row>
    <row r="418" spans="1:5" x14ac:dyDescent="0.3">
      <c r="A418" s="24">
        <v>35296</v>
      </c>
      <c r="B418" s="66">
        <v>274.49</v>
      </c>
      <c r="C418" s="67"/>
      <c r="D418" s="68">
        <v>0</v>
      </c>
      <c r="E418" s="110">
        <f t="shared" si="6"/>
        <v>33000</v>
      </c>
    </row>
    <row r="419" spans="1:5" x14ac:dyDescent="0.3">
      <c r="A419" s="24">
        <v>35297</v>
      </c>
      <c r="B419" s="66">
        <v>274.49</v>
      </c>
      <c r="C419" s="67"/>
      <c r="D419" s="68">
        <v>0</v>
      </c>
      <c r="E419" s="110">
        <f t="shared" si="6"/>
        <v>33000</v>
      </c>
    </row>
    <row r="420" spans="1:5" x14ac:dyDescent="0.3">
      <c r="A420" s="24">
        <v>35298</v>
      </c>
      <c r="B420" s="66">
        <v>274.49</v>
      </c>
      <c r="C420" s="67"/>
      <c r="D420" s="68">
        <v>0</v>
      </c>
      <c r="E420" s="110">
        <f t="shared" si="6"/>
        <v>33000</v>
      </c>
    </row>
    <row r="421" spans="1:5" x14ac:dyDescent="0.3">
      <c r="A421" s="24">
        <v>35299</v>
      </c>
      <c r="B421" s="66">
        <v>274.49</v>
      </c>
      <c r="C421" s="67"/>
      <c r="D421" s="68">
        <v>0</v>
      </c>
      <c r="E421" s="110">
        <f t="shared" si="6"/>
        <v>33000</v>
      </c>
    </row>
    <row r="422" spans="1:5" x14ac:dyDescent="0.3">
      <c r="A422" s="24">
        <v>35300</v>
      </c>
      <c r="B422" s="66">
        <v>274.49</v>
      </c>
      <c r="C422" s="67"/>
      <c r="D422" s="68">
        <v>0</v>
      </c>
      <c r="E422" s="110">
        <f t="shared" si="6"/>
        <v>33000</v>
      </c>
    </row>
    <row r="423" spans="1:5" x14ac:dyDescent="0.3">
      <c r="A423" s="24">
        <v>35301</v>
      </c>
      <c r="B423" s="66">
        <v>274.49</v>
      </c>
      <c r="C423" s="67"/>
      <c r="D423" s="68">
        <v>0</v>
      </c>
      <c r="E423" s="110">
        <f t="shared" si="6"/>
        <v>33000</v>
      </c>
    </row>
    <row r="424" spans="1:5" x14ac:dyDescent="0.3">
      <c r="A424" s="24">
        <v>35302</v>
      </c>
      <c r="B424" s="66">
        <v>274.49</v>
      </c>
      <c r="C424" s="67"/>
      <c r="D424" s="68">
        <v>0</v>
      </c>
      <c r="E424" s="110">
        <f t="shared" si="6"/>
        <v>33000</v>
      </c>
    </row>
    <row r="425" spans="1:5" x14ac:dyDescent="0.3">
      <c r="A425" s="24">
        <v>35303</v>
      </c>
      <c r="B425" s="66">
        <v>274.49</v>
      </c>
      <c r="C425" s="67"/>
      <c r="D425" s="68">
        <v>0</v>
      </c>
      <c r="E425" s="110">
        <f t="shared" si="6"/>
        <v>33000</v>
      </c>
    </row>
    <row r="426" spans="1:5" x14ac:dyDescent="0.3">
      <c r="A426" s="24">
        <v>35304</v>
      </c>
      <c r="B426" s="66">
        <v>274.49</v>
      </c>
      <c r="C426" s="67"/>
      <c r="D426" s="68">
        <v>0</v>
      </c>
      <c r="E426" s="110">
        <f t="shared" si="6"/>
        <v>33000</v>
      </c>
    </row>
    <row r="427" spans="1:5" x14ac:dyDescent="0.3">
      <c r="A427" s="24">
        <v>35305</v>
      </c>
      <c r="B427" s="66">
        <v>274.49</v>
      </c>
      <c r="C427" s="67"/>
      <c r="D427" s="68">
        <v>0</v>
      </c>
      <c r="E427" s="110">
        <f t="shared" si="6"/>
        <v>33000</v>
      </c>
    </row>
    <row r="428" spans="1:5" x14ac:dyDescent="0.3">
      <c r="A428" s="24">
        <v>35306</v>
      </c>
      <c r="B428" s="66">
        <v>274.49</v>
      </c>
      <c r="C428" s="67"/>
      <c r="D428" s="68">
        <v>0</v>
      </c>
      <c r="E428" s="110">
        <f t="shared" si="6"/>
        <v>33000</v>
      </c>
    </row>
    <row r="429" spans="1:5" x14ac:dyDescent="0.3">
      <c r="A429" s="24">
        <v>35307</v>
      </c>
      <c r="B429" s="66">
        <v>274.49</v>
      </c>
      <c r="C429" s="67"/>
      <c r="D429" s="68">
        <v>0</v>
      </c>
      <c r="E429" s="110">
        <f t="shared" si="6"/>
        <v>33000</v>
      </c>
    </row>
    <row r="430" spans="1:5" x14ac:dyDescent="0.3">
      <c r="A430" s="24">
        <v>35308</v>
      </c>
      <c r="B430" s="66">
        <v>274.49</v>
      </c>
      <c r="C430" s="67"/>
      <c r="D430" s="68">
        <v>0</v>
      </c>
      <c r="E430" s="110">
        <f t="shared" si="6"/>
        <v>33000</v>
      </c>
    </row>
    <row r="431" spans="1:5" x14ac:dyDescent="0.3">
      <c r="A431" s="24">
        <v>35309</v>
      </c>
      <c r="B431" s="66">
        <v>274.49</v>
      </c>
      <c r="C431" s="67"/>
      <c r="D431" s="68">
        <v>0</v>
      </c>
      <c r="E431" s="110">
        <f t="shared" si="6"/>
        <v>33000</v>
      </c>
    </row>
    <row r="432" spans="1:5" x14ac:dyDescent="0.3">
      <c r="A432" s="24">
        <v>35310</v>
      </c>
      <c r="B432" s="66">
        <v>274.49</v>
      </c>
      <c r="C432" s="67"/>
      <c r="D432" s="68">
        <v>0</v>
      </c>
      <c r="E432" s="110">
        <f t="shared" si="6"/>
        <v>33000</v>
      </c>
    </row>
    <row r="433" spans="1:5" x14ac:dyDescent="0.3">
      <c r="A433" s="24">
        <v>35311</v>
      </c>
      <c r="B433" s="66">
        <v>274.49</v>
      </c>
      <c r="C433" s="67"/>
      <c r="D433" s="68">
        <v>0</v>
      </c>
      <c r="E433" s="110">
        <f t="shared" si="6"/>
        <v>33000</v>
      </c>
    </row>
    <row r="434" spans="1:5" x14ac:dyDescent="0.3">
      <c r="A434" s="24">
        <v>35312</v>
      </c>
      <c r="B434" s="66">
        <v>274.49</v>
      </c>
      <c r="C434" s="67"/>
      <c r="D434" s="68">
        <v>0</v>
      </c>
      <c r="E434" s="110">
        <f t="shared" si="6"/>
        <v>33000</v>
      </c>
    </row>
    <row r="435" spans="1:5" x14ac:dyDescent="0.3">
      <c r="A435" s="24">
        <v>35313</v>
      </c>
      <c r="B435" s="66">
        <v>274.49</v>
      </c>
      <c r="C435" s="67"/>
      <c r="D435" s="68">
        <v>0</v>
      </c>
      <c r="E435" s="110">
        <f t="shared" si="6"/>
        <v>33000</v>
      </c>
    </row>
    <row r="436" spans="1:5" x14ac:dyDescent="0.3">
      <c r="A436" s="24">
        <v>35314</v>
      </c>
      <c r="B436" s="66">
        <v>274.49</v>
      </c>
      <c r="C436" s="67"/>
      <c r="D436" s="68">
        <v>0</v>
      </c>
      <c r="E436" s="110">
        <f t="shared" si="6"/>
        <v>33000</v>
      </c>
    </row>
    <row r="437" spans="1:5" x14ac:dyDescent="0.3">
      <c r="A437" s="24">
        <v>35315</v>
      </c>
      <c r="B437" s="66">
        <v>274.49</v>
      </c>
      <c r="C437" s="67"/>
      <c r="D437" s="68">
        <v>0</v>
      </c>
      <c r="E437" s="110">
        <f t="shared" si="6"/>
        <v>33000</v>
      </c>
    </row>
    <row r="438" spans="1:5" x14ac:dyDescent="0.3">
      <c r="A438" s="24">
        <v>35316</v>
      </c>
      <c r="B438" s="66">
        <v>274.49</v>
      </c>
      <c r="C438" s="67"/>
      <c r="D438" s="68">
        <v>0</v>
      </c>
      <c r="E438" s="110">
        <f t="shared" si="6"/>
        <v>33000</v>
      </c>
    </row>
    <row r="439" spans="1:5" x14ac:dyDescent="0.3">
      <c r="A439" s="24">
        <v>35317</v>
      </c>
      <c r="B439" s="66">
        <v>274.49</v>
      </c>
      <c r="C439" s="67"/>
      <c r="D439" s="68">
        <v>0</v>
      </c>
      <c r="E439" s="110">
        <f t="shared" si="6"/>
        <v>33000</v>
      </c>
    </row>
    <row r="440" spans="1:5" x14ac:dyDescent="0.3">
      <c r="A440" s="24">
        <v>35318</v>
      </c>
      <c r="B440" s="66">
        <v>274.49</v>
      </c>
      <c r="C440" s="67"/>
      <c r="D440" s="68">
        <v>0</v>
      </c>
      <c r="E440" s="110">
        <f t="shared" si="6"/>
        <v>33000</v>
      </c>
    </row>
    <row r="441" spans="1:5" x14ac:dyDescent="0.3">
      <c r="A441" s="24">
        <v>35319</v>
      </c>
      <c r="B441" s="66">
        <v>274.49</v>
      </c>
      <c r="C441" s="67"/>
      <c r="D441" s="68">
        <v>0</v>
      </c>
      <c r="E441" s="110">
        <f t="shared" si="6"/>
        <v>33000</v>
      </c>
    </row>
    <row r="442" spans="1:5" x14ac:dyDescent="0.3">
      <c r="A442" s="24">
        <v>35320</v>
      </c>
      <c r="B442" s="66">
        <v>274.49</v>
      </c>
      <c r="C442" s="67"/>
      <c r="D442" s="68">
        <v>0</v>
      </c>
      <c r="E442" s="110">
        <f t="shared" si="6"/>
        <v>33000</v>
      </c>
    </row>
    <row r="443" spans="1:5" x14ac:dyDescent="0.3">
      <c r="A443" s="24">
        <v>35321</v>
      </c>
      <c r="B443" s="66">
        <v>274.49</v>
      </c>
      <c r="C443" s="67"/>
      <c r="D443" s="68">
        <v>0</v>
      </c>
      <c r="E443" s="110">
        <f t="shared" si="6"/>
        <v>33000</v>
      </c>
    </row>
    <row r="444" spans="1:5" x14ac:dyDescent="0.3">
      <c r="A444" s="24">
        <v>35322</v>
      </c>
      <c r="B444" s="66">
        <v>274.49</v>
      </c>
      <c r="C444" s="67"/>
      <c r="D444" s="68">
        <v>0</v>
      </c>
      <c r="E444" s="110">
        <f t="shared" si="6"/>
        <v>33000</v>
      </c>
    </row>
    <row r="445" spans="1:5" x14ac:dyDescent="0.3">
      <c r="A445" s="24">
        <v>35323</v>
      </c>
      <c r="B445" s="66">
        <v>274.49</v>
      </c>
      <c r="C445" s="67"/>
      <c r="D445" s="68">
        <v>0</v>
      </c>
      <c r="E445" s="110">
        <f t="shared" ref="E445:E508" si="7">+E444</f>
        <v>33000</v>
      </c>
    </row>
    <row r="446" spans="1:5" x14ac:dyDescent="0.3">
      <c r="A446" s="24">
        <v>35324</v>
      </c>
      <c r="B446" s="66">
        <v>274.49</v>
      </c>
      <c r="C446" s="67"/>
      <c r="D446" s="68">
        <v>0</v>
      </c>
      <c r="E446" s="110">
        <f t="shared" si="7"/>
        <v>33000</v>
      </c>
    </row>
    <row r="447" spans="1:5" x14ac:dyDescent="0.3">
      <c r="A447" s="24">
        <v>35325</v>
      </c>
      <c r="B447" s="66">
        <v>274.49</v>
      </c>
      <c r="C447" s="67"/>
      <c r="D447" s="68">
        <v>0</v>
      </c>
      <c r="E447" s="110">
        <f t="shared" si="7"/>
        <v>33000</v>
      </c>
    </row>
    <row r="448" spans="1:5" x14ac:dyDescent="0.3">
      <c r="A448" s="24">
        <v>35326</v>
      </c>
      <c r="B448" s="66">
        <v>274.49</v>
      </c>
      <c r="C448" s="67"/>
      <c r="D448" s="68">
        <v>0</v>
      </c>
      <c r="E448" s="110">
        <f t="shared" si="7"/>
        <v>33000</v>
      </c>
    </row>
    <row r="449" spans="1:5" x14ac:dyDescent="0.3">
      <c r="A449" s="24">
        <v>35327</v>
      </c>
      <c r="B449" s="66">
        <v>274.49</v>
      </c>
      <c r="C449" s="67"/>
      <c r="D449" s="68">
        <v>0</v>
      </c>
      <c r="E449" s="110">
        <f t="shared" si="7"/>
        <v>33000</v>
      </c>
    </row>
    <row r="450" spans="1:5" x14ac:dyDescent="0.3">
      <c r="A450" s="24">
        <v>35328</v>
      </c>
      <c r="B450" s="66">
        <v>274.49</v>
      </c>
      <c r="C450" s="67"/>
      <c r="D450" s="68">
        <v>0</v>
      </c>
      <c r="E450" s="110">
        <f t="shared" si="7"/>
        <v>33000</v>
      </c>
    </row>
    <row r="451" spans="1:5" x14ac:dyDescent="0.3">
      <c r="A451" s="24">
        <v>35329</v>
      </c>
      <c r="B451" s="66">
        <v>274.49</v>
      </c>
      <c r="C451" s="67"/>
      <c r="D451" s="68">
        <v>0</v>
      </c>
      <c r="E451" s="110">
        <f t="shared" si="7"/>
        <v>33000</v>
      </c>
    </row>
    <row r="452" spans="1:5" x14ac:dyDescent="0.3">
      <c r="A452" s="24">
        <v>35330</v>
      </c>
      <c r="B452" s="66">
        <v>274.49</v>
      </c>
      <c r="C452" s="67"/>
      <c r="D452" s="68">
        <v>0</v>
      </c>
      <c r="E452" s="110">
        <f t="shared" si="7"/>
        <v>33000</v>
      </c>
    </row>
    <row r="453" spans="1:5" x14ac:dyDescent="0.3">
      <c r="A453" s="24">
        <v>35331</v>
      </c>
      <c r="B453" s="66">
        <v>274.49</v>
      </c>
      <c r="C453" s="67"/>
      <c r="D453" s="68">
        <v>0</v>
      </c>
      <c r="E453" s="110">
        <f t="shared" si="7"/>
        <v>33000</v>
      </c>
    </row>
    <row r="454" spans="1:5" x14ac:dyDescent="0.3">
      <c r="A454" s="24">
        <v>35332</v>
      </c>
      <c r="B454" s="66">
        <v>274.49</v>
      </c>
      <c r="C454" s="67"/>
      <c r="D454" s="68">
        <v>0</v>
      </c>
      <c r="E454" s="110">
        <f t="shared" si="7"/>
        <v>33000</v>
      </c>
    </row>
    <row r="455" spans="1:5" x14ac:dyDescent="0.3">
      <c r="A455" s="24">
        <v>35333</v>
      </c>
      <c r="B455" s="66">
        <v>274.49</v>
      </c>
      <c r="C455" s="67"/>
      <c r="D455" s="68">
        <v>0</v>
      </c>
      <c r="E455" s="110">
        <f t="shared" si="7"/>
        <v>33000</v>
      </c>
    </row>
    <row r="456" spans="1:5" x14ac:dyDescent="0.3">
      <c r="A456" s="24">
        <v>35334</v>
      </c>
      <c r="B456" s="66">
        <v>274.49</v>
      </c>
      <c r="C456" s="67"/>
      <c r="D456" s="68">
        <v>0</v>
      </c>
      <c r="E456" s="110">
        <f t="shared" si="7"/>
        <v>33000</v>
      </c>
    </row>
    <row r="457" spans="1:5" x14ac:dyDescent="0.3">
      <c r="A457" s="24">
        <v>35335</v>
      </c>
      <c r="B457" s="66">
        <v>274.49</v>
      </c>
      <c r="C457" s="67"/>
      <c r="D457" s="68">
        <v>0</v>
      </c>
      <c r="E457" s="110">
        <f t="shared" si="7"/>
        <v>33000</v>
      </c>
    </row>
    <row r="458" spans="1:5" x14ac:dyDescent="0.3">
      <c r="A458" s="24">
        <v>35336</v>
      </c>
      <c r="B458" s="66">
        <v>274.49</v>
      </c>
      <c r="C458" s="67"/>
      <c r="D458" s="68">
        <v>0</v>
      </c>
      <c r="E458" s="110">
        <f t="shared" si="7"/>
        <v>33000</v>
      </c>
    </row>
    <row r="459" spans="1:5" x14ac:dyDescent="0.3">
      <c r="A459" s="24">
        <v>35337</v>
      </c>
      <c r="B459" s="66">
        <v>274.49</v>
      </c>
      <c r="C459" s="67"/>
      <c r="D459" s="68">
        <v>0</v>
      </c>
      <c r="E459" s="110">
        <f t="shared" si="7"/>
        <v>33000</v>
      </c>
    </row>
    <row r="460" spans="1:5" x14ac:dyDescent="0.3">
      <c r="A460" s="24">
        <v>35338</v>
      </c>
      <c r="B460" s="66">
        <v>279.88600000000002</v>
      </c>
      <c r="C460" s="67"/>
      <c r="D460" s="68">
        <v>0</v>
      </c>
      <c r="E460" s="110">
        <f t="shared" si="7"/>
        <v>33000</v>
      </c>
    </row>
    <row r="461" spans="1:5" x14ac:dyDescent="0.3">
      <c r="A461" s="24">
        <v>35339</v>
      </c>
      <c r="B461" s="66">
        <v>279.88600000000002</v>
      </c>
      <c r="C461" s="67"/>
      <c r="D461" s="68">
        <v>0</v>
      </c>
      <c r="E461" s="110">
        <f t="shared" si="7"/>
        <v>33000</v>
      </c>
    </row>
    <row r="462" spans="1:5" x14ac:dyDescent="0.3">
      <c r="A462" s="24">
        <v>35340</v>
      </c>
      <c r="B462" s="66">
        <v>279.88600000000002</v>
      </c>
      <c r="C462" s="67"/>
      <c r="D462" s="68">
        <v>0</v>
      </c>
      <c r="E462" s="110">
        <f t="shared" si="7"/>
        <v>33000</v>
      </c>
    </row>
    <row r="463" spans="1:5" x14ac:dyDescent="0.3">
      <c r="A463" s="24">
        <v>35341</v>
      </c>
      <c r="B463" s="66">
        <v>279.88600000000002</v>
      </c>
      <c r="C463" s="67"/>
      <c r="D463" s="68">
        <v>0</v>
      </c>
      <c r="E463" s="110">
        <f t="shared" si="7"/>
        <v>33000</v>
      </c>
    </row>
    <row r="464" spans="1:5" x14ac:dyDescent="0.3">
      <c r="A464" s="24">
        <v>35342</v>
      </c>
      <c r="B464" s="66">
        <v>279.88600000000002</v>
      </c>
      <c r="C464" s="67"/>
      <c r="D464" s="68">
        <v>0</v>
      </c>
      <c r="E464" s="110">
        <f t="shared" si="7"/>
        <v>33000</v>
      </c>
    </row>
    <row r="465" spans="1:5" x14ac:dyDescent="0.3">
      <c r="A465" s="24">
        <v>35343</v>
      </c>
      <c r="B465" s="66">
        <v>279.88600000000002</v>
      </c>
      <c r="C465" s="67"/>
      <c r="D465" s="68">
        <v>0</v>
      </c>
      <c r="E465" s="110">
        <f t="shared" si="7"/>
        <v>33000</v>
      </c>
    </row>
    <row r="466" spans="1:5" x14ac:dyDescent="0.3">
      <c r="A466" s="24">
        <v>35344</v>
      </c>
      <c r="B466" s="66">
        <v>279.88600000000002</v>
      </c>
      <c r="C466" s="67"/>
      <c r="D466" s="68">
        <v>0</v>
      </c>
      <c r="E466" s="110">
        <f t="shared" si="7"/>
        <v>33000</v>
      </c>
    </row>
    <row r="467" spans="1:5" x14ac:dyDescent="0.3">
      <c r="A467" s="24">
        <v>35345</v>
      </c>
      <c r="B467" s="66">
        <v>279.88600000000002</v>
      </c>
      <c r="C467" s="67"/>
      <c r="D467" s="68">
        <v>0</v>
      </c>
      <c r="E467" s="110">
        <f t="shared" si="7"/>
        <v>33000</v>
      </c>
    </row>
    <row r="468" spans="1:5" x14ac:dyDescent="0.3">
      <c r="A468" s="24">
        <v>35346</v>
      </c>
      <c r="B468" s="66">
        <v>279.88600000000002</v>
      </c>
      <c r="C468" s="67"/>
      <c r="D468" s="68">
        <v>0</v>
      </c>
      <c r="E468" s="110">
        <f t="shared" si="7"/>
        <v>33000</v>
      </c>
    </row>
    <row r="469" spans="1:5" x14ac:dyDescent="0.3">
      <c r="A469" s="24">
        <v>35347</v>
      </c>
      <c r="B469" s="66">
        <v>279.88600000000002</v>
      </c>
      <c r="C469" s="67"/>
      <c r="D469" s="68">
        <v>0</v>
      </c>
      <c r="E469" s="110">
        <f t="shared" si="7"/>
        <v>33000</v>
      </c>
    </row>
    <row r="470" spans="1:5" x14ac:dyDescent="0.3">
      <c r="A470" s="24">
        <v>35348</v>
      </c>
      <c r="B470" s="66">
        <v>279.88600000000002</v>
      </c>
      <c r="C470" s="67"/>
      <c r="D470" s="68">
        <v>0</v>
      </c>
      <c r="E470" s="110">
        <f t="shared" si="7"/>
        <v>33000</v>
      </c>
    </row>
    <row r="471" spans="1:5" x14ac:dyDescent="0.3">
      <c r="A471" s="24">
        <v>35349</v>
      </c>
      <c r="B471" s="66">
        <v>279.88600000000002</v>
      </c>
      <c r="C471" s="67"/>
      <c r="D471" s="68">
        <v>0</v>
      </c>
      <c r="E471" s="110">
        <f t="shared" si="7"/>
        <v>33000</v>
      </c>
    </row>
    <row r="472" spans="1:5" x14ac:dyDescent="0.3">
      <c r="A472" s="24">
        <v>35350</v>
      </c>
      <c r="B472" s="66">
        <v>279.88600000000002</v>
      </c>
      <c r="C472" s="67"/>
      <c r="D472" s="68">
        <v>0</v>
      </c>
      <c r="E472" s="110">
        <f t="shared" si="7"/>
        <v>33000</v>
      </c>
    </row>
    <row r="473" spans="1:5" x14ac:dyDescent="0.3">
      <c r="A473" s="24">
        <v>35351</v>
      </c>
      <c r="B473" s="66">
        <v>279.88600000000002</v>
      </c>
      <c r="C473" s="67"/>
      <c r="D473" s="68">
        <v>0</v>
      </c>
      <c r="E473" s="110">
        <f t="shared" si="7"/>
        <v>33000</v>
      </c>
    </row>
    <row r="474" spans="1:5" x14ac:dyDescent="0.3">
      <c r="A474" s="24">
        <v>35352</v>
      </c>
      <c r="B474" s="66">
        <v>279.88600000000002</v>
      </c>
      <c r="C474" s="67"/>
      <c r="D474" s="68">
        <v>0</v>
      </c>
      <c r="E474" s="110">
        <f t="shared" si="7"/>
        <v>33000</v>
      </c>
    </row>
    <row r="475" spans="1:5" x14ac:dyDescent="0.3">
      <c r="A475" s="24">
        <v>35353</v>
      </c>
      <c r="B475" s="66">
        <v>279.88600000000002</v>
      </c>
      <c r="C475" s="67"/>
      <c r="D475" s="68">
        <v>0</v>
      </c>
      <c r="E475" s="110">
        <f t="shared" si="7"/>
        <v>33000</v>
      </c>
    </row>
    <row r="476" spans="1:5" x14ac:dyDescent="0.3">
      <c r="A476" s="24">
        <v>35354</v>
      </c>
      <c r="B476" s="66">
        <v>279.88600000000002</v>
      </c>
      <c r="C476" s="67"/>
      <c r="D476" s="68">
        <v>0</v>
      </c>
      <c r="E476" s="110">
        <f t="shared" si="7"/>
        <v>33000</v>
      </c>
    </row>
    <row r="477" spans="1:5" x14ac:dyDescent="0.3">
      <c r="A477" s="24">
        <v>35355</v>
      </c>
      <c r="B477" s="66">
        <v>279.88600000000002</v>
      </c>
      <c r="C477" s="67"/>
      <c r="D477" s="68">
        <v>0</v>
      </c>
      <c r="E477" s="110">
        <f t="shared" si="7"/>
        <v>33000</v>
      </c>
    </row>
    <row r="478" spans="1:5" x14ac:dyDescent="0.3">
      <c r="A478" s="24">
        <v>35356</v>
      </c>
      <c r="B478" s="66">
        <v>279.88600000000002</v>
      </c>
      <c r="C478" s="67"/>
      <c r="D478" s="68">
        <v>0</v>
      </c>
      <c r="E478" s="110">
        <f t="shared" si="7"/>
        <v>33000</v>
      </c>
    </row>
    <row r="479" spans="1:5" x14ac:dyDescent="0.3">
      <c r="A479" s="24">
        <v>35357</v>
      </c>
      <c r="B479" s="66">
        <v>279.88600000000002</v>
      </c>
      <c r="C479" s="67"/>
      <c r="D479" s="68">
        <v>0</v>
      </c>
      <c r="E479" s="110">
        <f t="shared" si="7"/>
        <v>33000</v>
      </c>
    </row>
    <row r="480" spans="1:5" x14ac:dyDescent="0.3">
      <c r="A480" s="24">
        <v>35358</v>
      </c>
      <c r="B480" s="66">
        <v>279.88600000000002</v>
      </c>
      <c r="C480" s="67"/>
      <c r="D480" s="68">
        <v>0</v>
      </c>
      <c r="E480" s="110">
        <f t="shared" si="7"/>
        <v>33000</v>
      </c>
    </row>
    <row r="481" spans="1:5" x14ac:dyDescent="0.3">
      <c r="A481" s="24">
        <v>35359</v>
      </c>
      <c r="B481" s="66">
        <v>279.88600000000002</v>
      </c>
      <c r="C481" s="67"/>
      <c r="D481" s="68">
        <v>0</v>
      </c>
      <c r="E481" s="110">
        <f t="shared" si="7"/>
        <v>33000</v>
      </c>
    </row>
    <row r="482" spans="1:5" x14ac:dyDescent="0.3">
      <c r="A482" s="24">
        <v>35360</v>
      </c>
      <c r="B482" s="66">
        <v>279.88600000000002</v>
      </c>
      <c r="C482" s="67"/>
      <c r="D482" s="68">
        <v>0</v>
      </c>
      <c r="E482" s="110">
        <f t="shared" si="7"/>
        <v>33000</v>
      </c>
    </row>
    <row r="483" spans="1:5" x14ac:dyDescent="0.3">
      <c r="A483" s="24">
        <v>35361</v>
      </c>
      <c r="B483" s="66">
        <v>279.88600000000002</v>
      </c>
      <c r="C483" s="67"/>
      <c r="D483" s="68">
        <v>0</v>
      </c>
      <c r="E483" s="110">
        <f t="shared" si="7"/>
        <v>33000</v>
      </c>
    </row>
    <row r="484" spans="1:5" x14ac:dyDescent="0.3">
      <c r="A484" s="24">
        <v>35362</v>
      </c>
      <c r="B484" s="66">
        <v>279.88600000000002</v>
      </c>
      <c r="C484" s="67"/>
      <c r="D484" s="68">
        <v>0</v>
      </c>
      <c r="E484" s="110">
        <f t="shared" si="7"/>
        <v>33000</v>
      </c>
    </row>
    <row r="485" spans="1:5" x14ac:dyDescent="0.3">
      <c r="A485" s="24">
        <v>35363</v>
      </c>
      <c r="B485" s="66">
        <v>279.88600000000002</v>
      </c>
      <c r="C485" s="67"/>
      <c r="D485" s="68">
        <v>0</v>
      </c>
      <c r="E485" s="110">
        <f t="shared" si="7"/>
        <v>33000</v>
      </c>
    </row>
    <row r="486" spans="1:5" x14ac:dyDescent="0.3">
      <c r="A486" s="24">
        <v>35364</v>
      </c>
      <c r="B486" s="66">
        <v>279.88600000000002</v>
      </c>
      <c r="C486" s="67"/>
      <c r="D486" s="68">
        <v>0</v>
      </c>
      <c r="E486" s="110">
        <f t="shared" si="7"/>
        <v>33000</v>
      </c>
    </row>
    <row r="487" spans="1:5" x14ac:dyDescent="0.3">
      <c r="A487" s="24">
        <v>35365</v>
      </c>
      <c r="B487" s="66">
        <v>279.88600000000002</v>
      </c>
      <c r="C487" s="67"/>
      <c r="D487" s="68">
        <v>0</v>
      </c>
      <c r="E487" s="110">
        <f t="shared" si="7"/>
        <v>33000</v>
      </c>
    </row>
    <row r="488" spans="1:5" x14ac:dyDescent="0.3">
      <c r="A488" s="24">
        <v>35366</v>
      </c>
      <c r="B488" s="66">
        <v>279.88600000000002</v>
      </c>
      <c r="C488" s="67"/>
      <c r="D488" s="68">
        <v>0</v>
      </c>
      <c r="E488" s="110">
        <f t="shared" si="7"/>
        <v>33000</v>
      </c>
    </row>
    <row r="489" spans="1:5" x14ac:dyDescent="0.3">
      <c r="A489" s="24">
        <v>35367</v>
      </c>
      <c r="B489" s="66">
        <v>279.88600000000002</v>
      </c>
      <c r="C489" s="67"/>
      <c r="D489" s="68">
        <v>0</v>
      </c>
      <c r="E489" s="110">
        <f t="shared" si="7"/>
        <v>33000</v>
      </c>
    </row>
    <row r="490" spans="1:5" x14ac:dyDescent="0.3">
      <c r="A490" s="24">
        <v>35368</v>
      </c>
      <c r="B490" s="66">
        <v>279.88600000000002</v>
      </c>
      <c r="C490" s="67"/>
      <c r="D490" s="68">
        <v>0</v>
      </c>
      <c r="E490" s="110">
        <f t="shared" si="7"/>
        <v>33000</v>
      </c>
    </row>
    <row r="491" spans="1:5" x14ac:dyDescent="0.3">
      <c r="A491" s="24">
        <v>35369</v>
      </c>
      <c r="B491" s="66">
        <v>279.88600000000002</v>
      </c>
      <c r="C491" s="67"/>
      <c r="D491" s="68">
        <v>0</v>
      </c>
      <c r="E491" s="110">
        <f t="shared" si="7"/>
        <v>33000</v>
      </c>
    </row>
    <row r="492" spans="1:5" x14ac:dyDescent="0.3">
      <c r="A492" s="24">
        <v>35370</v>
      </c>
      <c r="B492" s="66">
        <v>279.88600000000002</v>
      </c>
      <c r="C492" s="67"/>
      <c r="D492" s="68">
        <v>0</v>
      </c>
      <c r="E492" s="110">
        <f t="shared" si="7"/>
        <v>33000</v>
      </c>
    </row>
    <row r="493" spans="1:5" x14ac:dyDescent="0.3">
      <c r="A493" s="24">
        <v>35371</v>
      </c>
      <c r="B493" s="66">
        <v>279.88600000000002</v>
      </c>
      <c r="C493" s="67"/>
      <c r="D493" s="68">
        <v>0</v>
      </c>
      <c r="E493" s="110">
        <f t="shared" si="7"/>
        <v>33000</v>
      </c>
    </row>
    <row r="494" spans="1:5" x14ac:dyDescent="0.3">
      <c r="A494" s="24">
        <v>35372</v>
      </c>
      <c r="B494" s="66">
        <v>279.88600000000002</v>
      </c>
      <c r="C494" s="67"/>
      <c r="D494" s="68">
        <v>0</v>
      </c>
      <c r="E494" s="110">
        <f t="shared" si="7"/>
        <v>33000</v>
      </c>
    </row>
    <row r="495" spans="1:5" x14ac:dyDescent="0.3">
      <c r="A495" s="24">
        <v>35373</v>
      </c>
      <c r="B495" s="66">
        <v>279.88600000000002</v>
      </c>
      <c r="C495" s="67"/>
      <c r="D495" s="68">
        <v>0</v>
      </c>
      <c r="E495" s="110">
        <f t="shared" si="7"/>
        <v>33000</v>
      </c>
    </row>
    <row r="496" spans="1:5" x14ac:dyDescent="0.3">
      <c r="A496" s="24">
        <v>35374</v>
      </c>
      <c r="B496" s="66">
        <v>279.88600000000002</v>
      </c>
      <c r="C496" s="67"/>
      <c r="D496" s="68">
        <v>0</v>
      </c>
      <c r="E496" s="110">
        <f t="shared" si="7"/>
        <v>33000</v>
      </c>
    </row>
    <row r="497" spans="1:5" x14ac:dyDescent="0.3">
      <c r="A497" s="24">
        <v>35375</v>
      </c>
      <c r="B497" s="66">
        <v>279.88600000000002</v>
      </c>
      <c r="C497" s="67"/>
      <c r="D497" s="68">
        <v>0</v>
      </c>
      <c r="E497" s="110">
        <f t="shared" si="7"/>
        <v>33000</v>
      </c>
    </row>
    <row r="498" spans="1:5" x14ac:dyDescent="0.3">
      <c r="A498" s="24">
        <v>35376</v>
      </c>
      <c r="B498" s="66">
        <v>279.88600000000002</v>
      </c>
      <c r="C498" s="67"/>
      <c r="D498" s="68">
        <v>0</v>
      </c>
      <c r="E498" s="110">
        <f t="shared" si="7"/>
        <v>33000</v>
      </c>
    </row>
    <row r="499" spans="1:5" x14ac:dyDescent="0.3">
      <c r="A499" s="24">
        <v>35377</v>
      </c>
      <c r="B499" s="66">
        <v>279.88600000000002</v>
      </c>
      <c r="C499" s="67"/>
      <c r="D499" s="68">
        <v>0</v>
      </c>
      <c r="E499" s="110">
        <f t="shared" si="7"/>
        <v>33000</v>
      </c>
    </row>
    <row r="500" spans="1:5" x14ac:dyDescent="0.3">
      <c r="A500" s="24">
        <v>35378</v>
      </c>
      <c r="B500" s="66">
        <v>279.88600000000002</v>
      </c>
      <c r="C500" s="67"/>
      <c r="D500" s="68">
        <v>0</v>
      </c>
      <c r="E500" s="110">
        <f t="shared" si="7"/>
        <v>33000</v>
      </c>
    </row>
    <row r="501" spans="1:5" x14ac:dyDescent="0.3">
      <c r="A501" s="24">
        <v>35379</v>
      </c>
      <c r="B501" s="66">
        <v>279.88600000000002</v>
      </c>
      <c r="C501" s="67"/>
      <c r="D501" s="68">
        <v>0</v>
      </c>
      <c r="E501" s="110">
        <f t="shared" si="7"/>
        <v>33000</v>
      </c>
    </row>
    <row r="502" spans="1:5" x14ac:dyDescent="0.3">
      <c r="A502" s="24">
        <v>35380</v>
      </c>
      <c r="B502" s="66">
        <v>279.88600000000002</v>
      </c>
      <c r="C502" s="67"/>
      <c r="D502" s="68">
        <v>0</v>
      </c>
      <c r="E502" s="110">
        <f t="shared" si="7"/>
        <v>33000</v>
      </c>
    </row>
    <row r="503" spans="1:5" x14ac:dyDescent="0.3">
      <c r="A503" s="24">
        <v>35381</v>
      </c>
      <c r="B503" s="66">
        <v>279.88600000000002</v>
      </c>
      <c r="C503" s="67"/>
      <c r="D503" s="68">
        <v>0</v>
      </c>
      <c r="E503" s="110">
        <f t="shared" si="7"/>
        <v>33000</v>
      </c>
    </row>
    <row r="504" spans="1:5" x14ac:dyDescent="0.3">
      <c r="A504" s="24">
        <v>35382</v>
      </c>
      <c r="B504" s="66">
        <v>279.88600000000002</v>
      </c>
      <c r="C504" s="67"/>
      <c r="D504" s="68">
        <v>0</v>
      </c>
      <c r="E504" s="110">
        <f t="shared" si="7"/>
        <v>33000</v>
      </c>
    </row>
    <row r="505" spans="1:5" x14ac:dyDescent="0.3">
      <c r="A505" s="24">
        <v>35383</v>
      </c>
      <c r="B505" s="66">
        <v>279.88600000000002</v>
      </c>
      <c r="C505" s="67"/>
      <c r="D505" s="68">
        <v>0</v>
      </c>
      <c r="E505" s="110">
        <f t="shared" si="7"/>
        <v>33000</v>
      </c>
    </row>
    <row r="506" spans="1:5" x14ac:dyDescent="0.3">
      <c r="A506" s="24">
        <v>35384</v>
      </c>
      <c r="B506" s="66">
        <v>279.88600000000002</v>
      </c>
      <c r="C506" s="67"/>
      <c r="D506" s="68">
        <v>0</v>
      </c>
      <c r="E506" s="110">
        <f t="shared" si="7"/>
        <v>33000</v>
      </c>
    </row>
    <row r="507" spans="1:5" x14ac:dyDescent="0.3">
      <c r="A507" s="24">
        <v>35385</v>
      </c>
      <c r="B507" s="66">
        <v>279.88600000000002</v>
      </c>
      <c r="C507" s="67"/>
      <c r="D507" s="68">
        <v>0</v>
      </c>
      <c r="E507" s="110">
        <f t="shared" si="7"/>
        <v>33000</v>
      </c>
    </row>
    <row r="508" spans="1:5" x14ac:dyDescent="0.3">
      <c r="A508" s="24">
        <v>35386</v>
      </c>
      <c r="B508" s="66">
        <v>279.88600000000002</v>
      </c>
      <c r="C508" s="67"/>
      <c r="D508" s="68">
        <v>0</v>
      </c>
      <c r="E508" s="110">
        <f t="shared" si="7"/>
        <v>33000</v>
      </c>
    </row>
    <row r="509" spans="1:5" x14ac:dyDescent="0.3">
      <c r="A509" s="24">
        <v>35387</v>
      </c>
      <c r="B509" s="66">
        <v>279.88600000000002</v>
      </c>
      <c r="C509" s="67"/>
      <c r="D509" s="68">
        <v>0</v>
      </c>
      <c r="E509" s="110">
        <f t="shared" ref="E509:E572" si="8">+E508</f>
        <v>33000</v>
      </c>
    </row>
    <row r="510" spans="1:5" x14ac:dyDescent="0.3">
      <c r="A510" s="24">
        <v>35388</v>
      </c>
      <c r="B510" s="66">
        <v>279.88600000000002</v>
      </c>
      <c r="C510" s="67"/>
      <c r="D510" s="68">
        <v>0</v>
      </c>
      <c r="E510" s="110">
        <f t="shared" si="8"/>
        <v>33000</v>
      </c>
    </row>
    <row r="511" spans="1:5" x14ac:dyDescent="0.3">
      <c r="A511" s="24">
        <v>35389</v>
      </c>
      <c r="B511" s="66">
        <v>279.88600000000002</v>
      </c>
      <c r="C511" s="67"/>
      <c r="D511" s="68">
        <v>0</v>
      </c>
      <c r="E511" s="110">
        <f t="shared" si="8"/>
        <v>33000</v>
      </c>
    </row>
    <row r="512" spans="1:5" x14ac:dyDescent="0.3">
      <c r="A512" s="24">
        <v>35390</v>
      </c>
      <c r="B512" s="66">
        <v>279.88600000000002</v>
      </c>
      <c r="C512" s="67"/>
      <c r="D512" s="68">
        <v>0</v>
      </c>
      <c r="E512" s="110">
        <f t="shared" si="8"/>
        <v>33000</v>
      </c>
    </row>
    <row r="513" spans="1:5" x14ac:dyDescent="0.3">
      <c r="A513" s="24">
        <v>35391</v>
      </c>
      <c r="B513" s="66">
        <v>279.88600000000002</v>
      </c>
      <c r="C513" s="67"/>
      <c r="D513" s="68">
        <v>0</v>
      </c>
      <c r="E513" s="110">
        <f t="shared" si="8"/>
        <v>33000</v>
      </c>
    </row>
    <row r="514" spans="1:5" x14ac:dyDescent="0.3">
      <c r="A514" s="24">
        <v>35392</v>
      </c>
      <c r="B514" s="66">
        <v>279.88600000000002</v>
      </c>
      <c r="C514" s="67"/>
      <c r="D514" s="68">
        <v>0</v>
      </c>
      <c r="E514" s="110">
        <f t="shared" si="8"/>
        <v>33000</v>
      </c>
    </row>
    <row r="515" spans="1:5" x14ac:dyDescent="0.3">
      <c r="A515" s="24">
        <v>35393</v>
      </c>
      <c r="B515" s="66">
        <v>279.88600000000002</v>
      </c>
      <c r="C515" s="67"/>
      <c r="D515" s="68">
        <v>0</v>
      </c>
      <c r="E515" s="110">
        <f t="shared" si="8"/>
        <v>33000</v>
      </c>
    </row>
    <row r="516" spans="1:5" x14ac:dyDescent="0.3">
      <c r="A516" s="24">
        <v>35394</v>
      </c>
      <c r="B516" s="66">
        <v>279.88600000000002</v>
      </c>
      <c r="C516" s="67"/>
      <c r="D516" s="68">
        <v>0</v>
      </c>
      <c r="E516" s="110">
        <f t="shared" si="8"/>
        <v>33000</v>
      </c>
    </row>
    <row r="517" spans="1:5" x14ac:dyDescent="0.3">
      <c r="A517" s="24">
        <v>35395</v>
      </c>
      <c r="B517" s="66">
        <v>279.88600000000002</v>
      </c>
      <c r="C517" s="67"/>
      <c r="D517" s="68">
        <v>0</v>
      </c>
      <c r="E517" s="110">
        <f t="shared" si="8"/>
        <v>33000</v>
      </c>
    </row>
    <row r="518" spans="1:5" x14ac:dyDescent="0.3">
      <c r="A518" s="24">
        <v>35396</v>
      </c>
      <c r="B518" s="66">
        <v>279.88600000000002</v>
      </c>
      <c r="C518" s="67"/>
      <c r="D518" s="68">
        <v>0</v>
      </c>
      <c r="E518" s="110">
        <f t="shared" si="8"/>
        <v>33000</v>
      </c>
    </row>
    <row r="519" spans="1:5" x14ac:dyDescent="0.3">
      <c r="A519" s="24">
        <v>35397</v>
      </c>
      <c r="B519" s="66">
        <v>279.88600000000002</v>
      </c>
      <c r="C519" s="67"/>
      <c r="D519" s="68">
        <v>0</v>
      </c>
      <c r="E519" s="110">
        <f t="shared" si="8"/>
        <v>33000</v>
      </c>
    </row>
    <row r="520" spans="1:5" x14ac:dyDescent="0.3">
      <c r="A520" s="24">
        <v>35398</v>
      </c>
      <c r="B520" s="66">
        <v>279.88600000000002</v>
      </c>
      <c r="C520" s="67"/>
      <c r="D520" s="68">
        <v>0</v>
      </c>
      <c r="E520" s="110">
        <f t="shared" si="8"/>
        <v>33000</v>
      </c>
    </row>
    <row r="521" spans="1:5" x14ac:dyDescent="0.3">
      <c r="A521" s="24">
        <v>35399</v>
      </c>
      <c r="B521" s="66">
        <v>279.88600000000002</v>
      </c>
      <c r="C521" s="67"/>
      <c r="D521" s="68">
        <v>0</v>
      </c>
      <c r="E521" s="110">
        <f t="shared" si="8"/>
        <v>33000</v>
      </c>
    </row>
    <row r="522" spans="1:5" x14ac:dyDescent="0.3">
      <c r="A522" s="24">
        <v>35400</v>
      </c>
      <c r="B522" s="66">
        <v>279.88600000000002</v>
      </c>
      <c r="C522" s="67"/>
      <c r="D522" s="68">
        <v>0</v>
      </c>
      <c r="E522" s="110">
        <f t="shared" si="8"/>
        <v>33000</v>
      </c>
    </row>
    <row r="523" spans="1:5" x14ac:dyDescent="0.3">
      <c r="A523" s="24">
        <v>35401</v>
      </c>
      <c r="B523" s="66">
        <v>279.88600000000002</v>
      </c>
      <c r="C523" s="67"/>
      <c r="D523" s="68">
        <v>0</v>
      </c>
      <c r="E523" s="110">
        <f t="shared" si="8"/>
        <v>33000</v>
      </c>
    </row>
    <row r="524" spans="1:5" x14ac:dyDescent="0.3">
      <c r="A524" s="24">
        <v>35402</v>
      </c>
      <c r="B524" s="66">
        <v>279.88600000000002</v>
      </c>
      <c r="C524" s="67"/>
      <c r="D524" s="68">
        <v>0</v>
      </c>
      <c r="E524" s="110">
        <f t="shared" si="8"/>
        <v>33000</v>
      </c>
    </row>
    <row r="525" spans="1:5" x14ac:dyDescent="0.3">
      <c r="A525" s="24">
        <v>35403</v>
      </c>
      <c r="B525" s="66">
        <v>279.88600000000002</v>
      </c>
      <c r="C525" s="67"/>
      <c r="D525" s="68">
        <v>0</v>
      </c>
      <c r="E525" s="110">
        <f t="shared" si="8"/>
        <v>33000</v>
      </c>
    </row>
    <row r="526" spans="1:5" x14ac:dyDescent="0.3">
      <c r="A526" s="24">
        <v>35404</v>
      </c>
      <c r="B526" s="66">
        <v>279.88600000000002</v>
      </c>
      <c r="C526" s="67"/>
      <c r="D526" s="68">
        <v>0</v>
      </c>
      <c r="E526" s="110">
        <f t="shared" si="8"/>
        <v>33000</v>
      </c>
    </row>
    <row r="527" spans="1:5" x14ac:dyDescent="0.3">
      <c r="A527" s="24">
        <v>35405</v>
      </c>
      <c r="B527" s="66">
        <v>279.88600000000002</v>
      </c>
      <c r="C527" s="67"/>
      <c r="D527" s="68">
        <v>0</v>
      </c>
      <c r="E527" s="110">
        <f t="shared" si="8"/>
        <v>33000</v>
      </c>
    </row>
    <row r="528" spans="1:5" x14ac:dyDescent="0.3">
      <c r="A528" s="24">
        <v>35406</v>
      </c>
      <c r="B528" s="66">
        <v>279.88600000000002</v>
      </c>
      <c r="C528" s="67"/>
      <c r="D528" s="68">
        <v>0</v>
      </c>
      <c r="E528" s="110">
        <f t="shared" si="8"/>
        <v>33000</v>
      </c>
    </row>
    <row r="529" spans="1:5" x14ac:dyDescent="0.3">
      <c r="A529" s="24">
        <v>35407</v>
      </c>
      <c r="B529" s="66">
        <v>279.88600000000002</v>
      </c>
      <c r="C529" s="67"/>
      <c r="D529" s="68">
        <v>0</v>
      </c>
      <c r="E529" s="110">
        <f t="shared" si="8"/>
        <v>33000</v>
      </c>
    </row>
    <row r="530" spans="1:5" x14ac:dyDescent="0.3">
      <c r="A530" s="24">
        <v>35408</v>
      </c>
      <c r="B530" s="66">
        <v>279.88600000000002</v>
      </c>
      <c r="C530" s="67"/>
      <c r="D530" s="68">
        <v>0</v>
      </c>
      <c r="E530" s="110">
        <f t="shared" si="8"/>
        <v>33000</v>
      </c>
    </row>
    <row r="531" spans="1:5" x14ac:dyDescent="0.3">
      <c r="A531" s="24">
        <v>35409</v>
      </c>
      <c r="B531" s="66">
        <v>279.88600000000002</v>
      </c>
      <c r="C531" s="67"/>
      <c r="D531" s="68">
        <v>0</v>
      </c>
      <c r="E531" s="110">
        <f t="shared" si="8"/>
        <v>33000</v>
      </c>
    </row>
    <row r="532" spans="1:5" x14ac:dyDescent="0.3">
      <c r="A532" s="24">
        <v>35410</v>
      </c>
      <c r="B532" s="66">
        <v>279.88600000000002</v>
      </c>
      <c r="C532" s="67"/>
      <c r="D532" s="68">
        <v>0</v>
      </c>
      <c r="E532" s="110">
        <f t="shared" si="8"/>
        <v>33000</v>
      </c>
    </row>
    <row r="533" spans="1:5" x14ac:dyDescent="0.3">
      <c r="A533" s="24">
        <v>35411</v>
      </c>
      <c r="B533" s="66">
        <v>279.88600000000002</v>
      </c>
      <c r="C533" s="67"/>
      <c r="D533" s="68">
        <v>0</v>
      </c>
      <c r="E533" s="110">
        <f t="shared" si="8"/>
        <v>33000</v>
      </c>
    </row>
    <row r="534" spans="1:5" x14ac:dyDescent="0.3">
      <c r="A534" s="24">
        <v>35412</v>
      </c>
      <c r="B534" s="66">
        <v>279.88600000000002</v>
      </c>
      <c r="C534" s="67"/>
      <c r="D534" s="68">
        <v>0</v>
      </c>
      <c r="E534" s="110">
        <f t="shared" si="8"/>
        <v>33000</v>
      </c>
    </row>
    <row r="535" spans="1:5" x14ac:dyDescent="0.3">
      <c r="A535" s="24">
        <v>35413</v>
      </c>
      <c r="B535" s="66">
        <v>279.88600000000002</v>
      </c>
      <c r="C535" s="67"/>
      <c r="D535" s="68">
        <v>0</v>
      </c>
      <c r="E535" s="110">
        <f t="shared" si="8"/>
        <v>33000</v>
      </c>
    </row>
    <row r="536" spans="1:5" x14ac:dyDescent="0.3">
      <c r="A536" s="24">
        <v>35414</v>
      </c>
      <c r="B536" s="66">
        <v>279.88600000000002</v>
      </c>
      <c r="C536" s="67"/>
      <c r="D536" s="68">
        <v>0</v>
      </c>
      <c r="E536" s="110">
        <f t="shared" si="8"/>
        <v>33000</v>
      </c>
    </row>
    <row r="537" spans="1:5" x14ac:dyDescent="0.3">
      <c r="A537" s="24">
        <v>35415</v>
      </c>
      <c r="B537" s="66">
        <v>279.88600000000002</v>
      </c>
      <c r="C537" s="67"/>
      <c r="D537" s="68">
        <v>0</v>
      </c>
      <c r="E537" s="110">
        <f t="shared" si="8"/>
        <v>33000</v>
      </c>
    </row>
    <row r="538" spans="1:5" x14ac:dyDescent="0.3">
      <c r="A538" s="24">
        <v>35416</v>
      </c>
      <c r="B538" s="66">
        <v>279.88600000000002</v>
      </c>
      <c r="C538" s="67"/>
      <c r="D538" s="68">
        <v>0</v>
      </c>
      <c r="E538" s="110">
        <f t="shared" si="8"/>
        <v>33000</v>
      </c>
    </row>
    <row r="539" spans="1:5" x14ac:dyDescent="0.3">
      <c r="A539" s="24">
        <v>35417</v>
      </c>
      <c r="B539" s="66">
        <v>279.88600000000002</v>
      </c>
      <c r="C539" s="67"/>
      <c r="D539" s="68">
        <v>0</v>
      </c>
      <c r="E539" s="110">
        <f t="shared" si="8"/>
        <v>33000</v>
      </c>
    </row>
    <row r="540" spans="1:5" x14ac:dyDescent="0.3">
      <c r="A540" s="24">
        <v>35418</v>
      </c>
      <c r="B540" s="66">
        <v>279.88600000000002</v>
      </c>
      <c r="C540" s="67"/>
      <c r="D540" s="68">
        <v>0</v>
      </c>
      <c r="E540" s="110">
        <f t="shared" si="8"/>
        <v>33000</v>
      </c>
    </row>
    <row r="541" spans="1:5" x14ac:dyDescent="0.3">
      <c r="A541" s="24">
        <v>35419</v>
      </c>
      <c r="B541" s="66">
        <v>279.88600000000002</v>
      </c>
      <c r="C541" s="67"/>
      <c r="D541" s="68">
        <v>0</v>
      </c>
      <c r="E541" s="110">
        <f t="shared" si="8"/>
        <v>33000</v>
      </c>
    </row>
    <row r="542" spans="1:5" x14ac:dyDescent="0.3">
      <c r="A542" s="24">
        <v>35420</v>
      </c>
      <c r="B542" s="66">
        <v>279.88600000000002</v>
      </c>
      <c r="C542" s="67"/>
      <c r="D542" s="68">
        <v>0</v>
      </c>
      <c r="E542" s="110">
        <f t="shared" si="8"/>
        <v>33000</v>
      </c>
    </row>
    <row r="543" spans="1:5" x14ac:dyDescent="0.3">
      <c r="A543" s="24">
        <v>35421</v>
      </c>
      <c r="B543" s="66">
        <v>279.88600000000002</v>
      </c>
      <c r="C543" s="67"/>
      <c r="D543" s="68">
        <v>0</v>
      </c>
      <c r="E543" s="110">
        <f t="shared" si="8"/>
        <v>33000</v>
      </c>
    </row>
    <row r="544" spans="1:5" x14ac:dyDescent="0.3">
      <c r="A544" s="24">
        <v>35422</v>
      </c>
      <c r="B544" s="66">
        <v>279.88600000000002</v>
      </c>
      <c r="C544" s="67"/>
      <c r="D544" s="68">
        <v>0</v>
      </c>
      <c r="E544" s="110">
        <f t="shared" si="8"/>
        <v>33000</v>
      </c>
    </row>
    <row r="545" spans="1:5" x14ac:dyDescent="0.3">
      <c r="A545" s="24">
        <v>35423</v>
      </c>
      <c r="B545" s="66">
        <v>279.88600000000002</v>
      </c>
      <c r="C545" s="67"/>
      <c r="D545" s="68">
        <v>0</v>
      </c>
      <c r="E545" s="110">
        <f t="shared" si="8"/>
        <v>33000</v>
      </c>
    </row>
    <row r="546" spans="1:5" x14ac:dyDescent="0.3">
      <c r="A546" s="24">
        <v>35424</v>
      </c>
      <c r="B546" s="66">
        <v>279.88600000000002</v>
      </c>
      <c r="C546" s="67"/>
      <c r="D546" s="68">
        <v>0</v>
      </c>
      <c r="E546" s="110">
        <f t="shared" si="8"/>
        <v>33000</v>
      </c>
    </row>
    <row r="547" spans="1:5" x14ac:dyDescent="0.3">
      <c r="A547" s="24">
        <v>35425</v>
      </c>
      <c r="B547" s="66">
        <v>279.88600000000002</v>
      </c>
      <c r="C547" s="67"/>
      <c r="D547" s="68">
        <v>0</v>
      </c>
      <c r="E547" s="110">
        <f t="shared" si="8"/>
        <v>33000</v>
      </c>
    </row>
    <row r="548" spans="1:5" x14ac:dyDescent="0.3">
      <c r="A548" s="24">
        <v>35426</v>
      </c>
      <c r="B548" s="66">
        <v>279.88600000000002</v>
      </c>
      <c r="C548" s="67"/>
      <c r="D548" s="68">
        <v>0</v>
      </c>
      <c r="E548" s="110">
        <f t="shared" si="8"/>
        <v>33000</v>
      </c>
    </row>
    <row r="549" spans="1:5" x14ac:dyDescent="0.3">
      <c r="A549" s="24">
        <v>35427</v>
      </c>
      <c r="B549" s="66">
        <v>279.88600000000002</v>
      </c>
      <c r="C549" s="67"/>
      <c r="D549" s="68">
        <v>0</v>
      </c>
      <c r="E549" s="110">
        <f t="shared" si="8"/>
        <v>33000</v>
      </c>
    </row>
    <row r="550" spans="1:5" x14ac:dyDescent="0.3">
      <c r="A550" s="24">
        <v>35428</v>
      </c>
      <c r="B550" s="66">
        <v>279.88600000000002</v>
      </c>
      <c r="C550" s="67"/>
      <c r="D550" s="68">
        <v>0</v>
      </c>
      <c r="E550" s="110">
        <f t="shared" si="8"/>
        <v>33000</v>
      </c>
    </row>
    <row r="551" spans="1:5" x14ac:dyDescent="0.3">
      <c r="A551" s="24">
        <v>35429</v>
      </c>
      <c r="B551" s="66">
        <v>279.88600000000002</v>
      </c>
      <c r="C551" s="67"/>
      <c r="D551" s="68">
        <v>0</v>
      </c>
      <c r="E551" s="110">
        <f t="shared" si="8"/>
        <v>33000</v>
      </c>
    </row>
    <row r="552" spans="1:5" x14ac:dyDescent="0.3">
      <c r="A552" s="24">
        <v>35430</v>
      </c>
      <c r="B552" s="66">
        <v>300.11099999999999</v>
      </c>
      <c r="C552" s="67"/>
      <c r="D552" s="68">
        <v>0</v>
      </c>
      <c r="E552" s="110">
        <f t="shared" si="8"/>
        <v>33000</v>
      </c>
    </row>
    <row r="553" spans="1:5" x14ac:dyDescent="0.3">
      <c r="A553" s="24">
        <v>35431</v>
      </c>
      <c r="B553" s="66">
        <v>300.11099999999999</v>
      </c>
      <c r="C553" s="67"/>
      <c r="D553" s="68">
        <v>0</v>
      </c>
      <c r="E553" s="110">
        <f t="shared" si="8"/>
        <v>33000</v>
      </c>
    </row>
    <row r="554" spans="1:5" x14ac:dyDescent="0.3">
      <c r="A554" s="24">
        <v>35432</v>
      </c>
      <c r="B554" s="66">
        <v>300.11099999999999</v>
      </c>
      <c r="C554" s="67"/>
      <c r="D554" s="68">
        <v>0</v>
      </c>
      <c r="E554" s="110">
        <f t="shared" si="8"/>
        <v>33000</v>
      </c>
    </row>
    <row r="555" spans="1:5" x14ac:dyDescent="0.3">
      <c r="A555" s="24">
        <v>35433</v>
      </c>
      <c r="B555" s="66">
        <v>300.11099999999999</v>
      </c>
      <c r="C555" s="67"/>
      <c r="D555" s="68">
        <v>0</v>
      </c>
      <c r="E555" s="110">
        <f t="shared" si="8"/>
        <v>33000</v>
      </c>
    </row>
    <row r="556" spans="1:5" x14ac:dyDescent="0.3">
      <c r="A556" s="24">
        <v>35434</v>
      </c>
      <c r="B556" s="66">
        <v>300.11099999999999</v>
      </c>
      <c r="C556" s="67"/>
      <c r="D556" s="68">
        <v>0</v>
      </c>
      <c r="E556" s="110">
        <f t="shared" si="8"/>
        <v>33000</v>
      </c>
    </row>
    <row r="557" spans="1:5" x14ac:dyDescent="0.3">
      <c r="A557" s="24">
        <v>35435</v>
      </c>
      <c r="B557" s="66">
        <v>300.11099999999999</v>
      </c>
      <c r="C557" s="67"/>
      <c r="D557" s="68">
        <v>0</v>
      </c>
      <c r="E557" s="110">
        <f t="shared" si="8"/>
        <v>33000</v>
      </c>
    </row>
    <row r="558" spans="1:5" x14ac:dyDescent="0.3">
      <c r="A558" s="24">
        <v>35436</v>
      </c>
      <c r="B558" s="66">
        <v>300.11099999999999</v>
      </c>
      <c r="C558" s="67"/>
      <c r="D558" s="68">
        <v>0</v>
      </c>
      <c r="E558" s="110">
        <f t="shared" si="8"/>
        <v>33000</v>
      </c>
    </row>
    <row r="559" spans="1:5" x14ac:dyDescent="0.3">
      <c r="A559" s="24">
        <v>35437</v>
      </c>
      <c r="B559" s="66">
        <v>300.11099999999999</v>
      </c>
      <c r="C559" s="67"/>
      <c r="D559" s="68">
        <v>0</v>
      </c>
      <c r="E559" s="110">
        <f t="shared" si="8"/>
        <v>33000</v>
      </c>
    </row>
    <row r="560" spans="1:5" x14ac:dyDescent="0.3">
      <c r="A560" s="24">
        <v>35438</v>
      </c>
      <c r="B560" s="66">
        <v>300.11099999999999</v>
      </c>
      <c r="C560" s="67"/>
      <c r="D560" s="68">
        <v>0</v>
      </c>
      <c r="E560" s="110">
        <f t="shared" si="8"/>
        <v>33000</v>
      </c>
    </row>
    <row r="561" spans="1:5" x14ac:dyDescent="0.3">
      <c r="A561" s="24">
        <v>35439</v>
      </c>
      <c r="B561" s="66">
        <v>300.11099999999999</v>
      </c>
      <c r="C561" s="67"/>
      <c r="D561" s="68">
        <v>0</v>
      </c>
      <c r="E561" s="110">
        <f t="shared" si="8"/>
        <v>33000</v>
      </c>
    </row>
    <row r="562" spans="1:5" x14ac:dyDescent="0.3">
      <c r="A562" s="24">
        <v>35440</v>
      </c>
      <c r="B562" s="66">
        <v>300.11099999999999</v>
      </c>
      <c r="C562" s="67"/>
      <c r="D562" s="68">
        <v>0</v>
      </c>
      <c r="E562" s="110">
        <f t="shared" si="8"/>
        <v>33000</v>
      </c>
    </row>
    <row r="563" spans="1:5" x14ac:dyDescent="0.3">
      <c r="A563" s="24">
        <v>35441</v>
      </c>
      <c r="B563" s="66">
        <v>300.11099999999999</v>
      </c>
      <c r="C563" s="67"/>
      <c r="D563" s="68">
        <v>0</v>
      </c>
      <c r="E563" s="110">
        <f t="shared" si="8"/>
        <v>33000</v>
      </c>
    </row>
    <row r="564" spans="1:5" x14ac:dyDescent="0.3">
      <c r="A564" s="24">
        <v>35442</v>
      </c>
      <c r="B564" s="66">
        <v>300.11099999999999</v>
      </c>
      <c r="C564" s="67"/>
      <c r="D564" s="68">
        <v>0</v>
      </c>
      <c r="E564" s="110">
        <f t="shared" si="8"/>
        <v>33000</v>
      </c>
    </row>
    <row r="565" spans="1:5" x14ac:dyDescent="0.3">
      <c r="A565" s="24">
        <v>35443</v>
      </c>
      <c r="B565" s="66">
        <v>300.11099999999999</v>
      </c>
      <c r="C565" s="67"/>
      <c r="D565" s="68">
        <v>0</v>
      </c>
      <c r="E565" s="110">
        <f t="shared" si="8"/>
        <v>33000</v>
      </c>
    </row>
    <row r="566" spans="1:5" x14ac:dyDescent="0.3">
      <c r="A566" s="24">
        <v>35444</v>
      </c>
      <c r="B566" s="66">
        <v>300.11099999999999</v>
      </c>
      <c r="C566" s="67"/>
      <c r="D566" s="68">
        <v>0</v>
      </c>
      <c r="E566" s="110">
        <f t="shared" si="8"/>
        <v>33000</v>
      </c>
    </row>
    <row r="567" spans="1:5" x14ac:dyDescent="0.3">
      <c r="A567" s="24">
        <v>35445</v>
      </c>
      <c r="B567" s="66">
        <v>300.11099999999999</v>
      </c>
      <c r="C567" s="67"/>
      <c r="D567" s="68">
        <v>0</v>
      </c>
      <c r="E567" s="110">
        <f t="shared" si="8"/>
        <v>33000</v>
      </c>
    </row>
    <row r="568" spans="1:5" x14ac:dyDescent="0.3">
      <c r="A568" s="24">
        <v>35446</v>
      </c>
      <c r="B568" s="66">
        <v>300.11099999999999</v>
      </c>
      <c r="C568" s="67"/>
      <c r="D568" s="68">
        <v>0</v>
      </c>
      <c r="E568" s="110">
        <f t="shared" si="8"/>
        <v>33000</v>
      </c>
    </row>
    <row r="569" spans="1:5" x14ac:dyDescent="0.3">
      <c r="A569" s="24">
        <v>35447</v>
      </c>
      <c r="B569" s="66">
        <v>300.11099999999999</v>
      </c>
      <c r="C569" s="67"/>
      <c r="D569" s="68">
        <v>0</v>
      </c>
      <c r="E569" s="110">
        <f t="shared" si="8"/>
        <v>33000</v>
      </c>
    </row>
    <row r="570" spans="1:5" x14ac:dyDescent="0.3">
      <c r="A570" s="24">
        <v>35448</v>
      </c>
      <c r="B570" s="66">
        <v>300.11099999999999</v>
      </c>
      <c r="C570" s="67"/>
      <c r="D570" s="68">
        <v>0</v>
      </c>
      <c r="E570" s="110">
        <f t="shared" si="8"/>
        <v>33000</v>
      </c>
    </row>
    <row r="571" spans="1:5" x14ac:dyDescent="0.3">
      <c r="A571" s="24">
        <v>35449</v>
      </c>
      <c r="B571" s="66">
        <v>300.11099999999999</v>
      </c>
      <c r="C571" s="67"/>
      <c r="D571" s="68">
        <v>0</v>
      </c>
      <c r="E571" s="110">
        <f t="shared" si="8"/>
        <v>33000</v>
      </c>
    </row>
    <row r="572" spans="1:5" x14ac:dyDescent="0.3">
      <c r="A572" s="24">
        <v>35450</v>
      </c>
      <c r="B572" s="66">
        <v>300.11099999999999</v>
      </c>
      <c r="C572" s="67"/>
      <c r="D572" s="68">
        <v>0</v>
      </c>
      <c r="E572" s="110">
        <f t="shared" si="8"/>
        <v>33000</v>
      </c>
    </row>
    <row r="573" spans="1:5" x14ac:dyDescent="0.3">
      <c r="A573" s="24">
        <v>35451</v>
      </c>
      <c r="B573" s="66">
        <v>300.11099999999999</v>
      </c>
      <c r="C573" s="67"/>
      <c r="D573" s="68">
        <v>0</v>
      </c>
      <c r="E573" s="110">
        <f t="shared" ref="E573:E636" si="9">+E572</f>
        <v>33000</v>
      </c>
    </row>
    <row r="574" spans="1:5" x14ac:dyDescent="0.3">
      <c r="A574" s="24">
        <v>35452</v>
      </c>
      <c r="B574" s="66">
        <v>300.11099999999999</v>
      </c>
      <c r="C574" s="67"/>
      <c r="D574" s="68">
        <v>0</v>
      </c>
      <c r="E574" s="110">
        <f t="shared" si="9"/>
        <v>33000</v>
      </c>
    </row>
    <row r="575" spans="1:5" x14ac:dyDescent="0.3">
      <c r="A575" s="24">
        <v>35453</v>
      </c>
      <c r="B575" s="66">
        <v>300.11099999999999</v>
      </c>
      <c r="C575" s="67"/>
      <c r="D575" s="68">
        <v>0</v>
      </c>
      <c r="E575" s="110">
        <f t="shared" si="9"/>
        <v>33000</v>
      </c>
    </row>
    <row r="576" spans="1:5" x14ac:dyDescent="0.3">
      <c r="A576" s="24">
        <v>35454</v>
      </c>
      <c r="B576" s="66">
        <v>300.11099999999999</v>
      </c>
      <c r="C576" s="67"/>
      <c r="D576" s="68">
        <v>0</v>
      </c>
      <c r="E576" s="110">
        <f t="shared" si="9"/>
        <v>33000</v>
      </c>
    </row>
    <row r="577" spans="1:5" x14ac:dyDescent="0.3">
      <c r="A577" s="24">
        <v>35455</v>
      </c>
      <c r="B577" s="66">
        <v>300.11099999999999</v>
      </c>
      <c r="C577" s="67"/>
      <c r="D577" s="68">
        <v>0</v>
      </c>
      <c r="E577" s="110">
        <f t="shared" si="9"/>
        <v>33000</v>
      </c>
    </row>
    <row r="578" spans="1:5" x14ac:dyDescent="0.3">
      <c r="A578" s="24">
        <v>35456</v>
      </c>
      <c r="B578" s="66">
        <v>300.11099999999999</v>
      </c>
      <c r="C578" s="67"/>
      <c r="D578" s="68">
        <v>0</v>
      </c>
      <c r="E578" s="110">
        <f t="shared" si="9"/>
        <v>33000</v>
      </c>
    </row>
    <row r="579" spans="1:5" x14ac:dyDescent="0.3">
      <c r="A579" s="24">
        <v>35457</v>
      </c>
      <c r="B579" s="66">
        <v>300.11099999999999</v>
      </c>
      <c r="C579" s="67"/>
      <c r="D579" s="68">
        <v>0</v>
      </c>
      <c r="E579" s="110">
        <f t="shared" si="9"/>
        <v>33000</v>
      </c>
    </row>
    <row r="580" spans="1:5" x14ac:dyDescent="0.3">
      <c r="A580" s="24">
        <v>35458</v>
      </c>
      <c r="B580" s="66">
        <v>300.11099999999999</v>
      </c>
      <c r="C580" s="67"/>
      <c r="D580" s="68">
        <v>0</v>
      </c>
      <c r="E580" s="110">
        <f t="shared" si="9"/>
        <v>33000</v>
      </c>
    </row>
    <row r="581" spans="1:5" x14ac:dyDescent="0.3">
      <c r="A581" s="24">
        <v>35459</v>
      </c>
      <c r="B581" s="66">
        <v>300.11099999999999</v>
      </c>
      <c r="C581" s="67"/>
      <c r="D581" s="68">
        <v>0</v>
      </c>
      <c r="E581" s="110">
        <f t="shared" si="9"/>
        <v>33000</v>
      </c>
    </row>
    <row r="582" spans="1:5" x14ac:dyDescent="0.3">
      <c r="A582" s="24">
        <v>35460</v>
      </c>
      <c r="B582" s="66">
        <v>300.11099999999999</v>
      </c>
      <c r="C582" s="67"/>
      <c r="D582" s="68">
        <v>0</v>
      </c>
      <c r="E582" s="110">
        <f t="shared" si="9"/>
        <v>33000</v>
      </c>
    </row>
    <row r="583" spans="1:5" x14ac:dyDescent="0.3">
      <c r="A583" s="24">
        <v>35461</v>
      </c>
      <c r="B583" s="66">
        <v>300.11099999999999</v>
      </c>
      <c r="C583" s="67"/>
      <c r="D583" s="68">
        <v>0</v>
      </c>
      <c r="E583" s="110">
        <f t="shared" si="9"/>
        <v>33000</v>
      </c>
    </row>
    <row r="584" spans="1:5" x14ac:dyDescent="0.3">
      <c r="A584" s="24">
        <v>35462</v>
      </c>
      <c r="B584" s="66">
        <v>300.11099999999999</v>
      </c>
      <c r="C584" s="67"/>
      <c r="D584" s="68">
        <v>0</v>
      </c>
      <c r="E584" s="110">
        <f t="shared" si="9"/>
        <v>33000</v>
      </c>
    </row>
    <row r="585" spans="1:5" x14ac:dyDescent="0.3">
      <c r="A585" s="24">
        <v>35463</v>
      </c>
      <c r="B585" s="66">
        <v>300.11099999999999</v>
      </c>
      <c r="C585" s="67"/>
      <c r="D585" s="68">
        <v>0</v>
      </c>
      <c r="E585" s="110">
        <f t="shared" si="9"/>
        <v>33000</v>
      </c>
    </row>
    <row r="586" spans="1:5" x14ac:dyDescent="0.3">
      <c r="A586" s="24">
        <v>35464</v>
      </c>
      <c r="B586" s="66">
        <v>300.11099999999999</v>
      </c>
      <c r="C586" s="67"/>
      <c r="D586" s="68">
        <v>0</v>
      </c>
      <c r="E586" s="110">
        <f t="shared" si="9"/>
        <v>33000</v>
      </c>
    </row>
    <row r="587" spans="1:5" x14ac:dyDescent="0.3">
      <c r="A587" s="24">
        <v>35465</v>
      </c>
      <c r="B587" s="66">
        <v>300.11099999999999</v>
      </c>
      <c r="C587" s="67"/>
      <c r="D587" s="68">
        <v>0</v>
      </c>
      <c r="E587" s="110">
        <f t="shared" si="9"/>
        <v>33000</v>
      </c>
    </row>
    <row r="588" spans="1:5" x14ac:dyDescent="0.3">
      <c r="A588" s="24">
        <v>35466</v>
      </c>
      <c r="B588" s="66">
        <v>300.11099999999999</v>
      </c>
      <c r="C588" s="67"/>
      <c r="D588" s="68">
        <v>0</v>
      </c>
      <c r="E588" s="110">
        <f t="shared" si="9"/>
        <v>33000</v>
      </c>
    </row>
    <row r="589" spans="1:5" x14ac:dyDescent="0.3">
      <c r="A589" s="24">
        <v>35467</v>
      </c>
      <c r="B589" s="66">
        <v>300.11099999999999</v>
      </c>
      <c r="C589" s="67"/>
      <c r="D589" s="68">
        <v>0</v>
      </c>
      <c r="E589" s="110">
        <f t="shared" si="9"/>
        <v>33000</v>
      </c>
    </row>
    <row r="590" spans="1:5" x14ac:dyDescent="0.3">
      <c r="A590" s="24">
        <v>35468</v>
      </c>
      <c r="B590" s="66">
        <v>300.11099999999999</v>
      </c>
      <c r="C590" s="67"/>
      <c r="D590" s="68">
        <v>0</v>
      </c>
      <c r="E590" s="110">
        <f t="shared" si="9"/>
        <v>33000</v>
      </c>
    </row>
    <row r="591" spans="1:5" x14ac:dyDescent="0.3">
      <c r="A591" s="24">
        <v>35469</v>
      </c>
      <c r="B591" s="66">
        <v>300.11099999999999</v>
      </c>
      <c r="C591" s="67"/>
      <c r="D591" s="68">
        <v>0</v>
      </c>
      <c r="E591" s="110">
        <f t="shared" si="9"/>
        <v>33000</v>
      </c>
    </row>
    <row r="592" spans="1:5" x14ac:dyDescent="0.3">
      <c r="A592" s="24">
        <v>35470</v>
      </c>
      <c r="B592" s="66">
        <v>300.11099999999999</v>
      </c>
      <c r="C592" s="67"/>
      <c r="D592" s="68">
        <v>0</v>
      </c>
      <c r="E592" s="110">
        <f t="shared" si="9"/>
        <v>33000</v>
      </c>
    </row>
    <row r="593" spans="1:5" x14ac:dyDescent="0.3">
      <c r="A593" s="24">
        <v>35471</v>
      </c>
      <c r="B593" s="66">
        <v>300.11099999999999</v>
      </c>
      <c r="C593" s="67"/>
      <c r="D593" s="68">
        <v>0</v>
      </c>
      <c r="E593" s="110">
        <f t="shared" si="9"/>
        <v>33000</v>
      </c>
    </row>
    <row r="594" spans="1:5" x14ac:dyDescent="0.3">
      <c r="A594" s="24">
        <v>35472</v>
      </c>
      <c r="B594" s="66">
        <v>300.11099999999999</v>
      </c>
      <c r="C594" s="67"/>
      <c r="D594" s="68">
        <v>0</v>
      </c>
      <c r="E594" s="110">
        <f t="shared" si="9"/>
        <v>33000</v>
      </c>
    </row>
    <row r="595" spans="1:5" x14ac:dyDescent="0.3">
      <c r="A595" s="24">
        <v>35473</v>
      </c>
      <c r="B595" s="66">
        <v>300.11099999999999</v>
      </c>
      <c r="C595" s="67"/>
      <c r="D595" s="68">
        <v>0</v>
      </c>
      <c r="E595" s="110">
        <f t="shared" si="9"/>
        <v>33000</v>
      </c>
    </row>
    <row r="596" spans="1:5" x14ac:dyDescent="0.3">
      <c r="A596" s="24">
        <v>35474</v>
      </c>
      <c r="B596" s="66">
        <v>300.11099999999999</v>
      </c>
      <c r="C596" s="67"/>
      <c r="D596" s="68">
        <v>0</v>
      </c>
      <c r="E596" s="110">
        <f t="shared" si="9"/>
        <v>33000</v>
      </c>
    </row>
    <row r="597" spans="1:5" x14ac:dyDescent="0.3">
      <c r="A597" s="24">
        <v>35475</v>
      </c>
      <c r="B597" s="66">
        <v>300.11099999999999</v>
      </c>
      <c r="C597" s="67"/>
      <c r="D597" s="68">
        <v>0</v>
      </c>
      <c r="E597" s="110">
        <f t="shared" si="9"/>
        <v>33000</v>
      </c>
    </row>
    <row r="598" spans="1:5" x14ac:dyDescent="0.3">
      <c r="A598" s="24">
        <v>35476</v>
      </c>
      <c r="B598" s="66">
        <v>300.11099999999999</v>
      </c>
      <c r="C598" s="67"/>
      <c r="D598" s="68">
        <v>0</v>
      </c>
      <c r="E598" s="110">
        <f t="shared" si="9"/>
        <v>33000</v>
      </c>
    </row>
    <row r="599" spans="1:5" x14ac:dyDescent="0.3">
      <c r="A599" s="24">
        <v>35477</v>
      </c>
      <c r="B599" s="66">
        <v>300.11099999999999</v>
      </c>
      <c r="C599" s="67"/>
      <c r="D599" s="68">
        <v>0</v>
      </c>
      <c r="E599" s="110">
        <f t="shared" si="9"/>
        <v>33000</v>
      </c>
    </row>
    <row r="600" spans="1:5" x14ac:dyDescent="0.3">
      <c r="A600" s="24">
        <v>35478</v>
      </c>
      <c r="B600" s="66">
        <v>300.11099999999999</v>
      </c>
      <c r="C600" s="67"/>
      <c r="D600" s="68">
        <v>0</v>
      </c>
      <c r="E600" s="110">
        <f t="shared" si="9"/>
        <v>33000</v>
      </c>
    </row>
    <row r="601" spans="1:5" x14ac:dyDescent="0.3">
      <c r="A601" s="24">
        <v>35479</v>
      </c>
      <c r="B601" s="66">
        <v>300.11099999999999</v>
      </c>
      <c r="C601" s="67"/>
      <c r="D601" s="68">
        <v>0</v>
      </c>
      <c r="E601" s="110">
        <f t="shared" si="9"/>
        <v>33000</v>
      </c>
    </row>
    <row r="602" spans="1:5" x14ac:dyDescent="0.3">
      <c r="A602" s="24">
        <v>35480</v>
      </c>
      <c r="B602" s="66">
        <v>300.11099999999999</v>
      </c>
      <c r="C602" s="67"/>
      <c r="D602" s="68">
        <v>0</v>
      </c>
      <c r="E602" s="110">
        <f t="shared" si="9"/>
        <v>33000</v>
      </c>
    </row>
    <row r="603" spans="1:5" x14ac:dyDescent="0.3">
      <c r="A603" s="24">
        <v>35481</v>
      </c>
      <c r="B603" s="66">
        <v>300.11099999999999</v>
      </c>
      <c r="C603" s="67"/>
      <c r="D603" s="68">
        <v>0</v>
      </c>
      <c r="E603" s="110">
        <f t="shared" si="9"/>
        <v>33000</v>
      </c>
    </row>
    <row r="604" spans="1:5" x14ac:dyDescent="0.3">
      <c r="A604" s="24">
        <v>35482</v>
      </c>
      <c r="B604" s="66">
        <v>300.11099999999999</v>
      </c>
      <c r="C604" s="67"/>
      <c r="D604" s="68">
        <v>0</v>
      </c>
      <c r="E604" s="110">
        <f t="shared" si="9"/>
        <v>33000</v>
      </c>
    </row>
    <row r="605" spans="1:5" x14ac:dyDescent="0.3">
      <c r="A605" s="24">
        <v>35483</v>
      </c>
      <c r="B605" s="66">
        <v>300.11099999999999</v>
      </c>
      <c r="C605" s="67"/>
      <c r="D605" s="68">
        <v>0</v>
      </c>
      <c r="E605" s="110">
        <f t="shared" si="9"/>
        <v>33000</v>
      </c>
    </row>
    <row r="606" spans="1:5" x14ac:dyDescent="0.3">
      <c r="A606" s="24">
        <v>35484</v>
      </c>
      <c r="B606" s="66">
        <v>300.11099999999999</v>
      </c>
      <c r="C606" s="67"/>
      <c r="D606" s="68">
        <v>0</v>
      </c>
      <c r="E606" s="110">
        <f t="shared" si="9"/>
        <v>33000</v>
      </c>
    </row>
    <row r="607" spans="1:5" x14ac:dyDescent="0.3">
      <c r="A607" s="24">
        <v>35485</v>
      </c>
      <c r="B607" s="66">
        <v>300.11099999999999</v>
      </c>
      <c r="C607" s="67"/>
      <c r="D607" s="68">
        <v>0</v>
      </c>
      <c r="E607" s="110">
        <f t="shared" si="9"/>
        <v>33000</v>
      </c>
    </row>
    <row r="608" spans="1:5" x14ac:dyDescent="0.3">
      <c r="A608" s="24">
        <v>35486</v>
      </c>
      <c r="B608" s="66">
        <v>300.11099999999999</v>
      </c>
      <c r="C608" s="67"/>
      <c r="D608" s="68">
        <v>0</v>
      </c>
      <c r="E608" s="110">
        <f t="shared" si="9"/>
        <v>33000</v>
      </c>
    </row>
    <row r="609" spans="1:5" x14ac:dyDescent="0.3">
      <c r="A609" s="24">
        <v>35487</v>
      </c>
      <c r="B609" s="66">
        <v>300.11099999999999</v>
      </c>
      <c r="C609" s="67"/>
      <c r="D609" s="68">
        <v>0</v>
      </c>
      <c r="E609" s="110">
        <f t="shared" si="9"/>
        <v>33000</v>
      </c>
    </row>
    <row r="610" spans="1:5" x14ac:dyDescent="0.3">
      <c r="A610" s="24">
        <v>35488</v>
      </c>
      <c r="B610" s="66">
        <v>300.11099999999999</v>
      </c>
      <c r="C610" s="67"/>
      <c r="D610" s="68">
        <v>0</v>
      </c>
      <c r="E610" s="110">
        <f t="shared" si="9"/>
        <v>33000</v>
      </c>
    </row>
    <row r="611" spans="1:5" x14ac:dyDescent="0.3">
      <c r="A611" s="24">
        <v>35489</v>
      </c>
      <c r="B611" s="66">
        <v>300.11099999999999</v>
      </c>
      <c r="C611" s="67"/>
      <c r="D611" s="68">
        <v>0</v>
      </c>
      <c r="E611" s="110">
        <f t="shared" si="9"/>
        <v>33000</v>
      </c>
    </row>
    <row r="612" spans="1:5" x14ac:dyDescent="0.3">
      <c r="A612" s="24">
        <v>35490</v>
      </c>
      <c r="B612" s="66">
        <v>300.11099999999999</v>
      </c>
      <c r="C612" s="67"/>
      <c r="D612" s="68">
        <v>0</v>
      </c>
      <c r="E612" s="110">
        <f t="shared" si="9"/>
        <v>33000</v>
      </c>
    </row>
    <row r="613" spans="1:5" x14ac:dyDescent="0.3">
      <c r="A613" s="24">
        <v>35491</v>
      </c>
      <c r="B613" s="66">
        <v>300.11099999999999</v>
      </c>
      <c r="C613" s="67"/>
      <c r="D613" s="68">
        <v>0</v>
      </c>
      <c r="E613" s="110">
        <f t="shared" si="9"/>
        <v>33000</v>
      </c>
    </row>
    <row r="614" spans="1:5" x14ac:dyDescent="0.3">
      <c r="A614" s="24">
        <v>35492</v>
      </c>
      <c r="B614" s="66">
        <v>300.11099999999999</v>
      </c>
      <c r="C614" s="67"/>
      <c r="D614" s="68">
        <v>0</v>
      </c>
      <c r="E614" s="110">
        <f t="shared" si="9"/>
        <v>33000</v>
      </c>
    </row>
    <row r="615" spans="1:5" x14ac:dyDescent="0.3">
      <c r="A615" s="24">
        <v>35493</v>
      </c>
      <c r="B615" s="66">
        <v>300.11099999999999</v>
      </c>
      <c r="C615" s="67"/>
      <c r="D615" s="68">
        <v>0</v>
      </c>
      <c r="E615" s="110">
        <f t="shared" si="9"/>
        <v>33000</v>
      </c>
    </row>
    <row r="616" spans="1:5" x14ac:dyDescent="0.3">
      <c r="A616" s="24">
        <v>35494</v>
      </c>
      <c r="B616" s="66">
        <v>300.11099999999999</v>
      </c>
      <c r="C616" s="67"/>
      <c r="D616" s="68">
        <v>0</v>
      </c>
      <c r="E616" s="110">
        <f t="shared" si="9"/>
        <v>33000</v>
      </c>
    </row>
    <row r="617" spans="1:5" x14ac:dyDescent="0.3">
      <c r="A617" s="24">
        <v>35495</v>
      </c>
      <c r="B617" s="66">
        <v>300.11099999999999</v>
      </c>
      <c r="C617" s="67"/>
      <c r="D617" s="68">
        <v>0</v>
      </c>
      <c r="E617" s="110">
        <f t="shared" si="9"/>
        <v>33000</v>
      </c>
    </row>
    <row r="618" spans="1:5" x14ac:dyDescent="0.3">
      <c r="A618" s="24">
        <v>35496</v>
      </c>
      <c r="B618" s="66">
        <v>300.11099999999999</v>
      </c>
      <c r="C618" s="67"/>
      <c r="D618" s="68">
        <v>0</v>
      </c>
      <c r="E618" s="110">
        <f t="shared" si="9"/>
        <v>33000</v>
      </c>
    </row>
    <row r="619" spans="1:5" x14ac:dyDescent="0.3">
      <c r="A619" s="24">
        <v>35497</v>
      </c>
      <c r="B619" s="66">
        <v>300.11099999999999</v>
      </c>
      <c r="C619" s="67"/>
      <c r="D619" s="68">
        <v>0</v>
      </c>
      <c r="E619" s="110">
        <f t="shared" si="9"/>
        <v>33000</v>
      </c>
    </row>
    <row r="620" spans="1:5" x14ac:dyDescent="0.3">
      <c r="A620" s="24">
        <v>35498</v>
      </c>
      <c r="B620" s="66">
        <v>300.11099999999999</v>
      </c>
      <c r="C620" s="67"/>
      <c r="D620" s="68">
        <v>0</v>
      </c>
      <c r="E620" s="110">
        <f t="shared" si="9"/>
        <v>33000</v>
      </c>
    </row>
    <row r="621" spans="1:5" x14ac:dyDescent="0.3">
      <c r="A621" s="24">
        <v>35499</v>
      </c>
      <c r="B621" s="66">
        <v>300.11099999999999</v>
      </c>
      <c r="C621" s="67"/>
      <c r="D621" s="68">
        <v>0</v>
      </c>
      <c r="E621" s="110">
        <f t="shared" si="9"/>
        <v>33000</v>
      </c>
    </row>
    <row r="622" spans="1:5" x14ac:dyDescent="0.3">
      <c r="A622" s="24">
        <v>35500</v>
      </c>
      <c r="B622" s="66">
        <v>300.11099999999999</v>
      </c>
      <c r="C622" s="67"/>
      <c r="D622" s="68">
        <v>0</v>
      </c>
      <c r="E622" s="110">
        <f t="shared" si="9"/>
        <v>33000</v>
      </c>
    </row>
    <row r="623" spans="1:5" x14ac:dyDescent="0.3">
      <c r="A623" s="24">
        <v>35501</v>
      </c>
      <c r="B623" s="66">
        <v>300.11099999999999</v>
      </c>
      <c r="C623" s="67"/>
      <c r="D623" s="68">
        <v>0</v>
      </c>
      <c r="E623" s="110">
        <f t="shared" si="9"/>
        <v>33000</v>
      </c>
    </row>
    <row r="624" spans="1:5" x14ac:dyDescent="0.3">
      <c r="A624" s="24">
        <v>35502</v>
      </c>
      <c r="B624" s="66">
        <v>300.11099999999999</v>
      </c>
      <c r="C624" s="67"/>
      <c r="D624" s="68">
        <v>0</v>
      </c>
      <c r="E624" s="110">
        <f t="shared" si="9"/>
        <v>33000</v>
      </c>
    </row>
    <row r="625" spans="1:5" x14ac:dyDescent="0.3">
      <c r="A625" s="24">
        <v>35503</v>
      </c>
      <c r="B625" s="66">
        <v>300.11099999999999</v>
      </c>
      <c r="C625" s="67"/>
      <c r="D625" s="68">
        <v>0</v>
      </c>
      <c r="E625" s="110">
        <f t="shared" si="9"/>
        <v>33000</v>
      </c>
    </row>
    <row r="626" spans="1:5" x14ac:dyDescent="0.3">
      <c r="A626" s="24">
        <v>35504</v>
      </c>
      <c r="B626" s="66">
        <v>300.11099999999999</v>
      </c>
      <c r="C626" s="67"/>
      <c r="D626" s="68">
        <v>0</v>
      </c>
      <c r="E626" s="110">
        <f t="shared" si="9"/>
        <v>33000</v>
      </c>
    </row>
    <row r="627" spans="1:5" x14ac:dyDescent="0.3">
      <c r="A627" s="24">
        <v>35505</v>
      </c>
      <c r="B627" s="66">
        <v>300.11099999999999</v>
      </c>
      <c r="C627" s="67"/>
      <c r="D627" s="68">
        <v>0</v>
      </c>
      <c r="E627" s="110">
        <f t="shared" si="9"/>
        <v>33000</v>
      </c>
    </row>
    <row r="628" spans="1:5" x14ac:dyDescent="0.3">
      <c r="A628" s="24">
        <v>35506</v>
      </c>
      <c r="B628" s="66">
        <v>300.11099999999999</v>
      </c>
      <c r="C628" s="67"/>
      <c r="D628" s="68">
        <v>0</v>
      </c>
      <c r="E628" s="110">
        <f t="shared" si="9"/>
        <v>33000</v>
      </c>
    </row>
    <row r="629" spans="1:5" x14ac:dyDescent="0.3">
      <c r="A629" s="24">
        <v>35507</v>
      </c>
      <c r="B629" s="66">
        <v>300.11099999999999</v>
      </c>
      <c r="C629" s="67"/>
      <c r="D629" s="68">
        <v>0</v>
      </c>
      <c r="E629" s="110">
        <f t="shared" si="9"/>
        <v>33000</v>
      </c>
    </row>
    <row r="630" spans="1:5" x14ac:dyDescent="0.3">
      <c r="A630" s="24">
        <v>35508</v>
      </c>
      <c r="B630" s="66">
        <v>300.11099999999999</v>
      </c>
      <c r="C630" s="67"/>
      <c r="D630" s="68">
        <v>0</v>
      </c>
      <c r="E630" s="110">
        <f t="shared" si="9"/>
        <v>33000</v>
      </c>
    </row>
    <row r="631" spans="1:5" x14ac:dyDescent="0.3">
      <c r="A631" s="24">
        <v>35509</v>
      </c>
      <c r="B631" s="66">
        <v>300.11099999999999</v>
      </c>
      <c r="C631" s="67"/>
      <c r="D631" s="68">
        <v>0</v>
      </c>
      <c r="E631" s="110">
        <f t="shared" si="9"/>
        <v>33000</v>
      </c>
    </row>
    <row r="632" spans="1:5" x14ac:dyDescent="0.3">
      <c r="A632" s="24">
        <v>35510</v>
      </c>
      <c r="B632" s="66">
        <v>300.11099999999999</v>
      </c>
      <c r="C632" s="67"/>
      <c r="D632" s="68">
        <v>0</v>
      </c>
      <c r="E632" s="110">
        <f t="shared" si="9"/>
        <v>33000</v>
      </c>
    </row>
    <row r="633" spans="1:5" x14ac:dyDescent="0.3">
      <c r="A633" s="24">
        <v>35511</v>
      </c>
      <c r="B633" s="66">
        <v>300.11099999999999</v>
      </c>
      <c r="C633" s="67"/>
      <c r="D633" s="68">
        <v>0</v>
      </c>
      <c r="E633" s="110">
        <f t="shared" si="9"/>
        <v>33000</v>
      </c>
    </row>
    <row r="634" spans="1:5" x14ac:dyDescent="0.3">
      <c r="A634" s="24">
        <v>35512</v>
      </c>
      <c r="B634" s="66">
        <v>300.11099999999999</v>
      </c>
      <c r="C634" s="67"/>
      <c r="D634" s="68">
        <v>0</v>
      </c>
      <c r="E634" s="110">
        <f t="shared" si="9"/>
        <v>33000</v>
      </c>
    </row>
    <row r="635" spans="1:5" x14ac:dyDescent="0.3">
      <c r="A635" s="24">
        <v>35513</v>
      </c>
      <c r="B635" s="66">
        <v>300.11099999999999</v>
      </c>
      <c r="C635" s="67"/>
      <c r="D635" s="68">
        <v>0</v>
      </c>
      <c r="E635" s="110">
        <f t="shared" si="9"/>
        <v>33000</v>
      </c>
    </row>
    <row r="636" spans="1:5" x14ac:dyDescent="0.3">
      <c r="A636" s="24">
        <v>35514</v>
      </c>
      <c r="B636" s="66">
        <v>300.11099999999999</v>
      </c>
      <c r="C636" s="67"/>
      <c r="D636" s="68">
        <v>0</v>
      </c>
      <c r="E636" s="110">
        <f t="shared" si="9"/>
        <v>33000</v>
      </c>
    </row>
    <row r="637" spans="1:5" x14ac:dyDescent="0.3">
      <c r="A637" s="24">
        <v>35515</v>
      </c>
      <c r="B637" s="66">
        <v>300.11099999999999</v>
      </c>
      <c r="C637" s="67"/>
      <c r="D637" s="68">
        <v>0</v>
      </c>
      <c r="E637" s="110">
        <f t="shared" ref="E637:E655" si="10">+E636</f>
        <v>33000</v>
      </c>
    </row>
    <row r="638" spans="1:5" x14ac:dyDescent="0.3">
      <c r="A638" s="24">
        <v>35516</v>
      </c>
      <c r="B638" s="66">
        <v>300.11099999999999</v>
      </c>
      <c r="C638" s="67"/>
      <c r="D638" s="68">
        <v>0</v>
      </c>
      <c r="E638" s="110">
        <f t="shared" si="10"/>
        <v>33000</v>
      </c>
    </row>
    <row r="639" spans="1:5" x14ac:dyDescent="0.3">
      <c r="A639" s="24">
        <v>35517</v>
      </c>
      <c r="B639" s="66">
        <v>300.11099999999999</v>
      </c>
      <c r="C639" s="67"/>
      <c r="D639" s="68">
        <v>0</v>
      </c>
      <c r="E639" s="110">
        <f t="shared" si="10"/>
        <v>33000</v>
      </c>
    </row>
    <row r="640" spans="1:5" x14ac:dyDescent="0.3">
      <c r="A640" s="24">
        <v>35518</v>
      </c>
      <c r="B640" s="66">
        <v>300.11099999999999</v>
      </c>
      <c r="C640" s="67"/>
      <c r="D640" s="68">
        <v>0</v>
      </c>
      <c r="E640" s="110">
        <f t="shared" si="10"/>
        <v>33000</v>
      </c>
    </row>
    <row r="641" spans="1:8" x14ac:dyDescent="0.3">
      <c r="A641" s="24">
        <v>35519</v>
      </c>
      <c r="B641" s="66">
        <v>300.11099999999999</v>
      </c>
      <c r="C641" s="67"/>
      <c r="D641" s="68">
        <v>0</v>
      </c>
      <c r="E641" s="110">
        <f t="shared" si="10"/>
        <v>33000</v>
      </c>
    </row>
    <row r="642" spans="1:8" x14ac:dyDescent="0.3">
      <c r="A642" s="24">
        <v>35520</v>
      </c>
      <c r="B642" s="66">
        <v>307.53800000000001</v>
      </c>
      <c r="C642" s="67"/>
      <c r="D642" s="68">
        <v>0</v>
      </c>
      <c r="E642" s="110">
        <f t="shared" si="10"/>
        <v>33000</v>
      </c>
    </row>
    <row r="643" spans="1:8" x14ac:dyDescent="0.3">
      <c r="A643" s="24">
        <v>35521</v>
      </c>
      <c r="B643" s="66">
        <v>307.53800000000001</v>
      </c>
      <c r="C643" s="67"/>
      <c r="D643" s="68">
        <v>0</v>
      </c>
      <c r="E643" s="110">
        <f t="shared" si="10"/>
        <v>33000</v>
      </c>
    </row>
    <row r="644" spans="1:8" x14ac:dyDescent="0.3">
      <c r="A644" s="24">
        <v>35522</v>
      </c>
      <c r="B644" s="66">
        <v>307.53800000000001</v>
      </c>
      <c r="C644" s="67"/>
      <c r="D644" s="68">
        <v>0</v>
      </c>
      <c r="E644" s="110">
        <f t="shared" si="10"/>
        <v>33000</v>
      </c>
    </row>
    <row r="645" spans="1:8" x14ac:dyDescent="0.3">
      <c r="A645" s="24">
        <v>35523</v>
      </c>
      <c r="B645" s="66">
        <v>307.53800000000001</v>
      </c>
      <c r="C645" s="67"/>
      <c r="D645" s="68">
        <v>0</v>
      </c>
      <c r="E645" s="110">
        <f t="shared" si="10"/>
        <v>33000</v>
      </c>
    </row>
    <row r="646" spans="1:8" x14ac:dyDescent="0.3">
      <c r="A646" s="24">
        <v>35524</v>
      </c>
      <c r="B646" s="66">
        <v>307.53800000000001</v>
      </c>
      <c r="C646" s="67"/>
      <c r="D646" s="68">
        <v>0</v>
      </c>
      <c r="E646" s="110">
        <f t="shared" si="10"/>
        <v>33000</v>
      </c>
    </row>
    <row r="647" spans="1:8" x14ac:dyDescent="0.3">
      <c r="A647" s="24">
        <v>35525</v>
      </c>
      <c r="B647" s="66">
        <v>307.53800000000001</v>
      </c>
      <c r="C647" s="67"/>
      <c r="D647" s="68">
        <v>0</v>
      </c>
      <c r="E647" s="110">
        <f t="shared" si="10"/>
        <v>33000</v>
      </c>
    </row>
    <row r="648" spans="1:8" x14ac:dyDescent="0.3">
      <c r="A648" s="24">
        <v>35526</v>
      </c>
      <c r="B648" s="66">
        <v>307.53800000000001</v>
      </c>
      <c r="C648" s="67"/>
      <c r="D648" s="68">
        <v>0</v>
      </c>
      <c r="E648" s="110">
        <f t="shared" si="10"/>
        <v>33000</v>
      </c>
    </row>
    <row r="649" spans="1:8" x14ac:dyDescent="0.3">
      <c r="A649" s="24">
        <v>35527</v>
      </c>
      <c r="B649" s="66">
        <v>307.53800000000001</v>
      </c>
      <c r="C649" s="67"/>
      <c r="D649" s="68">
        <v>0</v>
      </c>
      <c r="E649" s="110">
        <f t="shared" si="10"/>
        <v>33000</v>
      </c>
    </row>
    <row r="650" spans="1:8" x14ac:dyDescent="0.3">
      <c r="A650" s="24">
        <v>35528</v>
      </c>
      <c r="B650" s="66">
        <v>307.53800000000001</v>
      </c>
      <c r="C650" s="67"/>
      <c r="D650" s="68">
        <v>0</v>
      </c>
      <c r="E650" s="110">
        <f t="shared" si="10"/>
        <v>33000</v>
      </c>
    </row>
    <row r="651" spans="1:8" x14ac:dyDescent="0.3">
      <c r="A651" s="24">
        <v>35529</v>
      </c>
      <c r="B651" s="66">
        <v>307.53800000000001</v>
      </c>
      <c r="C651" s="67"/>
      <c r="D651" s="68">
        <v>0</v>
      </c>
      <c r="E651" s="110">
        <f t="shared" si="10"/>
        <v>33000</v>
      </c>
    </row>
    <row r="652" spans="1:8" x14ac:dyDescent="0.3">
      <c r="A652" s="24">
        <v>35530</v>
      </c>
      <c r="B652" s="66">
        <v>307.53800000000001</v>
      </c>
      <c r="C652" s="67"/>
      <c r="D652" s="68">
        <v>0</v>
      </c>
      <c r="E652" s="110">
        <f t="shared" si="10"/>
        <v>33000</v>
      </c>
    </row>
    <row r="653" spans="1:8" x14ac:dyDescent="0.3">
      <c r="A653" s="24">
        <v>35531</v>
      </c>
      <c r="B653" s="66">
        <v>307.53800000000001</v>
      </c>
      <c r="C653" s="67"/>
      <c r="D653" s="68">
        <v>0</v>
      </c>
      <c r="E653" s="110">
        <f t="shared" si="10"/>
        <v>33000</v>
      </c>
    </row>
    <row r="654" spans="1:8" x14ac:dyDescent="0.3">
      <c r="A654" s="24">
        <v>35532</v>
      </c>
      <c r="B654" s="66">
        <v>307.53800000000001</v>
      </c>
      <c r="C654" s="67"/>
      <c r="D654" s="68">
        <v>0</v>
      </c>
      <c r="E654" s="110">
        <f t="shared" si="10"/>
        <v>33000</v>
      </c>
    </row>
    <row r="655" spans="1:8" x14ac:dyDescent="0.3">
      <c r="A655" s="24">
        <v>35533</v>
      </c>
      <c r="B655" s="66">
        <v>307.53800000000001</v>
      </c>
      <c r="C655" s="67"/>
      <c r="D655" s="68">
        <v>0</v>
      </c>
      <c r="E655" s="110">
        <f t="shared" si="10"/>
        <v>33000</v>
      </c>
    </row>
    <row r="656" spans="1:8" x14ac:dyDescent="0.3">
      <c r="A656" s="24">
        <v>35534</v>
      </c>
      <c r="B656" s="66">
        <v>307.53800000000001</v>
      </c>
      <c r="C656" s="67"/>
      <c r="D656" s="68">
        <v>0</v>
      </c>
      <c r="E656" s="110">
        <v>37193</v>
      </c>
      <c r="H656" s="112">
        <f>+E656-E655</f>
        <v>4193</v>
      </c>
    </row>
    <row r="657" spans="1:5" x14ac:dyDescent="0.3">
      <c r="A657" s="24">
        <v>35535</v>
      </c>
      <c r="B657" s="66">
        <v>307.53800000000001</v>
      </c>
      <c r="C657" s="67"/>
      <c r="D657" s="68">
        <v>0</v>
      </c>
      <c r="E657" s="110">
        <f>+E656</f>
        <v>37193</v>
      </c>
    </row>
    <row r="658" spans="1:5" x14ac:dyDescent="0.3">
      <c r="A658" s="24">
        <v>35536</v>
      </c>
      <c r="B658" s="66">
        <v>307.53800000000001</v>
      </c>
      <c r="C658" s="67"/>
      <c r="D658" s="68">
        <v>0</v>
      </c>
      <c r="E658" s="110">
        <f t="shared" ref="E658:E721" si="11">+E657</f>
        <v>37193</v>
      </c>
    </row>
    <row r="659" spans="1:5" x14ac:dyDescent="0.3">
      <c r="A659" s="24">
        <v>35537</v>
      </c>
      <c r="B659" s="66">
        <v>307.53800000000001</v>
      </c>
      <c r="C659" s="67"/>
      <c r="D659" s="68">
        <v>0</v>
      </c>
      <c r="E659" s="110">
        <f t="shared" si="11"/>
        <v>37193</v>
      </c>
    </row>
    <row r="660" spans="1:5" x14ac:dyDescent="0.3">
      <c r="A660" s="24">
        <v>35538</v>
      </c>
      <c r="B660" s="66">
        <v>307.53800000000001</v>
      </c>
      <c r="C660" s="67"/>
      <c r="D660" s="68">
        <v>0</v>
      </c>
      <c r="E660" s="110">
        <f t="shared" si="11"/>
        <v>37193</v>
      </c>
    </row>
    <row r="661" spans="1:5" x14ac:dyDescent="0.3">
      <c r="A661" s="24">
        <v>35539</v>
      </c>
      <c r="B661" s="66">
        <v>307.53800000000001</v>
      </c>
      <c r="C661" s="67"/>
      <c r="D661" s="68">
        <v>0</v>
      </c>
      <c r="E661" s="110">
        <f t="shared" si="11"/>
        <v>37193</v>
      </c>
    </row>
    <row r="662" spans="1:5" x14ac:dyDescent="0.3">
      <c r="A662" s="24">
        <v>35540</v>
      </c>
      <c r="B662" s="66">
        <v>307.53800000000001</v>
      </c>
      <c r="C662" s="67"/>
      <c r="D662" s="68">
        <v>0</v>
      </c>
      <c r="E662" s="110">
        <f t="shared" si="11"/>
        <v>37193</v>
      </c>
    </row>
    <row r="663" spans="1:5" x14ac:dyDescent="0.3">
      <c r="A663" s="24">
        <v>35541</v>
      </c>
      <c r="B663" s="66">
        <v>307.53800000000001</v>
      </c>
      <c r="C663" s="67"/>
      <c r="D663" s="68">
        <v>0</v>
      </c>
      <c r="E663" s="110">
        <f t="shared" si="11"/>
        <v>37193</v>
      </c>
    </row>
    <row r="664" spans="1:5" x14ac:dyDescent="0.3">
      <c r="A664" s="24">
        <v>35542</v>
      </c>
      <c r="B664" s="66">
        <v>307.53800000000001</v>
      </c>
      <c r="C664" s="67"/>
      <c r="D664" s="68">
        <v>0</v>
      </c>
      <c r="E664" s="110">
        <f t="shared" si="11"/>
        <v>37193</v>
      </c>
    </row>
    <row r="665" spans="1:5" x14ac:dyDescent="0.3">
      <c r="A665" s="24">
        <v>35543</v>
      </c>
      <c r="B665" s="66">
        <v>307.53800000000001</v>
      </c>
      <c r="C665" s="67"/>
      <c r="D665" s="68">
        <v>0</v>
      </c>
      <c r="E665" s="110">
        <f t="shared" si="11"/>
        <v>37193</v>
      </c>
    </row>
    <row r="666" spans="1:5" x14ac:dyDescent="0.3">
      <c r="A666" s="24">
        <v>35544</v>
      </c>
      <c r="B666" s="66">
        <v>307.53800000000001</v>
      </c>
      <c r="C666" s="67"/>
      <c r="D666" s="68">
        <v>0</v>
      </c>
      <c r="E666" s="110">
        <f t="shared" si="11"/>
        <v>37193</v>
      </c>
    </row>
    <row r="667" spans="1:5" x14ac:dyDescent="0.3">
      <c r="A667" s="24">
        <v>35545</v>
      </c>
      <c r="B667" s="66">
        <v>307.53800000000001</v>
      </c>
      <c r="C667" s="67"/>
      <c r="D667" s="68">
        <v>0</v>
      </c>
      <c r="E667" s="110">
        <f t="shared" si="11"/>
        <v>37193</v>
      </c>
    </row>
    <row r="668" spans="1:5" x14ac:dyDescent="0.3">
      <c r="A668" s="24">
        <v>35546</v>
      </c>
      <c r="B668" s="66">
        <v>307.53800000000001</v>
      </c>
      <c r="C668" s="67"/>
      <c r="D668" s="68">
        <v>0</v>
      </c>
      <c r="E668" s="110">
        <f t="shared" si="11"/>
        <v>37193</v>
      </c>
    </row>
    <row r="669" spans="1:5" x14ac:dyDescent="0.3">
      <c r="A669" s="24">
        <v>35547</v>
      </c>
      <c r="B669" s="66">
        <v>307.53800000000001</v>
      </c>
      <c r="C669" s="67"/>
      <c r="D669" s="68">
        <v>0</v>
      </c>
      <c r="E669" s="110">
        <f t="shared" si="11"/>
        <v>37193</v>
      </c>
    </row>
    <row r="670" spans="1:5" x14ac:dyDescent="0.3">
      <c r="A670" s="24">
        <v>35548</v>
      </c>
      <c r="B670" s="66">
        <v>307.53800000000001</v>
      </c>
      <c r="C670" s="67"/>
      <c r="D670" s="68">
        <v>0</v>
      </c>
      <c r="E670" s="110">
        <f t="shared" si="11"/>
        <v>37193</v>
      </c>
    </row>
    <row r="671" spans="1:5" x14ac:dyDescent="0.3">
      <c r="A671" s="24">
        <v>35549</v>
      </c>
      <c r="B671" s="66">
        <v>307.53800000000001</v>
      </c>
      <c r="C671" s="67"/>
      <c r="D671" s="68">
        <v>0</v>
      </c>
      <c r="E671" s="110">
        <f t="shared" si="11"/>
        <v>37193</v>
      </c>
    </row>
    <row r="672" spans="1:5" x14ac:dyDescent="0.3">
      <c r="A672" s="24">
        <v>35550</v>
      </c>
      <c r="B672" s="66">
        <v>307.53800000000001</v>
      </c>
      <c r="C672" s="67"/>
      <c r="D672" s="68">
        <v>0</v>
      </c>
      <c r="E672" s="110">
        <f t="shared" si="11"/>
        <v>37193</v>
      </c>
    </row>
    <row r="673" spans="1:6" x14ac:dyDescent="0.3">
      <c r="A673" s="24">
        <v>35551</v>
      </c>
      <c r="B673" s="66">
        <v>307.53800000000001</v>
      </c>
      <c r="C673" s="67"/>
      <c r="D673" s="68">
        <v>0</v>
      </c>
      <c r="E673" s="110">
        <f t="shared" si="11"/>
        <v>37193</v>
      </c>
    </row>
    <row r="674" spans="1:6" x14ac:dyDescent="0.3">
      <c r="A674" s="24">
        <v>35552</v>
      </c>
      <c r="B674" s="66">
        <v>307.53800000000001</v>
      </c>
      <c r="C674" s="67"/>
      <c r="D674" s="68">
        <v>0</v>
      </c>
      <c r="E674" s="110">
        <f t="shared" si="11"/>
        <v>37193</v>
      </c>
    </row>
    <row r="675" spans="1:6" x14ac:dyDescent="0.3">
      <c r="A675" s="24">
        <v>35553</v>
      </c>
      <c r="B675" s="66">
        <v>307.53800000000001</v>
      </c>
      <c r="C675" s="67"/>
      <c r="D675" s="68">
        <v>0</v>
      </c>
      <c r="E675" s="110">
        <f t="shared" si="11"/>
        <v>37193</v>
      </c>
    </row>
    <row r="676" spans="1:6" x14ac:dyDescent="0.3">
      <c r="A676" s="24">
        <v>35554</v>
      </c>
      <c r="B676" s="66">
        <v>307.53800000000001</v>
      </c>
      <c r="C676" s="67"/>
      <c r="D676" s="68">
        <v>0</v>
      </c>
      <c r="E676" s="110">
        <f t="shared" si="11"/>
        <v>37193</v>
      </c>
    </row>
    <row r="677" spans="1:6" x14ac:dyDescent="0.3">
      <c r="A677" s="24">
        <v>35555</v>
      </c>
      <c r="B677" s="66">
        <v>307.53800000000001</v>
      </c>
      <c r="C677" s="67"/>
      <c r="D677" s="68">
        <v>0</v>
      </c>
      <c r="E677" s="110">
        <f t="shared" si="11"/>
        <v>37193</v>
      </c>
    </row>
    <row r="678" spans="1:6" x14ac:dyDescent="0.3">
      <c r="A678" s="24">
        <v>35556</v>
      </c>
      <c r="B678" s="66">
        <v>307.53800000000001</v>
      </c>
      <c r="C678" s="67"/>
      <c r="D678" s="68">
        <v>0</v>
      </c>
      <c r="E678" s="110">
        <f t="shared" si="11"/>
        <v>37193</v>
      </c>
    </row>
    <row r="679" spans="1:6" x14ac:dyDescent="0.3">
      <c r="A679" s="24">
        <v>35557</v>
      </c>
      <c r="B679" s="66">
        <v>307.53800000000001</v>
      </c>
      <c r="C679" s="67"/>
      <c r="D679" s="68">
        <v>0</v>
      </c>
      <c r="E679" s="110">
        <f t="shared" si="11"/>
        <v>37193</v>
      </c>
    </row>
    <row r="680" spans="1:6" x14ac:dyDescent="0.3">
      <c r="A680" s="24">
        <v>35558</v>
      </c>
      <c r="B680" s="66">
        <v>307.53800000000001</v>
      </c>
      <c r="C680" s="67"/>
      <c r="D680" s="68">
        <v>0</v>
      </c>
      <c r="E680" s="110">
        <f t="shared" si="11"/>
        <v>37193</v>
      </c>
    </row>
    <row r="681" spans="1:6" x14ac:dyDescent="0.3">
      <c r="A681" s="24">
        <v>35559</v>
      </c>
      <c r="B681" s="66">
        <v>307.53800000000001</v>
      </c>
      <c r="C681" s="67"/>
      <c r="D681" s="68">
        <v>0</v>
      </c>
      <c r="E681" s="110">
        <f t="shared" si="11"/>
        <v>37193</v>
      </c>
    </row>
    <row r="682" spans="1:6" x14ac:dyDescent="0.3">
      <c r="A682" s="24">
        <v>35560</v>
      </c>
      <c r="B682" s="66">
        <v>307.53800000000001</v>
      </c>
      <c r="C682" s="67"/>
      <c r="D682" s="68">
        <v>0</v>
      </c>
      <c r="E682" s="110">
        <f t="shared" si="11"/>
        <v>37193</v>
      </c>
    </row>
    <row r="683" spans="1:6" x14ac:dyDescent="0.3">
      <c r="A683" s="24">
        <v>35561</v>
      </c>
      <c r="B683" s="66">
        <v>307.53800000000001</v>
      </c>
      <c r="C683" s="67"/>
      <c r="D683" s="68">
        <v>0</v>
      </c>
      <c r="E683" s="110">
        <f t="shared" si="11"/>
        <v>37193</v>
      </c>
    </row>
    <row r="684" spans="1:6" x14ac:dyDescent="0.3">
      <c r="A684" s="24">
        <v>35562</v>
      </c>
      <c r="B684" s="66">
        <v>307.53800000000001</v>
      </c>
      <c r="C684" s="67"/>
      <c r="D684" s="68">
        <v>0</v>
      </c>
      <c r="E684" s="110">
        <f t="shared" si="11"/>
        <v>37193</v>
      </c>
    </row>
    <row r="685" spans="1:6" x14ac:dyDescent="0.3">
      <c r="A685" s="24">
        <v>35563</v>
      </c>
      <c r="B685" s="66">
        <v>307.53800000000001</v>
      </c>
      <c r="C685" s="67"/>
      <c r="D685" s="68">
        <v>0</v>
      </c>
      <c r="E685" s="110">
        <f t="shared" si="11"/>
        <v>37193</v>
      </c>
    </row>
    <row r="686" spans="1:6" x14ac:dyDescent="0.3">
      <c r="A686" s="24">
        <v>35564</v>
      </c>
      <c r="B686" s="66">
        <v>307.53800000000001</v>
      </c>
      <c r="C686" s="67"/>
      <c r="D686" s="68">
        <v>0</v>
      </c>
      <c r="E686" s="110">
        <f t="shared" si="11"/>
        <v>37193</v>
      </c>
    </row>
    <row r="687" spans="1:6" x14ac:dyDescent="0.3">
      <c r="A687" s="24">
        <v>35565</v>
      </c>
      <c r="B687" s="66">
        <v>307.53800000000001</v>
      </c>
      <c r="C687" s="67"/>
      <c r="D687" s="68">
        <v>8.3846124410209839</v>
      </c>
      <c r="E687" s="110">
        <f t="shared" si="11"/>
        <v>37193</v>
      </c>
      <c r="F687" s="69">
        <v>3.1026311383948398E-2</v>
      </c>
    </row>
    <row r="688" spans="1:6" x14ac:dyDescent="0.3">
      <c r="A688" s="24">
        <v>35566</v>
      </c>
      <c r="B688" s="66">
        <v>307.53800000000001</v>
      </c>
      <c r="C688" s="67"/>
      <c r="D688" s="68">
        <v>0</v>
      </c>
      <c r="E688" s="110">
        <f t="shared" si="11"/>
        <v>37193</v>
      </c>
      <c r="F688" s="69">
        <v>3.1026311383948398E-2</v>
      </c>
    </row>
    <row r="689" spans="1:6" x14ac:dyDescent="0.3">
      <c r="A689" s="24">
        <v>35567</v>
      </c>
      <c r="B689" s="66">
        <v>307.53800000000001</v>
      </c>
      <c r="C689" s="67"/>
      <c r="D689" s="68">
        <v>0</v>
      </c>
      <c r="E689" s="110">
        <f t="shared" si="11"/>
        <v>37193</v>
      </c>
      <c r="F689" s="69">
        <v>3.1026311383948398E-2</v>
      </c>
    </row>
    <row r="690" spans="1:6" x14ac:dyDescent="0.3">
      <c r="A690" s="24">
        <v>35568</v>
      </c>
      <c r="B690" s="66">
        <v>307.53800000000001</v>
      </c>
      <c r="C690" s="67"/>
      <c r="D690" s="68">
        <v>0</v>
      </c>
      <c r="E690" s="110">
        <f t="shared" si="11"/>
        <v>37193</v>
      </c>
      <c r="F690" s="69">
        <v>3.1026311383948398E-2</v>
      </c>
    </row>
    <row r="691" spans="1:6" x14ac:dyDescent="0.3">
      <c r="A691" s="24">
        <v>35569</v>
      </c>
      <c r="B691" s="66">
        <v>307.53800000000001</v>
      </c>
      <c r="C691" s="67"/>
      <c r="D691" s="68">
        <v>0</v>
      </c>
      <c r="E691" s="110">
        <f t="shared" si="11"/>
        <v>37193</v>
      </c>
      <c r="F691" s="69">
        <v>3.1026311383948398E-2</v>
      </c>
    </row>
    <row r="692" spans="1:6" x14ac:dyDescent="0.3">
      <c r="A692" s="24">
        <v>35570</v>
      </c>
      <c r="B692" s="66">
        <v>307.53800000000001</v>
      </c>
      <c r="C692" s="67"/>
      <c r="D692" s="68">
        <v>0</v>
      </c>
      <c r="E692" s="110">
        <f t="shared" si="11"/>
        <v>37193</v>
      </c>
      <c r="F692" s="69">
        <v>3.1026311383948398E-2</v>
      </c>
    </row>
    <row r="693" spans="1:6" x14ac:dyDescent="0.3">
      <c r="A693" s="24">
        <v>35571</v>
      </c>
      <c r="B693" s="66">
        <v>307.53800000000001</v>
      </c>
      <c r="C693" s="67"/>
      <c r="D693" s="68">
        <v>0</v>
      </c>
      <c r="E693" s="110">
        <f t="shared" si="11"/>
        <v>37193</v>
      </c>
      <c r="F693" s="69">
        <v>3.1026311383948398E-2</v>
      </c>
    </row>
    <row r="694" spans="1:6" x14ac:dyDescent="0.3">
      <c r="A694" s="24">
        <v>35572</v>
      </c>
      <c r="B694" s="66">
        <v>307.53800000000001</v>
      </c>
      <c r="C694" s="67"/>
      <c r="D694" s="68">
        <v>0</v>
      </c>
      <c r="E694" s="110">
        <f t="shared" si="11"/>
        <v>37193</v>
      </c>
      <c r="F694" s="69">
        <v>3.1026311383948398E-2</v>
      </c>
    </row>
    <row r="695" spans="1:6" x14ac:dyDescent="0.3">
      <c r="A695" s="24">
        <v>35573</v>
      </c>
      <c r="B695" s="66">
        <v>307.53800000000001</v>
      </c>
      <c r="C695" s="67"/>
      <c r="D695" s="68">
        <v>0</v>
      </c>
      <c r="E695" s="110">
        <f t="shared" si="11"/>
        <v>37193</v>
      </c>
      <c r="F695" s="69">
        <v>3.1026311383948398E-2</v>
      </c>
    </row>
    <row r="696" spans="1:6" x14ac:dyDescent="0.3">
      <c r="A696" s="24">
        <v>35574</v>
      </c>
      <c r="B696" s="66">
        <v>307.53800000000001</v>
      </c>
      <c r="C696" s="67"/>
      <c r="D696" s="68">
        <v>0</v>
      </c>
      <c r="E696" s="110">
        <f t="shared" si="11"/>
        <v>37193</v>
      </c>
      <c r="F696" s="69">
        <v>3.1026311383948398E-2</v>
      </c>
    </row>
    <row r="697" spans="1:6" x14ac:dyDescent="0.3">
      <c r="A697" s="24">
        <v>35575</v>
      </c>
      <c r="B697" s="66">
        <v>307.53800000000001</v>
      </c>
      <c r="C697" s="67"/>
      <c r="D697" s="68">
        <v>0</v>
      </c>
      <c r="E697" s="110">
        <f t="shared" si="11"/>
        <v>37193</v>
      </c>
      <c r="F697" s="69">
        <v>3.1026311383948398E-2</v>
      </c>
    </row>
    <row r="698" spans="1:6" x14ac:dyDescent="0.3">
      <c r="A698" s="24">
        <v>35576</v>
      </c>
      <c r="B698" s="66">
        <v>307.53800000000001</v>
      </c>
      <c r="C698" s="67"/>
      <c r="D698" s="68">
        <v>0</v>
      </c>
      <c r="E698" s="110">
        <f t="shared" si="11"/>
        <v>37193</v>
      </c>
      <c r="F698" s="69">
        <v>3.1026311383948398E-2</v>
      </c>
    </row>
    <row r="699" spans="1:6" x14ac:dyDescent="0.3">
      <c r="A699" s="24">
        <v>35577</v>
      </c>
      <c r="B699" s="66">
        <v>307.53800000000001</v>
      </c>
      <c r="C699" s="67"/>
      <c r="D699" s="68">
        <v>0</v>
      </c>
      <c r="E699" s="110">
        <f t="shared" si="11"/>
        <v>37193</v>
      </c>
      <c r="F699" s="69">
        <v>3.1026311383948398E-2</v>
      </c>
    </row>
    <row r="700" spans="1:6" x14ac:dyDescent="0.3">
      <c r="A700" s="24">
        <v>35578</v>
      </c>
      <c r="B700" s="66">
        <v>307.53800000000001</v>
      </c>
      <c r="C700" s="67"/>
      <c r="D700" s="68">
        <v>0</v>
      </c>
      <c r="E700" s="110">
        <f t="shared" si="11"/>
        <v>37193</v>
      </c>
      <c r="F700" s="69">
        <v>3.1026311383948398E-2</v>
      </c>
    </row>
    <row r="701" spans="1:6" x14ac:dyDescent="0.3">
      <c r="A701" s="24">
        <v>35579</v>
      </c>
      <c r="B701" s="66">
        <v>307.53800000000001</v>
      </c>
      <c r="C701" s="67"/>
      <c r="D701" s="68">
        <v>0</v>
      </c>
      <c r="E701" s="110">
        <f t="shared" si="11"/>
        <v>37193</v>
      </c>
      <c r="F701" s="69">
        <v>3.1026311383948398E-2</v>
      </c>
    </row>
    <row r="702" spans="1:6" x14ac:dyDescent="0.3">
      <c r="A702" s="24">
        <v>35580</v>
      </c>
      <c r="B702" s="66">
        <v>307.53800000000001</v>
      </c>
      <c r="C702" s="67"/>
      <c r="D702" s="68">
        <v>0</v>
      </c>
      <c r="E702" s="110">
        <f t="shared" si="11"/>
        <v>37193</v>
      </c>
      <c r="F702" s="69">
        <v>3.1026311383948398E-2</v>
      </c>
    </row>
    <row r="703" spans="1:6" x14ac:dyDescent="0.3">
      <c r="A703" s="24">
        <v>35581</v>
      </c>
      <c r="B703" s="66">
        <v>307.53800000000001</v>
      </c>
      <c r="C703" s="67"/>
      <c r="D703" s="68">
        <v>0</v>
      </c>
      <c r="E703" s="110">
        <f t="shared" si="11"/>
        <v>37193</v>
      </c>
      <c r="F703" s="69">
        <v>3.1026311383948398E-2</v>
      </c>
    </row>
    <row r="704" spans="1:6" x14ac:dyDescent="0.3">
      <c r="A704" s="24">
        <v>35582</v>
      </c>
      <c r="B704" s="66">
        <v>307.53800000000001</v>
      </c>
      <c r="C704" s="67"/>
      <c r="D704" s="68">
        <v>0</v>
      </c>
      <c r="E704" s="110">
        <f t="shared" si="11"/>
        <v>37193</v>
      </c>
      <c r="F704" s="69">
        <v>3.1026311383948398E-2</v>
      </c>
    </row>
    <row r="705" spans="1:6" x14ac:dyDescent="0.3">
      <c r="A705" s="24">
        <v>35583</v>
      </c>
      <c r="B705" s="66">
        <v>307.53800000000001</v>
      </c>
      <c r="C705" s="67"/>
      <c r="D705" s="68">
        <v>0</v>
      </c>
      <c r="E705" s="110">
        <f t="shared" si="11"/>
        <v>37193</v>
      </c>
      <c r="F705" s="69">
        <v>3.1026311383948398E-2</v>
      </c>
    </row>
    <row r="706" spans="1:6" x14ac:dyDescent="0.3">
      <c r="A706" s="24">
        <v>35584</v>
      </c>
      <c r="B706" s="66">
        <v>307.53800000000001</v>
      </c>
      <c r="C706" s="67"/>
      <c r="D706" s="68">
        <v>0</v>
      </c>
      <c r="E706" s="110">
        <f t="shared" si="11"/>
        <v>37193</v>
      </c>
      <c r="F706" s="69">
        <v>3.1026311383948398E-2</v>
      </c>
    </row>
    <row r="707" spans="1:6" x14ac:dyDescent="0.3">
      <c r="A707" s="24">
        <v>35585</v>
      </c>
      <c r="B707" s="66">
        <v>307.53800000000001</v>
      </c>
      <c r="C707" s="67"/>
      <c r="D707" s="68">
        <v>0</v>
      </c>
      <c r="E707" s="110">
        <f t="shared" si="11"/>
        <v>37193</v>
      </c>
      <c r="F707" s="69">
        <v>3.1026311383948398E-2</v>
      </c>
    </row>
    <row r="708" spans="1:6" x14ac:dyDescent="0.3">
      <c r="A708" s="24">
        <v>35586</v>
      </c>
      <c r="B708" s="66">
        <v>307.53800000000001</v>
      </c>
      <c r="C708" s="67"/>
      <c r="D708" s="68">
        <v>0</v>
      </c>
      <c r="E708" s="110">
        <f t="shared" si="11"/>
        <v>37193</v>
      </c>
      <c r="F708" s="69">
        <v>3.1026311383948398E-2</v>
      </c>
    </row>
    <row r="709" spans="1:6" x14ac:dyDescent="0.3">
      <c r="A709" s="24">
        <v>35587</v>
      </c>
      <c r="B709" s="66">
        <v>307.53800000000001</v>
      </c>
      <c r="C709" s="67"/>
      <c r="D709" s="68">
        <v>0</v>
      </c>
      <c r="E709" s="110">
        <f t="shared" si="11"/>
        <v>37193</v>
      </c>
      <c r="F709" s="69">
        <v>3.1026311383948398E-2</v>
      </c>
    </row>
    <row r="710" spans="1:6" x14ac:dyDescent="0.3">
      <c r="A710" s="24">
        <v>35588</v>
      </c>
      <c r="B710" s="66">
        <v>307.53800000000001</v>
      </c>
      <c r="C710" s="67"/>
      <c r="D710" s="68">
        <v>0</v>
      </c>
      <c r="E710" s="110">
        <f t="shared" si="11"/>
        <v>37193</v>
      </c>
      <c r="F710" s="69">
        <v>3.1026311383948398E-2</v>
      </c>
    </row>
    <row r="711" spans="1:6" x14ac:dyDescent="0.3">
      <c r="A711" s="24">
        <v>35589</v>
      </c>
      <c r="B711" s="66">
        <v>307.53800000000001</v>
      </c>
      <c r="C711" s="67"/>
      <c r="D711" s="68">
        <v>0</v>
      </c>
      <c r="E711" s="110">
        <f t="shared" si="11"/>
        <v>37193</v>
      </c>
      <c r="F711" s="69">
        <v>3.1026311383948398E-2</v>
      </c>
    </row>
    <row r="712" spans="1:6" x14ac:dyDescent="0.3">
      <c r="A712" s="24">
        <v>35590</v>
      </c>
      <c r="B712" s="66">
        <v>307.53800000000001</v>
      </c>
      <c r="C712" s="67"/>
      <c r="D712" s="68">
        <v>0</v>
      </c>
      <c r="E712" s="110">
        <f t="shared" si="11"/>
        <v>37193</v>
      </c>
      <c r="F712" s="69">
        <v>3.1026311383948398E-2</v>
      </c>
    </row>
    <row r="713" spans="1:6" x14ac:dyDescent="0.3">
      <c r="A713" s="24">
        <v>35591</v>
      </c>
      <c r="B713" s="66">
        <v>307.53800000000001</v>
      </c>
      <c r="C713" s="67"/>
      <c r="D713" s="68">
        <v>0</v>
      </c>
      <c r="E713" s="110">
        <f t="shared" si="11"/>
        <v>37193</v>
      </c>
      <c r="F713" s="69">
        <v>3.1026311383948398E-2</v>
      </c>
    </row>
    <row r="714" spans="1:6" x14ac:dyDescent="0.3">
      <c r="A714" s="24">
        <v>35592</v>
      </c>
      <c r="B714" s="66">
        <v>307.53800000000001</v>
      </c>
      <c r="C714" s="67"/>
      <c r="D714" s="68">
        <v>0</v>
      </c>
      <c r="E714" s="110">
        <f t="shared" si="11"/>
        <v>37193</v>
      </c>
      <c r="F714" s="69">
        <v>3.1026311383948398E-2</v>
      </c>
    </row>
    <row r="715" spans="1:6" x14ac:dyDescent="0.3">
      <c r="A715" s="24">
        <v>35593</v>
      </c>
      <c r="B715" s="66">
        <v>307.53800000000001</v>
      </c>
      <c r="C715" s="67"/>
      <c r="D715" s="68">
        <v>0</v>
      </c>
      <c r="E715" s="110">
        <f t="shared" si="11"/>
        <v>37193</v>
      </c>
      <c r="F715" s="69">
        <v>3.1026311383948398E-2</v>
      </c>
    </row>
    <row r="716" spans="1:6" x14ac:dyDescent="0.3">
      <c r="A716" s="24">
        <v>35594</v>
      </c>
      <c r="B716" s="66">
        <v>307.53800000000001</v>
      </c>
      <c r="C716" s="67"/>
      <c r="D716" s="68">
        <v>0</v>
      </c>
      <c r="E716" s="110">
        <f t="shared" si="11"/>
        <v>37193</v>
      </c>
      <c r="F716" s="69">
        <v>3.1026311383948398E-2</v>
      </c>
    </row>
    <row r="717" spans="1:6" x14ac:dyDescent="0.3">
      <c r="A717" s="24">
        <v>35595</v>
      </c>
      <c r="B717" s="66">
        <v>307.53800000000001</v>
      </c>
      <c r="C717" s="67"/>
      <c r="D717" s="68">
        <v>0</v>
      </c>
      <c r="E717" s="110">
        <f t="shared" si="11"/>
        <v>37193</v>
      </c>
      <c r="F717" s="69">
        <v>3.1026311383948398E-2</v>
      </c>
    </row>
    <row r="718" spans="1:6" x14ac:dyDescent="0.3">
      <c r="A718" s="24">
        <v>35596</v>
      </c>
      <c r="B718" s="66">
        <v>307.53800000000001</v>
      </c>
      <c r="C718" s="67"/>
      <c r="D718" s="68">
        <v>0</v>
      </c>
      <c r="E718" s="110">
        <f t="shared" si="11"/>
        <v>37193</v>
      </c>
      <c r="F718" s="69">
        <v>3.1026311383948398E-2</v>
      </c>
    </row>
    <row r="719" spans="1:6" x14ac:dyDescent="0.3">
      <c r="A719" s="24">
        <v>35597</v>
      </c>
      <c r="B719" s="66">
        <v>307.53800000000001</v>
      </c>
      <c r="C719" s="67"/>
      <c r="D719" s="68">
        <v>0</v>
      </c>
      <c r="E719" s="110">
        <f t="shared" si="11"/>
        <v>37193</v>
      </c>
      <c r="F719" s="69">
        <v>3.1026311383948398E-2</v>
      </c>
    </row>
    <row r="720" spans="1:6" x14ac:dyDescent="0.3">
      <c r="A720" s="24">
        <v>35598</v>
      </c>
      <c r="B720" s="66">
        <v>307.53800000000001</v>
      </c>
      <c r="C720" s="67"/>
      <c r="D720" s="68">
        <v>0</v>
      </c>
      <c r="E720" s="110">
        <f t="shared" si="11"/>
        <v>37193</v>
      </c>
      <c r="F720" s="69">
        <v>3.1026311383948398E-2</v>
      </c>
    </row>
    <row r="721" spans="1:6" x14ac:dyDescent="0.3">
      <c r="A721" s="24">
        <v>35599</v>
      </c>
      <c r="B721" s="66">
        <v>307.53800000000001</v>
      </c>
      <c r="C721" s="67"/>
      <c r="D721" s="68">
        <v>0</v>
      </c>
      <c r="E721" s="110">
        <f t="shared" si="11"/>
        <v>37193</v>
      </c>
      <c r="F721" s="69">
        <v>3.1026311383948398E-2</v>
      </c>
    </row>
    <row r="722" spans="1:6" x14ac:dyDescent="0.3">
      <c r="A722" s="24">
        <v>35600</v>
      </c>
      <c r="B722" s="66">
        <v>307.53800000000001</v>
      </c>
      <c r="C722" s="67"/>
      <c r="D722" s="68">
        <v>0</v>
      </c>
      <c r="E722" s="110">
        <f t="shared" ref="E722:E785" si="12">+E721</f>
        <v>37193</v>
      </c>
      <c r="F722" s="69">
        <v>3.1026311383948398E-2</v>
      </c>
    </row>
    <row r="723" spans="1:6" x14ac:dyDescent="0.3">
      <c r="A723" s="24">
        <v>35601</v>
      </c>
      <c r="B723" s="66">
        <v>307.53800000000001</v>
      </c>
      <c r="C723" s="67"/>
      <c r="D723" s="68">
        <v>0</v>
      </c>
      <c r="E723" s="110">
        <f t="shared" si="12"/>
        <v>37193</v>
      </c>
      <c r="F723" s="69">
        <v>3.1026311383948398E-2</v>
      </c>
    </row>
    <row r="724" spans="1:6" x14ac:dyDescent="0.3">
      <c r="A724" s="24">
        <v>35602</v>
      </c>
      <c r="B724" s="66">
        <v>307.53800000000001</v>
      </c>
      <c r="C724" s="67"/>
      <c r="D724" s="68">
        <v>0</v>
      </c>
      <c r="E724" s="110">
        <f t="shared" si="12"/>
        <v>37193</v>
      </c>
      <c r="F724" s="69">
        <v>3.1026311383948398E-2</v>
      </c>
    </row>
    <row r="725" spans="1:6" x14ac:dyDescent="0.3">
      <c r="A725" s="24">
        <v>35603</v>
      </c>
      <c r="B725" s="66">
        <v>307.53800000000001</v>
      </c>
      <c r="C725" s="67"/>
      <c r="D725" s="68">
        <v>0</v>
      </c>
      <c r="E725" s="110">
        <f t="shared" si="12"/>
        <v>37193</v>
      </c>
      <c r="F725" s="69">
        <v>3.1026311383948398E-2</v>
      </c>
    </row>
    <row r="726" spans="1:6" x14ac:dyDescent="0.3">
      <c r="A726" s="24">
        <v>35604</v>
      </c>
      <c r="B726" s="66">
        <v>307.53800000000001</v>
      </c>
      <c r="C726" s="67"/>
      <c r="D726" s="68">
        <v>0</v>
      </c>
      <c r="E726" s="110">
        <f t="shared" si="12"/>
        <v>37193</v>
      </c>
      <c r="F726" s="69">
        <v>3.1026311383948398E-2</v>
      </c>
    </row>
    <row r="727" spans="1:6" x14ac:dyDescent="0.3">
      <c r="A727" s="24">
        <v>35605</v>
      </c>
      <c r="B727" s="66">
        <v>307.53800000000001</v>
      </c>
      <c r="C727" s="67"/>
      <c r="D727" s="68">
        <v>0</v>
      </c>
      <c r="E727" s="110">
        <f t="shared" si="12"/>
        <v>37193</v>
      </c>
      <c r="F727" s="69">
        <v>3.1026311383948398E-2</v>
      </c>
    </row>
    <row r="728" spans="1:6" x14ac:dyDescent="0.3">
      <c r="A728" s="24">
        <v>35606</v>
      </c>
      <c r="B728" s="66">
        <v>307.53800000000001</v>
      </c>
      <c r="C728" s="67"/>
      <c r="D728" s="68">
        <v>0</v>
      </c>
      <c r="E728" s="110">
        <f t="shared" si="12"/>
        <v>37193</v>
      </c>
      <c r="F728" s="69">
        <v>3.1026311383948398E-2</v>
      </c>
    </row>
    <row r="729" spans="1:6" x14ac:dyDescent="0.3">
      <c r="A729" s="24">
        <v>35607</v>
      </c>
      <c r="B729" s="66">
        <v>307.53800000000001</v>
      </c>
      <c r="C729" s="67"/>
      <c r="D729" s="68">
        <v>0</v>
      </c>
      <c r="E729" s="110">
        <f t="shared" si="12"/>
        <v>37193</v>
      </c>
      <c r="F729" s="69">
        <v>3.1026311383948398E-2</v>
      </c>
    </row>
    <row r="730" spans="1:6" x14ac:dyDescent="0.3">
      <c r="A730" s="24">
        <v>35608</v>
      </c>
      <c r="B730" s="66">
        <v>307.53800000000001</v>
      </c>
      <c r="C730" s="67"/>
      <c r="D730" s="68">
        <v>0</v>
      </c>
      <c r="E730" s="110">
        <f t="shared" si="12"/>
        <v>37193</v>
      </c>
      <c r="F730" s="69">
        <v>3.1026311383948398E-2</v>
      </c>
    </row>
    <row r="731" spans="1:6" x14ac:dyDescent="0.3">
      <c r="A731" s="24">
        <v>35609</v>
      </c>
      <c r="B731" s="66">
        <v>307.53800000000001</v>
      </c>
      <c r="C731" s="67"/>
      <c r="D731" s="68">
        <v>0</v>
      </c>
      <c r="E731" s="110">
        <f t="shared" si="12"/>
        <v>37193</v>
      </c>
      <c r="F731" s="69">
        <v>3.1026311383948398E-2</v>
      </c>
    </row>
    <row r="732" spans="1:6" x14ac:dyDescent="0.3">
      <c r="A732" s="24">
        <v>35610</v>
      </c>
      <c r="B732" s="66">
        <v>307.53800000000001</v>
      </c>
      <c r="C732" s="67"/>
      <c r="D732" s="68">
        <v>0</v>
      </c>
      <c r="E732" s="110">
        <f t="shared" si="12"/>
        <v>37193</v>
      </c>
      <c r="F732" s="69">
        <v>3.0546149007326256E-2</v>
      </c>
    </row>
    <row r="733" spans="1:6" x14ac:dyDescent="0.3">
      <c r="A733" s="24">
        <v>35611</v>
      </c>
      <c r="B733" s="66">
        <v>303.25799999999998</v>
      </c>
      <c r="C733" s="67"/>
      <c r="D733" s="68">
        <v>0</v>
      </c>
      <c r="E733" s="110">
        <f t="shared" si="12"/>
        <v>37193</v>
      </c>
      <c r="F733" s="69">
        <v>3.0546149007326256E-2</v>
      </c>
    </row>
    <row r="734" spans="1:6" x14ac:dyDescent="0.3">
      <c r="A734" s="24">
        <v>35612</v>
      </c>
      <c r="B734" s="66">
        <v>303.25799999999998</v>
      </c>
      <c r="C734" s="67"/>
      <c r="D734" s="68">
        <v>0</v>
      </c>
      <c r="E734" s="110">
        <f t="shared" si="12"/>
        <v>37193</v>
      </c>
      <c r="F734" s="69">
        <v>3.0546149007326256E-2</v>
      </c>
    </row>
    <row r="735" spans="1:6" x14ac:dyDescent="0.3">
      <c r="A735" s="24">
        <v>35613</v>
      </c>
      <c r="B735" s="66">
        <v>303.25799999999998</v>
      </c>
      <c r="C735" s="67"/>
      <c r="D735" s="68">
        <v>0</v>
      </c>
      <c r="E735" s="110">
        <f t="shared" si="12"/>
        <v>37193</v>
      </c>
      <c r="F735" s="69">
        <v>3.0546149007326256E-2</v>
      </c>
    </row>
    <row r="736" spans="1:6" x14ac:dyDescent="0.3">
      <c r="A736" s="24">
        <v>35614</v>
      </c>
      <c r="B736" s="66">
        <v>303.25799999999998</v>
      </c>
      <c r="C736" s="67"/>
      <c r="D736" s="68">
        <v>0</v>
      </c>
      <c r="E736" s="110">
        <f t="shared" si="12"/>
        <v>37193</v>
      </c>
      <c r="F736" s="69">
        <v>3.0546149007326256E-2</v>
      </c>
    </row>
    <row r="737" spans="1:6" x14ac:dyDescent="0.3">
      <c r="A737" s="24">
        <v>35615</v>
      </c>
      <c r="B737" s="66">
        <v>303.25799999999998</v>
      </c>
      <c r="C737" s="67"/>
      <c r="D737" s="68">
        <v>0</v>
      </c>
      <c r="E737" s="110">
        <f t="shared" si="12"/>
        <v>37193</v>
      </c>
      <c r="F737" s="69">
        <v>3.0546149007326256E-2</v>
      </c>
    </row>
    <row r="738" spans="1:6" x14ac:dyDescent="0.3">
      <c r="A738" s="24">
        <v>35616</v>
      </c>
      <c r="B738" s="66">
        <v>303.25799999999998</v>
      </c>
      <c r="C738" s="67"/>
      <c r="D738" s="68">
        <v>0</v>
      </c>
      <c r="E738" s="110">
        <f t="shared" si="12"/>
        <v>37193</v>
      </c>
      <c r="F738" s="69">
        <v>3.0546149007326256E-2</v>
      </c>
    </row>
    <row r="739" spans="1:6" x14ac:dyDescent="0.3">
      <c r="A739" s="24">
        <v>35617</v>
      </c>
      <c r="B739" s="66">
        <v>303.25799999999998</v>
      </c>
      <c r="C739" s="67"/>
      <c r="D739" s="68">
        <v>0</v>
      </c>
      <c r="E739" s="110">
        <f t="shared" si="12"/>
        <v>37193</v>
      </c>
      <c r="F739" s="69">
        <v>3.0546149007326256E-2</v>
      </c>
    </row>
    <row r="740" spans="1:6" x14ac:dyDescent="0.3">
      <c r="A740" s="24">
        <v>35618</v>
      </c>
      <c r="B740" s="66">
        <v>303.25799999999998</v>
      </c>
      <c r="C740" s="67"/>
      <c r="D740" s="68">
        <v>0</v>
      </c>
      <c r="E740" s="110">
        <f t="shared" si="12"/>
        <v>37193</v>
      </c>
      <c r="F740" s="69">
        <v>3.0546149007326256E-2</v>
      </c>
    </row>
    <row r="741" spans="1:6" x14ac:dyDescent="0.3">
      <c r="A741" s="24">
        <v>35619</v>
      </c>
      <c r="B741" s="66">
        <v>303.25799999999998</v>
      </c>
      <c r="C741" s="67"/>
      <c r="D741" s="68">
        <v>0</v>
      </c>
      <c r="E741" s="110">
        <f t="shared" si="12"/>
        <v>37193</v>
      </c>
      <c r="F741" s="69">
        <v>3.0546149007326256E-2</v>
      </c>
    </row>
    <row r="742" spans="1:6" x14ac:dyDescent="0.3">
      <c r="A742" s="24">
        <v>35620</v>
      </c>
      <c r="B742" s="66">
        <v>303.25799999999998</v>
      </c>
      <c r="C742" s="67"/>
      <c r="D742" s="68">
        <v>0</v>
      </c>
      <c r="E742" s="110">
        <f t="shared" si="12"/>
        <v>37193</v>
      </c>
      <c r="F742" s="69">
        <v>3.0546149007326256E-2</v>
      </c>
    </row>
    <row r="743" spans="1:6" x14ac:dyDescent="0.3">
      <c r="A743" s="24">
        <v>35621</v>
      </c>
      <c r="B743" s="66">
        <v>303.25799999999998</v>
      </c>
      <c r="C743" s="67"/>
      <c r="D743" s="68">
        <v>0</v>
      </c>
      <c r="E743" s="110">
        <f t="shared" si="12"/>
        <v>37193</v>
      </c>
      <c r="F743" s="69">
        <v>3.0546149007326256E-2</v>
      </c>
    </row>
    <row r="744" spans="1:6" x14ac:dyDescent="0.3">
      <c r="A744" s="24">
        <v>35622</v>
      </c>
      <c r="B744" s="66">
        <v>303.25799999999998</v>
      </c>
      <c r="C744" s="67"/>
      <c r="D744" s="68">
        <v>0</v>
      </c>
      <c r="E744" s="110">
        <f t="shared" si="12"/>
        <v>37193</v>
      </c>
      <c r="F744" s="69">
        <v>3.0546149007326256E-2</v>
      </c>
    </row>
    <row r="745" spans="1:6" x14ac:dyDescent="0.3">
      <c r="A745" s="24">
        <v>35623</v>
      </c>
      <c r="B745" s="66">
        <v>303.25799999999998</v>
      </c>
      <c r="C745" s="67"/>
      <c r="D745" s="68">
        <v>0</v>
      </c>
      <c r="E745" s="110">
        <f t="shared" si="12"/>
        <v>37193</v>
      </c>
      <c r="F745" s="69">
        <v>3.0546149007326256E-2</v>
      </c>
    </row>
    <row r="746" spans="1:6" x14ac:dyDescent="0.3">
      <c r="A746" s="24">
        <v>35624</v>
      </c>
      <c r="B746" s="66">
        <v>303.25799999999998</v>
      </c>
      <c r="C746" s="67"/>
      <c r="D746" s="68">
        <v>0</v>
      </c>
      <c r="E746" s="110">
        <f t="shared" si="12"/>
        <v>37193</v>
      </c>
      <c r="F746" s="69">
        <v>3.0546149007326256E-2</v>
      </c>
    </row>
    <row r="747" spans="1:6" x14ac:dyDescent="0.3">
      <c r="A747" s="24">
        <v>35625</v>
      </c>
      <c r="B747" s="66">
        <v>303.25799999999998</v>
      </c>
      <c r="C747" s="67"/>
      <c r="D747" s="68">
        <v>0</v>
      </c>
      <c r="E747" s="110">
        <f t="shared" si="12"/>
        <v>37193</v>
      </c>
      <c r="F747" s="69">
        <v>3.0546149007326256E-2</v>
      </c>
    </row>
    <row r="748" spans="1:6" x14ac:dyDescent="0.3">
      <c r="A748" s="24">
        <v>35626</v>
      </c>
      <c r="B748" s="66">
        <v>303.25799999999998</v>
      </c>
      <c r="C748" s="67"/>
      <c r="D748" s="68">
        <v>0</v>
      </c>
      <c r="E748" s="110">
        <f t="shared" si="12"/>
        <v>37193</v>
      </c>
      <c r="F748" s="69">
        <v>3.0546149007326256E-2</v>
      </c>
    </row>
    <row r="749" spans="1:6" x14ac:dyDescent="0.3">
      <c r="A749" s="24">
        <v>35627</v>
      </c>
      <c r="B749" s="66">
        <v>303.25799999999998</v>
      </c>
      <c r="C749" s="67"/>
      <c r="D749" s="68">
        <v>0</v>
      </c>
      <c r="E749" s="110">
        <f t="shared" si="12"/>
        <v>37193</v>
      </c>
      <c r="F749" s="69">
        <v>3.0546149007326256E-2</v>
      </c>
    </row>
    <row r="750" spans="1:6" x14ac:dyDescent="0.3">
      <c r="A750" s="24">
        <v>35628</v>
      </c>
      <c r="B750" s="66">
        <v>303.25799999999998</v>
      </c>
      <c r="C750" s="67"/>
      <c r="D750" s="68">
        <v>0</v>
      </c>
      <c r="E750" s="110">
        <f t="shared" si="12"/>
        <v>37193</v>
      </c>
      <c r="F750" s="69">
        <v>3.0546149007326256E-2</v>
      </c>
    </row>
    <row r="751" spans="1:6" x14ac:dyDescent="0.3">
      <c r="A751" s="24">
        <v>35629</v>
      </c>
      <c r="B751" s="66">
        <v>303.25799999999998</v>
      </c>
      <c r="C751" s="67"/>
      <c r="D751" s="68">
        <v>0</v>
      </c>
      <c r="E751" s="110">
        <f t="shared" si="12"/>
        <v>37193</v>
      </c>
      <c r="F751" s="69">
        <v>3.0546149007326256E-2</v>
      </c>
    </row>
    <row r="752" spans="1:6" x14ac:dyDescent="0.3">
      <c r="A752" s="24">
        <v>35630</v>
      </c>
      <c r="B752" s="66">
        <v>303.25799999999998</v>
      </c>
      <c r="C752" s="67"/>
      <c r="D752" s="68">
        <v>0</v>
      </c>
      <c r="E752" s="110">
        <f t="shared" si="12"/>
        <v>37193</v>
      </c>
      <c r="F752" s="69">
        <v>3.0546149007326256E-2</v>
      </c>
    </row>
    <row r="753" spans="1:6" x14ac:dyDescent="0.3">
      <c r="A753" s="24">
        <v>35631</v>
      </c>
      <c r="B753" s="66">
        <v>303.25799999999998</v>
      </c>
      <c r="C753" s="67"/>
      <c r="D753" s="68">
        <v>0</v>
      </c>
      <c r="E753" s="110">
        <f t="shared" si="12"/>
        <v>37193</v>
      </c>
      <c r="F753" s="69">
        <v>3.0546149007326256E-2</v>
      </c>
    </row>
    <row r="754" spans="1:6" x14ac:dyDescent="0.3">
      <c r="A754" s="24">
        <v>35632</v>
      </c>
      <c r="B754" s="66">
        <v>303.25799999999998</v>
      </c>
      <c r="C754" s="67"/>
      <c r="D754" s="68">
        <v>0</v>
      </c>
      <c r="E754" s="110">
        <f t="shared" si="12"/>
        <v>37193</v>
      </c>
      <c r="F754" s="69">
        <v>3.0546149007326256E-2</v>
      </c>
    </row>
    <row r="755" spans="1:6" x14ac:dyDescent="0.3">
      <c r="A755" s="24">
        <v>35633</v>
      </c>
      <c r="B755" s="66">
        <v>303.25799999999998</v>
      </c>
      <c r="C755" s="67"/>
      <c r="D755" s="68">
        <v>0</v>
      </c>
      <c r="E755" s="110">
        <f t="shared" si="12"/>
        <v>37193</v>
      </c>
      <c r="F755" s="69">
        <v>3.0546149007326256E-2</v>
      </c>
    </row>
    <row r="756" spans="1:6" x14ac:dyDescent="0.3">
      <c r="A756" s="24">
        <v>35634</v>
      </c>
      <c r="B756" s="66">
        <v>303.25799999999998</v>
      </c>
      <c r="C756" s="67"/>
      <c r="D756" s="68">
        <v>0</v>
      </c>
      <c r="E756" s="110">
        <f t="shared" si="12"/>
        <v>37193</v>
      </c>
      <c r="F756" s="69">
        <v>3.0546149007326256E-2</v>
      </c>
    </row>
    <row r="757" spans="1:6" x14ac:dyDescent="0.3">
      <c r="A757" s="24">
        <v>35635</v>
      </c>
      <c r="B757" s="66">
        <v>303.25799999999998</v>
      </c>
      <c r="C757" s="67"/>
      <c r="D757" s="68">
        <v>0</v>
      </c>
      <c r="E757" s="110">
        <f t="shared" si="12"/>
        <v>37193</v>
      </c>
      <c r="F757" s="69">
        <v>3.0546149007326256E-2</v>
      </c>
    </row>
    <row r="758" spans="1:6" x14ac:dyDescent="0.3">
      <c r="A758" s="24">
        <v>35636</v>
      </c>
      <c r="B758" s="66">
        <v>303.25799999999998</v>
      </c>
      <c r="C758" s="67"/>
      <c r="D758" s="68">
        <v>0</v>
      </c>
      <c r="E758" s="110">
        <f t="shared" si="12"/>
        <v>37193</v>
      </c>
      <c r="F758" s="69">
        <v>3.0546149007326256E-2</v>
      </c>
    </row>
    <row r="759" spans="1:6" x14ac:dyDescent="0.3">
      <c r="A759" s="24">
        <v>35637</v>
      </c>
      <c r="B759" s="66">
        <v>303.25799999999998</v>
      </c>
      <c r="C759" s="67"/>
      <c r="D759" s="68">
        <v>0</v>
      </c>
      <c r="E759" s="110">
        <f t="shared" si="12"/>
        <v>37193</v>
      </c>
      <c r="F759" s="69">
        <v>3.0546149007326256E-2</v>
      </c>
    </row>
    <row r="760" spans="1:6" x14ac:dyDescent="0.3">
      <c r="A760" s="24">
        <v>35638</v>
      </c>
      <c r="B760" s="66">
        <v>303.25799999999998</v>
      </c>
      <c r="C760" s="67"/>
      <c r="D760" s="68">
        <v>0</v>
      </c>
      <c r="E760" s="110">
        <f t="shared" si="12"/>
        <v>37193</v>
      </c>
      <c r="F760" s="69">
        <v>3.0546149007326256E-2</v>
      </c>
    </row>
    <row r="761" spans="1:6" x14ac:dyDescent="0.3">
      <c r="A761" s="24">
        <v>35639</v>
      </c>
      <c r="B761" s="66">
        <v>303.25799999999998</v>
      </c>
      <c r="C761" s="67"/>
      <c r="D761" s="68">
        <v>0</v>
      </c>
      <c r="E761" s="110">
        <f t="shared" si="12"/>
        <v>37193</v>
      </c>
      <c r="F761" s="69">
        <v>3.0546149007326256E-2</v>
      </c>
    </row>
    <row r="762" spans="1:6" x14ac:dyDescent="0.3">
      <c r="A762" s="24">
        <v>35640</v>
      </c>
      <c r="B762" s="66">
        <v>303.25799999999998</v>
      </c>
      <c r="C762" s="67"/>
      <c r="D762" s="68">
        <v>0</v>
      </c>
      <c r="E762" s="110">
        <f t="shared" si="12"/>
        <v>37193</v>
      </c>
      <c r="F762" s="69">
        <v>3.0546149007326256E-2</v>
      </c>
    </row>
    <row r="763" spans="1:6" x14ac:dyDescent="0.3">
      <c r="A763" s="24">
        <v>35641</v>
      </c>
      <c r="B763" s="66">
        <v>303.25799999999998</v>
      </c>
      <c r="C763" s="67"/>
      <c r="D763" s="68">
        <v>0</v>
      </c>
      <c r="E763" s="110">
        <f t="shared" si="12"/>
        <v>37193</v>
      </c>
      <c r="F763" s="69">
        <v>3.0546149007326256E-2</v>
      </c>
    </row>
    <row r="764" spans="1:6" x14ac:dyDescent="0.3">
      <c r="A764" s="24">
        <v>35642</v>
      </c>
      <c r="B764" s="66">
        <v>303.25799999999998</v>
      </c>
      <c r="C764" s="67"/>
      <c r="D764" s="68">
        <v>0</v>
      </c>
      <c r="E764" s="110">
        <f t="shared" si="12"/>
        <v>37193</v>
      </c>
      <c r="F764" s="69">
        <v>3.0546149007326256E-2</v>
      </c>
    </row>
    <row r="765" spans="1:6" x14ac:dyDescent="0.3">
      <c r="A765" s="24">
        <v>35643</v>
      </c>
      <c r="B765" s="66">
        <v>303.25799999999998</v>
      </c>
      <c r="C765" s="67"/>
      <c r="D765" s="68">
        <v>0</v>
      </c>
      <c r="E765" s="110">
        <f t="shared" si="12"/>
        <v>37193</v>
      </c>
      <c r="F765" s="69">
        <v>3.0546149007326256E-2</v>
      </c>
    </row>
    <row r="766" spans="1:6" x14ac:dyDescent="0.3">
      <c r="A766" s="24">
        <v>35644</v>
      </c>
      <c r="B766" s="66">
        <v>303.25799999999998</v>
      </c>
      <c r="C766" s="67"/>
      <c r="D766" s="68">
        <v>0</v>
      </c>
      <c r="E766" s="110">
        <f t="shared" si="12"/>
        <v>37193</v>
      </c>
      <c r="F766" s="69">
        <v>3.0546149007326256E-2</v>
      </c>
    </row>
    <row r="767" spans="1:6" x14ac:dyDescent="0.3">
      <c r="A767" s="24">
        <v>35645</v>
      </c>
      <c r="B767" s="66">
        <v>303.25799999999998</v>
      </c>
      <c r="C767" s="67"/>
      <c r="D767" s="68">
        <v>0</v>
      </c>
      <c r="E767" s="110">
        <f t="shared" si="12"/>
        <v>37193</v>
      </c>
      <c r="F767" s="69">
        <v>3.0546149007326256E-2</v>
      </c>
    </row>
    <row r="768" spans="1:6" x14ac:dyDescent="0.3">
      <c r="A768" s="24">
        <v>35646</v>
      </c>
      <c r="B768" s="66">
        <v>303.25799999999998</v>
      </c>
      <c r="C768" s="67"/>
      <c r="D768" s="68">
        <v>0</v>
      </c>
      <c r="E768" s="110">
        <f t="shared" si="12"/>
        <v>37193</v>
      </c>
      <c r="F768" s="69">
        <v>3.0546149007326256E-2</v>
      </c>
    </row>
    <row r="769" spans="1:6" x14ac:dyDescent="0.3">
      <c r="A769" s="24">
        <v>35647</v>
      </c>
      <c r="B769" s="66">
        <v>303.25799999999998</v>
      </c>
      <c r="C769" s="67"/>
      <c r="D769" s="68">
        <v>0</v>
      </c>
      <c r="E769" s="110">
        <f t="shared" si="12"/>
        <v>37193</v>
      </c>
      <c r="F769" s="69">
        <v>3.0546149007326256E-2</v>
      </c>
    </row>
    <row r="770" spans="1:6" x14ac:dyDescent="0.3">
      <c r="A770" s="24">
        <v>35648</v>
      </c>
      <c r="B770" s="66">
        <v>303.25799999999998</v>
      </c>
      <c r="C770" s="67"/>
      <c r="D770" s="68">
        <v>0</v>
      </c>
      <c r="E770" s="110">
        <f t="shared" si="12"/>
        <v>37193</v>
      </c>
      <c r="F770" s="69">
        <v>3.0546149007326256E-2</v>
      </c>
    </row>
    <row r="771" spans="1:6" x14ac:dyDescent="0.3">
      <c r="A771" s="24">
        <v>35649</v>
      </c>
      <c r="B771" s="66">
        <v>303.25799999999998</v>
      </c>
      <c r="C771" s="67"/>
      <c r="D771" s="68">
        <v>0</v>
      </c>
      <c r="E771" s="110">
        <f t="shared" si="12"/>
        <v>37193</v>
      </c>
      <c r="F771" s="69">
        <v>3.0546149007326256E-2</v>
      </c>
    </row>
    <row r="772" spans="1:6" x14ac:dyDescent="0.3">
      <c r="A772" s="24">
        <v>35650</v>
      </c>
      <c r="B772" s="66">
        <v>303.25799999999998</v>
      </c>
      <c r="C772" s="67"/>
      <c r="D772" s="68">
        <v>0</v>
      </c>
      <c r="E772" s="110">
        <f t="shared" si="12"/>
        <v>37193</v>
      </c>
      <c r="F772" s="69">
        <v>3.0546149007326256E-2</v>
      </c>
    </row>
    <row r="773" spans="1:6" x14ac:dyDescent="0.3">
      <c r="A773" s="24">
        <v>35651</v>
      </c>
      <c r="B773" s="66">
        <v>303.25799999999998</v>
      </c>
      <c r="C773" s="67"/>
      <c r="D773" s="68">
        <v>0</v>
      </c>
      <c r="E773" s="110">
        <f t="shared" si="12"/>
        <v>37193</v>
      </c>
      <c r="F773" s="69">
        <v>3.0546149007326256E-2</v>
      </c>
    </row>
    <row r="774" spans="1:6" x14ac:dyDescent="0.3">
      <c r="A774" s="24">
        <v>35652</v>
      </c>
      <c r="B774" s="66">
        <v>303.25799999999998</v>
      </c>
      <c r="C774" s="67"/>
      <c r="D774" s="68">
        <v>0</v>
      </c>
      <c r="E774" s="110">
        <f t="shared" si="12"/>
        <v>37193</v>
      </c>
      <c r="F774" s="69">
        <v>3.0546149007326256E-2</v>
      </c>
    </row>
    <row r="775" spans="1:6" x14ac:dyDescent="0.3">
      <c r="A775" s="24">
        <v>35653</v>
      </c>
      <c r="B775" s="66">
        <v>303.25799999999998</v>
      </c>
      <c r="C775" s="67"/>
      <c r="D775" s="68">
        <v>0</v>
      </c>
      <c r="E775" s="110">
        <f t="shared" si="12"/>
        <v>37193</v>
      </c>
      <c r="F775" s="69">
        <v>3.0546149007326256E-2</v>
      </c>
    </row>
    <row r="776" spans="1:6" x14ac:dyDescent="0.3">
      <c r="A776" s="24">
        <v>35654</v>
      </c>
      <c r="B776" s="66">
        <v>303.25799999999998</v>
      </c>
      <c r="C776" s="67"/>
      <c r="D776" s="68">
        <v>0</v>
      </c>
      <c r="E776" s="110">
        <f t="shared" si="12"/>
        <v>37193</v>
      </c>
      <c r="F776" s="69">
        <v>3.0546149007326256E-2</v>
      </c>
    </row>
    <row r="777" spans="1:6" x14ac:dyDescent="0.3">
      <c r="A777" s="24">
        <v>35655</v>
      </c>
      <c r="B777" s="66">
        <v>303.25799999999998</v>
      </c>
      <c r="C777" s="67"/>
      <c r="D777" s="68">
        <v>0</v>
      </c>
      <c r="E777" s="110">
        <f t="shared" si="12"/>
        <v>37193</v>
      </c>
      <c r="F777" s="69">
        <v>3.0546149007326256E-2</v>
      </c>
    </row>
    <row r="778" spans="1:6" x14ac:dyDescent="0.3">
      <c r="A778" s="24">
        <v>35656</v>
      </c>
      <c r="B778" s="66">
        <v>303.25799999999998</v>
      </c>
      <c r="C778" s="67"/>
      <c r="D778" s="68">
        <v>0</v>
      </c>
      <c r="E778" s="110">
        <f t="shared" si="12"/>
        <v>37193</v>
      </c>
      <c r="F778" s="69">
        <v>3.0546149007326256E-2</v>
      </c>
    </row>
    <row r="779" spans="1:6" x14ac:dyDescent="0.3">
      <c r="A779" s="24">
        <v>35657</v>
      </c>
      <c r="B779" s="66">
        <v>303.25799999999998</v>
      </c>
      <c r="C779" s="67"/>
      <c r="D779" s="68">
        <v>0</v>
      </c>
      <c r="E779" s="110">
        <f t="shared" si="12"/>
        <v>37193</v>
      </c>
      <c r="F779" s="69">
        <v>3.0546149007326256E-2</v>
      </c>
    </row>
    <row r="780" spans="1:6" x14ac:dyDescent="0.3">
      <c r="A780" s="24">
        <v>35658</v>
      </c>
      <c r="B780" s="66">
        <v>303.25799999999998</v>
      </c>
      <c r="C780" s="67"/>
      <c r="D780" s="68">
        <v>0</v>
      </c>
      <c r="E780" s="110">
        <f t="shared" si="12"/>
        <v>37193</v>
      </c>
      <c r="F780" s="69">
        <v>3.0546149007326256E-2</v>
      </c>
    </row>
    <row r="781" spans="1:6" x14ac:dyDescent="0.3">
      <c r="A781" s="24">
        <v>35659</v>
      </c>
      <c r="B781" s="66">
        <v>303.25799999999998</v>
      </c>
      <c r="C781" s="67"/>
      <c r="D781" s="68">
        <v>0</v>
      </c>
      <c r="E781" s="110">
        <f t="shared" si="12"/>
        <v>37193</v>
      </c>
      <c r="F781" s="69">
        <v>3.0546149007326256E-2</v>
      </c>
    </row>
    <row r="782" spans="1:6" x14ac:dyDescent="0.3">
      <c r="A782" s="24">
        <v>35660</v>
      </c>
      <c r="B782" s="66">
        <v>303.25799999999998</v>
      </c>
      <c r="C782" s="67"/>
      <c r="D782" s="68">
        <v>0</v>
      </c>
      <c r="E782" s="110">
        <f t="shared" si="12"/>
        <v>37193</v>
      </c>
      <c r="F782" s="69">
        <v>3.0546149007326256E-2</v>
      </c>
    </row>
    <row r="783" spans="1:6" x14ac:dyDescent="0.3">
      <c r="A783" s="24">
        <v>35661</v>
      </c>
      <c r="B783" s="66">
        <v>303.25799999999998</v>
      </c>
      <c r="C783" s="67"/>
      <c r="D783" s="68">
        <v>0</v>
      </c>
      <c r="E783" s="110">
        <f t="shared" si="12"/>
        <v>37193</v>
      </c>
      <c r="F783" s="69">
        <v>3.0546149007326256E-2</v>
      </c>
    </row>
    <row r="784" spans="1:6" x14ac:dyDescent="0.3">
      <c r="A784" s="24">
        <v>35662</v>
      </c>
      <c r="B784" s="66">
        <v>303.25799999999998</v>
      </c>
      <c r="C784" s="67"/>
      <c r="D784" s="68">
        <v>0</v>
      </c>
      <c r="E784" s="110">
        <f t="shared" si="12"/>
        <v>37193</v>
      </c>
      <c r="F784" s="69">
        <v>3.0546149007326256E-2</v>
      </c>
    </row>
    <row r="785" spans="1:6" x14ac:dyDescent="0.3">
      <c r="A785" s="24">
        <v>35663</v>
      </c>
      <c r="B785" s="66">
        <v>303.25799999999998</v>
      </c>
      <c r="C785" s="67"/>
      <c r="D785" s="68">
        <v>0</v>
      </c>
      <c r="E785" s="110">
        <f t="shared" si="12"/>
        <v>37193</v>
      </c>
      <c r="F785" s="69">
        <v>3.0546149007326256E-2</v>
      </c>
    </row>
    <row r="786" spans="1:6" x14ac:dyDescent="0.3">
      <c r="A786" s="24">
        <v>35664</v>
      </c>
      <c r="B786" s="66">
        <v>303.25799999999998</v>
      </c>
      <c r="C786" s="67"/>
      <c r="D786" s="68">
        <v>0</v>
      </c>
      <c r="E786" s="110">
        <f t="shared" ref="E786:E849" si="13">+E785</f>
        <v>37193</v>
      </c>
      <c r="F786" s="69">
        <v>3.0546149007326256E-2</v>
      </c>
    </row>
    <row r="787" spans="1:6" x14ac:dyDescent="0.3">
      <c r="A787" s="24">
        <v>35665</v>
      </c>
      <c r="B787" s="66">
        <v>303.25799999999998</v>
      </c>
      <c r="C787" s="67"/>
      <c r="D787" s="68">
        <v>0</v>
      </c>
      <c r="E787" s="110">
        <f t="shared" si="13"/>
        <v>37193</v>
      </c>
      <c r="F787" s="69">
        <v>3.0546149007326256E-2</v>
      </c>
    </row>
    <row r="788" spans="1:6" x14ac:dyDescent="0.3">
      <c r="A788" s="24">
        <v>35666</v>
      </c>
      <c r="B788" s="66">
        <v>303.25799999999998</v>
      </c>
      <c r="C788" s="67"/>
      <c r="D788" s="68">
        <v>0</v>
      </c>
      <c r="E788" s="110">
        <f t="shared" si="13"/>
        <v>37193</v>
      </c>
      <c r="F788" s="69">
        <v>3.0546149007326256E-2</v>
      </c>
    </row>
    <row r="789" spans="1:6" x14ac:dyDescent="0.3">
      <c r="A789" s="24">
        <v>35667</v>
      </c>
      <c r="B789" s="66">
        <v>303.25799999999998</v>
      </c>
      <c r="C789" s="67"/>
      <c r="D789" s="68">
        <v>0</v>
      </c>
      <c r="E789" s="110">
        <f t="shared" si="13"/>
        <v>37193</v>
      </c>
      <c r="F789" s="69">
        <v>3.0546149007326256E-2</v>
      </c>
    </row>
    <row r="790" spans="1:6" x14ac:dyDescent="0.3">
      <c r="A790" s="24">
        <v>35668</v>
      </c>
      <c r="B790" s="66">
        <v>303.25799999999998</v>
      </c>
      <c r="C790" s="67"/>
      <c r="D790" s="68">
        <v>0</v>
      </c>
      <c r="E790" s="110">
        <f t="shared" si="13"/>
        <v>37193</v>
      </c>
      <c r="F790" s="69">
        <v>3.0546149007326256E-2</v>
      </c>
    </row>
    <row r="791" spans="1:6" x14ac:dyDescent="0.3">
      <c r="A791" s="24">
        <v>35669</v>
      </c>
      <c r="B791" s="66">
        <v>303.25799999999998</v>
      </c>
      <c r="C791" s="67"/>
      <c r="D791" s="68">
        <v>0</v>
      </c>
      <c r="E791" s="110">
        <f t="shared" si="13"/>
        <v>37193</v>
      </c>
      <c r="F791" s="69">
        <v>3.0546149007326256E-2</v>
      </c>
    </row>
    <row r="792" spans="1:6" x14ac:dyDescent="0.3">
      <c r="A792" s="24">
        <v>35670</v>
      </c>
      <c r="B792" s="66">
        <v>303.25799999999998</v>
      </c>
      <c r="C792" s="67"/>
      <c r="D792" s="68">
        <v>0</v>
      </c>
      <c r="E792" s="110">
        <f t="shared" si="13"/>
        <v>37193</v>
      </c>
      <c r="F792" s="69">
        <v>3.0546149007326256E-2</v>
      </c>
    </row>
    <row r="793" spans="1:6" x14ac:dyDescent="0.3">
      <c r="A793" s="24">
        <v>35671</v>
      </c>
      <c r="B793" s="66">
        <v>303.25799999999998</v>
      </c>
      <c r="C793" s="67"/>
      <c r="D793" s="68">
        <v>0</v>
      </c>
      <c r="E793" s="110">
        <f t="shared" si="13"/>
        <v>37193</v>
      </c>
      <c r="F793" s="69">
        <v>3.0546149007326256E-2</v>
      </c>
    </row>
    <row r="794" spans="1:6" x14ac:dyDescent="0.3">
      <c r="A794" s="24">
        <v>35672</v>
      </c>
      <c r="B794" s="66">
        <v>303.25799999999998</v>
      </c>
      <c r="C794" s="67"/>
      <c r="D794" s="68">
        <v>0</v>
      </c>
      <c r="E794" s="110">
        <f t="shared" si="13"/>
        <v>37193</v>
      </c>
      <c r="F794" s="69">
        <v>3.0546149007326256E-2</v>
      </c>
    </row>
    <row r="795" spans="1:6" x14ac:dyDescent="0.3">
      <c r="A795" s="24">
        <v>35673</v>
      </c>
      <c r="B795" s="66">
        <v>303.25799999999998</v>
      </c>
      <c r="C795" s="67"/>
      <c r="D795" s="68">
        <v>0</v>
      </c>
      <c r="E795" s="110">
        <f t="shared" si="13"/>
        <v>37193</v>
      </c>
      <c r="F795" s="69">
        <v>3.0546149007326256E-2</v>
      </c>
    </row>
    <row r="796" spans="1:6" x14ac:dyDescent="0.3">
      <c r="A796" s="24">
        <v>35674</v>
      </c>
      <c r="B796" s="66">
        <v>303.25799999999998</v>
      </c>
      <c r="C796" s="67"/>
      <c r="D796" s="68">
        <v>0</v>
      </c>
      <c r="E796" s="110">
        <f t="shared" si="13"/>
        <v>37193</v>
      </c>
      <c r="F796" s="69">
        <v>3.0546149007326256E-2</v>
      </c>
    </row>
    <row r="797" spans="1:6" x14ac:dyDescent="0.3">
      <c r="A797" s="24">
        <v>35675</v>
      </c>
      <c r="B797" s="66">
        <v>303.25799999999998</v>
      </c>
      <c r="C797" s="67"/>
      <c r="D797" s="68">
        <v>0</v>
      </c>
      <c r="E797" s="110">
        <f t="shared" si="13"/>
        <v>37193</v>
      </c>
      <c r="F797" s="69">
        <v>3.0546149007326256E-2</v>
      </c>
    </row>
    <row r="798" spans="1:6" x14ac:dyDescent="0.3">
      <c r="A798" s="24">
        <v>35676</v>
      </c>
      <c r="B798" s="66">
        <v>303.25799999999998</v>
      </c>
      <c r="C798" s="67"/>
      <c r="D798" s="68">
        <v>0</v>
      </c>
      <c r="E798" s="110">
        <f t="shared" si="13"/>
        <v>37193</v>
      </c>
      <c r="F798" s="69">
        <v>3.0546149007326256E-2</v>
      </c>
    </row>
    <row r="799" spans="1:6" x14ac:dyDescent="0.3">
      <c r="A799" s="24">
        <v>35677</v>
      </c>
      <c r="B799" s="66">
        <v>303.25799999999998</v>
      </c>
      <c r="C799" s="67"/>
      <c r="D799" s="68">
        <v>0</v>
      </c>
      <c r="E799" s="110">
        <f t="shared" si="13"/>
        <v>37193</v>
      </c>
      <c r="F799" s="69">
        <v>3.0546149007326256E-2</v>
      </c>
    </row>
    <row r="800" spans="1:6" x14ac:dyDescent="0.3">
      <c r="A800" s="24">
        <v>35678</v>
      </c>
      <c r="B800" s="66">
        <v>303.25799999999998</v>
      </c>
      <c r="C800" s="67"/>
      <c r="D800" s="68">
        <v>0</v>
      </c>
      <c r="E800" s="110">
        <f t="shared" si="13"/>
        <v>37193</v>
      </c>
      <c r="F800" s="69">
        <v>3.0546149007326256E-2</v>
      </c>
    </row>
    <row r="801" spans="1:6" x14ac:dyDescent="0.3">
      <c r="A801" s="24">
        <v>35679</v>
      </c>
      <c r="B801" s="66">
        <v>303.25799999999998</v>
      </c>
      <c r="C801" s="67"/>
      <c r="D801" s="68">
        <v>0</v>
      </c>
      <c r="E801" s="110">
        <f t="shared" si="13"/>
        <v>37193</v>
      </c>
      <c r="F801" s="69">
        <v>3.0546149007326256E-2</v>
      </c>
    </row>
    <row r="802" spans="1:6" x14ac:dyDescent="0.3">
      <c r="A802" s="24">
        <v>35680</v>
      </c>
      <c r="B802" s="66">
        <v>303.25799999999998</v>
      </c>
      <c r="C802" s="67"/>
      <c r="D802" s="68">
        <v>0</v>
      </c>
      <c r="E802" s="110">
        <f t="shared" si="13"/>
        <v>37193</v>
      </c>
      <c r="F802" s="69">
        <v>3.0546149007326256E-2</v>
      </c>
    </row>
    <row r="803" spans="1:6" x14ac:dyDescent="0.3">
      <c r="A803" s="24">
        <v>35681</v>
      </c>
      <c r="B803" s="66">
        <v>303.25799999999998</v>
      </c>
      <c r="C803" s="67"/>
      <c r="D803" s="68">
        <v>0</v>
      </c>
      <c r="E803" s="110">
        <f t="shared" si="13"/>
        <v>37193</v>
      </c>
      <c r="F803" s="69">
        <v>3.0546149007326256E-2</v>
      </c>
    </row>
    <row r="804" spans="1:6" x14ac:dyDescent="0.3">
      <c r="A804" s="24">
        <v>35682</v>
      </c>
      <c r="B804" s="66">
        <v>303.25799999999998</v>
      </c>
      <c r="C804" s="67"/>
      <c r="D804" s="68">
        <v>0</v>
      </c>
      <c r="E804" s="110">
        <f t="shared" si="13"/>
        <v>37193</v>
      </c>
      <c r="F804" s="69">
        <v>3.0546149007326256E-2</v>
      </c>
    </row>
    <row r="805" spans="1:6" x14ac:dyDescent="0.3">
      <c r="A805" s="24">
        <v>35683</v>
      </c>
      <c r="B805" s="66">
        <v>303.25799999999998</v>
      </c>
      <c r="C805" s="67"/>
      <c r="D805" s="68">
        <v>0</v>
      </c>
      <c r="E805" s="110">
        <f t="shared" si="13"/>
        <v>37193</v>
      </c>
      <c r="F805" s="69">
        <v>3.0546149007326256E-2</v>
      </c>
    </row>
    <row r="806" spans="1:6" x14ac:dyDescent="0.3">
      <c r="A806" s="24">
        <v>35684</v>
      </c>
      <c r="B806" s="66">
        <v>303.25799999999998</v>
      </c>
      <c r="C806" s="67"/>
      <c r="D806" s="68">
        <v>0</v>
      </c>
      <c r="E806" s="110">
        <f t="shared" si="13"/>
        <v>37193</v>
      </c>
      <c r="F806" s="69">
        <v>3.0546149007326256E-2</v>
      </c>
    </row>
    <row r="807" spans="1:6" x14ac:dyDescent="0.3">
      <c r="A807" s="24">
        <v>35685</v>
      </c>
      <c r="B807" s="66">
        <v>303.25799999999998</v>
      </c>
      <c r="C807" s="67"/>
      <c r="D807" s="68">
        <v>0</v>
      </c>
      <c r="E807" s="110">
        <f t="shared" si="13"/>
        <v>37193</v>
      </c>
      <c r="F807" s="69">
        <v>3.0546149007326256E-2</v>
      </c>
    </row>
    <row r="808" spans="1:6" x14ac:dyDescent="0.3">
      <c r="A808" s="24">
        <v>35686</v>
      </c>
      <c r="B808" s="66">
        <v>303.25799999999998</v>
      </c>
      <c r="C808" s="67"/>
      <c r="D808" s="68">
        <v>0</v>
      </c>
      <c r="E808" s="110">
        <f t="shared" si="13"/>
        <v>37193</v>
      </c>
      <c r="F808" s="69">
        <v>3.0546149007326256E-2</v>
      </c>
    </row>
    <row r="809" spans="1:6" x14ac:dyDescent="0.3">
      <c r="A809" s="24">
        <v>35687</v>
      </c>
      <c r="B809" s="66">
        <v>303.25799999999998</v>
      </c>
      <c r="C809" s="67"/>
      <c r="D809" s="68">
        <v>0</v>
      </c>
      <c r="E809" s="110">
        <f t="shared" si="13"/>
        <v>37193</v>
      </c>
      <c r="F809" s="69">
        <v>3.0546149007326256E-2</v>
      </c>
    </row>
    <row r="810" spans="1:6" x14ac:dyDescent="0.3">
      <c r="A810" s="24">
        <v>35688</v>
      </c>
      <c r="B810" s="66">
        <v>303.25799999999998</v>
      </c>
      <c r="C810" s="67"/>
      <c r="D810" s="68">
        <v>0</v>
      </c>
      <c r="E810" s="110">
        <f t="shared" si="13"/>
        <v>37193</v>
      </c>
      <c r="F810" s="69">
        <v>3.0546149007326256E-2</v>
      </c>
    </row>
    <row r="811" spans="1:6" x14ac:dyDescent="0.3">
      <c r="A811" s="24">
        <v>35689</v>
      </c>
      <c r="B811" s="66">
        <v>303.25799999999998</v>
      </c>
      <c r="C811" s="67"/>
      <c r="D811" s="68">
        <v>0</v>
      </c>
      <c r="E811" s="110">
        <f t="shared" si="13"/>
        <v>37193</v>
      </c>
      <c r="F811" s="69">
        <v>3.0546149007326256E-2</v>
      </c>
    </row>
    <row r="812" spans="1:6" x14ac:dyDescent="0.3">
      <c r="A812" s="24">
        <v>35690</v>
      </c>
      <c r="B812" s="66">
        <v>303.25799999999998</v>
      </c>
      <c r="C812" s="67"/>
      <c r="D812" s="68">
        <v>0</v>
      </c>
      <c r="E812" s="110">
        <f t="shared" si="13"/>
        <v>37193</v>
      </c>
      <c r="F812" s="69">
        <v>3.0546149007326256E-2</v>
      </c>
    </row>
    <row r="813" spans="1:6" x14ac:dyDescent="0.3">
      <c r="A813" s="24">
        <v>35691</v>
      </c>
      <c r="B813" s="66">
        <v>303.25799999999998</v>
      </c>
      <c r="C813" s="67"/>
      <c r="D813" s="68">
        <v>0</v>
      </c>
      <c r="E813" s="110">
        <f t="shared" si="13"/>
        <v>37193</v>
      </c>
      <c r="F813" s="69">
        <v>3.0546149007326256E-2</v>
      </c>
    </row>
    <row r="814" spans="1:6" x14ac:dyDescent="0.3">
      <c r="A814" s="24">
        <v>35692</v>
      </c>
      <c r="B814" s="66">
        <v>303.25799999999998</v>
      </c>
      <c r="C814" s="67"/>
      <c r="D814" s="68">
        <v>0</v>
      </c>
      <c r="E814" s="110">
        <f t="shared" si="13"/>
        <v>37193</v>
      </c>
      <c r="F814" s="69">
        <v>3.0546149007326256E-2</v>
      </c>
    </row>
    <row r="815" spans="1:6" x14ac:dyDescent="0.3">
      <c r="A815" s="24">
        <v>35693</v>
      </c>
      <c r="B815" s="66">
        <v>303.25799999999998</v>
      </c>
      <c r="C815" s="67"/>
      <c r="D815" s="68">
        <v>0</v>
      </c>
      <c r="E815" s="110">
        <f t="shared" si="13"/>
        <v>37193</v>
      </c>
      <c r="F815" s="69">
        <v>3.0546149007326256E-2</v>
      </c>
    </row>
    <row r="816" spans="1:6" x14ac:dyDescent="0.3">
      <c r="A816" s="24">
        <v>35694</v>
      </c>
      <c r="B816" s="66">
        <v>303.25799999999998</v>
      </c>
      <c r="C816" s="67"/>
      <c r="D816" s="68">
        <v>0</v>
      </c>
      <c r="E816" s="110">
        <f t="shared" si="13"/>
        <v>37193</v>
      </c>
      <c r="F816" s="69">
        <v>3.0546149007326256E-2</v>
      </c>
    </row>
    <row r="817" spans="1:6" x14ac:dyDescent="0.3">
      <c r="A817" s="24">
        <v>35695</v>
      </c>
      <c r="B817" s="66">
        <v>303.25799999999998</v>
      </c>
      <c r="C817" s="67"/>
      <c r="D817" s="68">
        <v>0</v>
      </c>
      <c r="E817" s="110">
        <f t="shared" si="13"/>
        <v>37193</v>
      </c>
      <c r="F817" s="69">
        <v>3.0546149007326256E-2</v>
      </c>
    </row>
    <row r="818" spans="1:6" x14ac:dyDescent="0.3">
      <c r="A818" s="24">
        <v>35696</v>
      </c>
      <c r="B818" s="66">
        <v>303.25799999999998</v>
      </c>
      <c r="C818" s="67"/>
      <c r="D818" s="68">
        <v>0</v>
      </c>
      <c r="E818" s="110">
        <f t="shared" si="13"/>
        <v>37193</v>
      </c>
      <c r="F818" s="69">
        <v>3.0546149007326256E-2</v>
      </c>
    </row>
    <row r="819" spans="1:6" x14ac:dyDescent="0.3">
      <c r="A819" s="24">
        <v>35697</v>
      </c>
      <c r="B819" s="66">
        <v>303.25799999999998</v>
      </c>
      <c r="C819" s="67"/>
      <c r="D819" s="68">
        <v>0</v>
      </c>
      <c r="E819" s="110">
        <f t="shared" si="13"/>
        <v>37193</v>
      </c>
      <c r="F819" s="69">
        <v>3.0546149007326256E-2</v>
      </c>
    </row>
    <row r="820" spans="1:6" x14ac:dyDescent="0.3">
      <c r="A820" s="24">
        <v>35698</v>
      </c>
      <c r="B820" s="66">
        <v>303.25799999999998</v>
      </c>
      <c r="C820" s="67"/>
      <c r="D820" s="68">
        <v>0</v>
      </c>
      <c r="E820" s="110">
        <f t="shared" si="13"/>
        <v>37193</v>
      </c>
      <c r="F820" s="69">
        <v>3.0546149007326256E-2</v>
      </c>
    </row>
    <row r="821" spans="1:6" x14ac:dyDescent="0.3">
      <c r="A821" s="24">
        <v>35699</v>
      </c>
      <c r="B821" s="66">
        <v>303.25799999999998</v>
      </c>
      <c r="C821" s="67"/>
      <c r="D821" s="68">
        <v>0</v>
      </c>
      <c r="E821" s="110">
        <f t="shared" si="13"/>
        <v>37193</v>
      </c>
      <c r="F821" s="69">
        <v>3.0546149007326256E-2</v>
      </c>
    </row>
    <row r="822" spans="1:6" x14ac:dyDescent="0.3">
      <c r="A822" s="24">
        <v>35700</v>
      </c>
      <c r="B822" s="66">
        <v>303.25799999999998</v>
      </c>
      <c r="C822" s="67"/>
      <c r="D822" s="68">
        <v>0</v>
      </c>
      <c r="E822" s="110">
        <f t="shared" si="13"/>
        <v>37193</v>
      </c>
      <c r="F822" s="69">
        <v>3.0546149007326256E-2</v>
      </c>
    </row>
    <row r="823" spans="1:6" x14ac:dyDescent="0.3">
      <c r="A823" s="24">
        <v>35701</v>
      </c>
      <c r="B823" s="66">
        <v>303.25799999999998</v>
      </c>
      <c r="C823" s="67"/>
      <c r="D823" s="68">
        <v>0</v>
      </c>
      <c r="E823" s="110">
        <f t="shared" si="13"/>
        <v>37193</v>
      </c>
      <c r="F823" s="69">
        <v>3.0546149007326256E-2</v>
      </c>
    </row>
    <row r="824" spans="1:6" x14ac:dyDescent="0.3">
      <c r="A824" s="24">
        <v>35702</v>
      </c>
      <c r="B824" s="66">
        <v>303.25799999999998</v>
      </c>
      <c r="C824" s="67"/>
      <c r="D824" s="68">
        <v>0</v>
      </c>
      <c r="E824" s="110">
        <f t="shared" si="13"/>
        <v>37193</v>
      </c>
      <c r="F824" s="69">
        <v>2.9957241309036476E-2</v>
      </c>
    </row>
    <row r="825" spans="1:6" x14ac:dyDescent="0.3">
      <c r="A825" s="24">
        <v>35703</v>
      </c>
      <c r="B825" s="66">
        <v>322.82600000000002</v>
      </c>
      <c r="C825" s="67"/>
      <c r="D825" s="68">
        <v>0</v>
      </c>
      <c r="E825" s="110">
        <f t="shared" si="13"/>
        <v>37193</v>
      </c>
      <c r="F825" s="69">
        <v>2.9957241309036476E-2</v>
      </c>
    </row>
    <row r="826" spans="1:6" x14ac:dyDescent="0.3">
      <c r="A826" s="24">
        <v>35704</v>
      </c>
      <c r="B826" s="66">
        <v>322.82600000000002</v>
      </c>
      <c r="C826" s="67"/>
      <c r="D826" s="68">
        <v>0</v>
      </c>
      <c r="E826" s="110">
        <f t="shared" si="13"/>
        <v>37193</v>
      </c>
      <c r="F826" s="69">
        <v>2.9957241309036476E-2</v>
      </c>
    </row>
    <row r="827" spans="1:6" x14ac:dyDescent="0.3">
      <c r="A827" s="24">
        <v>35705</v>
      </c>
      <c r="B827" s="66">
        <v>322.82600000000002</v>
      </c>
      <c r="C827" s="67"/>
      <c r="D827" s="68">
        <v>0</v>
      </c>
      <c r="E827" s="110">
        <f t="shared" si="13"/>
        <v>37193</v>
      </c>
      <c r="F827" s="69">
        <v>2.9957241309036476E-2</v>
      </c>
    </row>
    <row r="828" spans="1:6" x14ac:dyDescent="0.3">
      <c r="A828" s="24">
        <v>35706</v>
      </c>
      <c r="B828" s="66">
        <v>322.82600000000002</v>
      </c>
      <c r="C828" s="67"/>
      <c r="D828" s="68">
        <v>0</v>
      </c>
      <c r="E828" s="110">
        <f t="shared" si="13"/>
        <v>37193</v>
      </c>
      <c r="F828" s="69">
        <v>2.9957241309036476E-2</v>
      </c>
    </row>
    <row r="829" spans="1:6" x14ac:dyDescent="0.3">
      <c r="A829" s="24">
        <v>35707</v>
      </c>
      <c r="B829" s="66">
        <v>322.82600000000002</v>
      </c>
      <c r="C829" s="67"/>
      <c r="D829" s="68">
        <v>0</v>
      </c>
      <c r="E829" s="110">
        <f t="shared" si="13"/>
        <v>37193</v>
      </c>
      <c r="F829" s="69">
        <v>2.9957241309036476E-2</v>
      </c>
    </row>
    <row r="830" spans="1:6" x14ac:dyDescent="0.3">
      <c r="A830" s="24">
        <v>35708</v>
      </c>
      <c r="B830" s="66">
        <v>322.82600000000002</v>
      </c>
      <c r="C830" s="67"/>
      <c r="D830" s="68">
        <v>0</v>
      </c>
      <c r="E830" s="110">
        <f t="shared" si="13"/>
        <v>37193</v>
      </c>
      <c r="F830" s="69">
        <v>2.9957241309036476E-2</v>
      </c>
    </row>
    <row r="831" spans="1:6" x14ac:dyDescent="0.3">
      <c r="A831" s="24">
        <v>35709</v>
      </c>
      <c r="B831" s="66">
        <v>322.82600000000002</v>
      </c>
      <c r="C831" s="67"/>
      <c r="D831" s="68">
        <v>0</v>
      </c>
      <c r="E831" s="110">
        <f t="shared" si="13"/>
        <v>37193</v>
      </c>
      <c r="F831" s="69">
        <v>2.9957241309036476E-2</v>
      </c>
    </row>
    <row r="832" spans="1:6" x14ac:dyDescent="0.3">
      <c r="A832" s="24">
        <v>35710</v>
      </c>
      <c r="B832" s="66">
        <v>322.82600000000002</v>
      </c>
      <c r="C832" s="67"/>
      <c r="D832" s="68">
        <v>0</v>
      </c>
      <c r="E832" s="110">
        <f t="shared" si="13"/>
        <v>37193</v>
      </c>
      <c r="F832" s="69">
        <v>2.9957241309036476E-2</v>
      </c>
    </row>
    <row r="833" spans="1:6" x14ac:dyDescent="0.3">
      <c r="A833" s="24">
        <v>35711</v>
      </c>
      <c r="B833" s="66">
        <v>322.82600000000002</v>
      </c>
      <c r="C833" s="67"/>
      <c r="D833" s="68">
        <v>0</v>
      </c>
      <c r="E833" s="110">
        <f t="shared" si="13"/>
        <v>37193</v>
      </c>
      <c r="F833" s="69">
        <v>2.9957241309036476E-2</v>
      </c>
    </row>
    <row r="834" spans="1:6" x14ac:dyDescent="0.3">
      <c r="A834" s="24">
        <v>35712</v>
      </c>
      <c r="B834" s="66">
        <v>322.82600000000002</v>
      </c>
      <c r="C834" s="67"/>
      <c r="D834" s="68">
        <v>0</v>
      </c>
      <c r="E834" s="110">
        <f t="shared" si="13"/>
        <v>37193</v>
      </c>
      <c r="F834" s="69">
        <v>2.9957241309036476E-2</v>
      </c>
    </row>
    <row r="835" spans="1:6" x14ac:dyDescent="0.3">
      <c r="A835" s="24">
        <v>35713</v>
      </c>
      <c r="B835" s="66">
        <v>322.82600000000002</v>
      </c>
      <c r="C835" s="67"/>
      <c r="D835" s="68">
        <v>0</v>
      </c>
      <c r="E835" s="110">
        <f t="shared" si="13"/>
        <v>37193</v>
      </c>
      <c r="F835" s="69">
        <v>2.9957241309036476E-2</v>
      </c>
    </row>
    <row r="836" spans="1:6" x14ac:dyDescent="0.3">
      <c r="A836" s="24">
        <v>35714</v>
      </c>
      <c r="B836" s="66">
        <v>322.82600000000002</v>
      </c>
      <c r="C836" s="67"/>
      <c r="D836" s="68">
        <v>0</v>
      </c>
      <c r="E836" s="110">
        <f t="shared" si="13"/>
        <v>37193</v>
      </c>
      <c r="F836" s="69">
        <v>2.9957241309036476E-2</v>
      </c>
    </row>
    <row r="837" spans="1:6" x14ac:dyDescent="0.3">
      <c r="A837" s="24">
        <v>35715</v>
      </c>
      <c r="B837" s="66">
        <v>322.82600000000002</v>
      </c>
      <c r="C837" s="67"/>
      <c r="D837" s="68">
        <v>0</v>
      </c>
      <c r="E837" s="110">
        <f t="shared" si="13"/>
        <v>37193</v>
      </c>
      <c r="F837" s="69">
        <v>2.9957241309036476E-2</v>
      </c>
    </row>
    <row r="838" spans="1:6" x14ac:dyDescent="0.3">
      <c r="A838" s="24">
        <v>35716</v>
      </c>
      <c r="B838" s="66">
        <v>322.82600000000002</v>
      </c>
      <c r="C838" s="67"/>
      <c r="D838" s="68">
        <v>0</v>
      </c>
      <c r="E838" s="110">
        <f t="shared" si="13"/>
        <v>37193</v>
      </c>
      <c r="F838" s="69">
        <v>2.9957241309036476E-2</v>
      </c>
    </row>
    <row r="839" spans="1:6" x14ac:dyDescent="0.3">
      <c r="A839" s="24">
        <v>35717</v>
      </c>
      <c r="B839" s="66">
        <v>322.82600000000002</v>
      </c>
      <c r="C839" s="67"/>
      <c r="D839" s="68">
        <v>0</v>
      </c>
      <c r="E839" s="110">
        <f t="shared" si="13"/>
        <v>37193</v>
      </c>
      <c r="F839" s="69">
        <v>2.9957241309036476E-2</v>
      </c>
    </row>
    <row r="840" spans="1:6" x14ac:dyDescent="0.3">
      <c r="A840" s="24">
        <v>35718</v>
      </c>
      <c r="B840" s="66">
        <v>322.82600000000002</v>
      </c>
      <c r="C840" s="67"/>
      <c r="D840" s="68">
        <v>0</v>
      </c>
      <c r="E840" s="110">
        <f t="shared" si="13"/>
        <v>37193</v>
      </c>
      <c r="F840" s="69">
        <v>2.9957241309036476E-2</v>
      </c>
    </row>
    <row r="841" spans="1:6" x14ac:dyDescent="0.3">
      <c r="A841" s="24">
        <v>35719</v>
      </c>
      <c r="B841" s="66">
        <v>322.82600000000002</v>
      </c>
      <c r="C841" s="67"/>
      <c r="D841" s="68">
        <v>0</v>
      </c>
      <c r="E841" s="110">
        <f t="shared" si="13"/>
        <v>37193</v>
      </c>
      <c r="F841" s="69">
        <v>2.9957241309036476E-2</v>
      </c>
    </row>
    <row r="842" spans="1:6" x14ac:dyDescent="0.3">
      <c r="A842" s="24">
        <v>35720</v>
      </c>
      <c r="B842" s="66">
        <v>322.82600000000002</v>
      </c>
      <c r="C842" s="67"/>
      <c r="D842" s="68">
        <v>0</v>
      </c>
      <c r="E842" s="110">
        <f t="shared" si="13"/>
        <v>37193</v>
      </c>
      <c r="F842" s="69">
        <v>2.9957241309036476E-2</v>
      </c>
    </row>
    <row r="843" spans="1:6" x14ac:dyDescent="0.3">
      <c r="A843" s="24">
        <v>35721</v>
      </c>
      <c r="B843" s="66">
        <v>322.82600000000002</v>
      </c>
      <c r="C843" s="67"/>
      <c r="D843" s="68">
        <v>0</v>
      </c>
      <c r="E843" s="110">
        <f t="shared" si="13"/>
        <v>37193</v>
      </c>
      <c r="F843" s="69">
        <v>2.9957241309036476E-2</v>
      </c>
    </row>
    <row r="844" spans="1:6" x14ac:dyDescent="0.3">
      <c r="A844" s="24">
        <v>35722</v>
      </c>
      <c r="B844" s="66">
        <v>322.82600000000002</v>
      </c>
      <c r="C844" s="67"/>
      <c r="D844" s="68">
        <v>0</v>
      </c>
      <c r="E844" s="110">
        <f t="shared" si="13"/>
        <v>37193</v>
      </c>
      <c r="F844" s="69">
        <v>2.9957241309036476E-2</v>
      </c>
    </row>
    <row r="845" spans="1:6" x14ac:dyDescent="0.3">
      <c r="A845" s="24">
        <v>35723</v>
      </c>
      <c r="B845" s="66">
        <v>322.82600000000002</v>
      </c>
      <c r="C845" s="67"/>
      <c r="D845" s="68">
        <v>0</v>
      </c>
      <c r="E845" s="110">
        <f t="shared" si="13"/>
        <v>37193</v>
      </c>
      <c r="F845" s="69">
        <v>2.9957241309036476E-2</v>
      </c>
    </row>
    <row r="846" spans="1:6" x14ac:dyDescent="0.3">
      <c r="A846" s="24">
        <v>35724</v>
      </c>
      <c r="B846" s="66">
        <v>322.82600000000002</v>
      </c>
      <c r="C846" s="67"/>
      <c r="D846" s="68">
        <v>0</v>
      </c>
      <c r="E846" s="110">
        <f t="shared" si="13"/>
        <v>37193</v>
      </c>
      <c r="F846" s="69">
        <v>2.9957241309036476E-2</v>
      </c>
    </row>
    <row r="847" spans="1:6" x14ac:dyDescent="0.3">
      <c r="A847" s="24">
        <v>35725</v>
      </c>
      <c r="B847" s="66">
        <v>322.82600000000002</v>
      </c>
      <c r="C847" s="67"/>
      <c r="D847" s="68">
        <v>0</v>
      </c>
      <c r="E847" s="110">
        <f t="shared" si="13"/>
        <v>37193</v>
      </c>
      <c r="F847" s="69">
        <v>2.9957241309036476E-2</v>
      </c>
    </row>
    <row r="848" spans="1:6" x14ac:dyDescent="0.3">
      <c r="A848" s="24">
        <v>35726</v>
      </c>
      <c r="B848" s="66">
        <v>322.82600000000002</v>
      </c>
      <c r="C848" s="67"/>
      <c r="D848" s="68">
        <v>0</v>
      </c>
      <c r="E848" s="110">
        <f t="shared" si="13"/>
        <v>37193</v>
      </c>
      <c r="F848" s="69">
        <v>2.9957241309036476E-2</v>
      </c>
    </row>
    <row r="849" spans="1:6" x14ac:dyDescent="0.3">
      <c r="A849" s="24">
        <v>35727</v>
      </c>
      <c r="B849" s="66">
        <v>322.82600000000002</v>
      </c>
      <c r="C849" s="67"/>
      <c r="D849" s="68">
        <v>0</v>
      </c>
      <c r="E849" s="110">
        <f t="shared" si="13"/>
        <v>37193</v>
      </c>
      <c r="F849" s="69">
        <v>2.9957241309036476E-2</v>
      </c>
    </row>
    <row r="850" spans="1:6" x14ac:dyDescent="0.3">
      <c r="A850" s="24">
        <v>35728</v>
      </c>
      <c r="B850" s="66">
        <v>322.82600000000002</v>
      </c>
      <c r="C850" s="67"/>
      <c r="D850" s="68">
        <v>0</v>
      </c>
      <c r="E850" s="110">
        <f t="shared" ref="E850:E913" si="14">+E849</f>
        <v>37193</v>
      </c>
      <c r="F850" s="69">
        <v>2.9957241309036476E-2</v>
      </c>
    </row>
    <row r="851" spans="1:6" x14ac:dyDescent="0.3">
      <c r="A851" s="24">
        <v>35729</v>
      </c>
      <c r="B851" s="66">
        <v>322.82600000000002</v>
      </c>
      <c r="C851" s="67"/>
      <c r="D851" s="68">
        <v>0</v>
      </c>
      <c r="E851" s="110">
        <f t="shared" si="14"/>
        <v>37193</v>
      </c>
      <c r="F851" s="69">
        <v>2.9957241309036476E-2</v>
      </c>
    </row>
    <row r="852" spans="1:6" x14ac:dyDescent="0.3">
      <c r="A852" s="24">
        <v>35730</v>
      </c>
      <c r="B852" s="66">
        <v>322.82600000000002</v>
      </c>
      <c r="C852" s="67"/>
      <c r="D852" s="68">
        <v>0</v>
      </c>
      <c r="E852" s="110">
        <f t="shared" si="14"/>
        <v>37193</v>
      </c>
      <c r="F852" s="69">
        <v>2.9957241309036476E-2</v>
      </c>
    </row>
    <row r="853" spans="1:6" x14ac:dyDescent="0.3">
      <c r="A853" s="24">
        <v>35731</v>
      </c>
      <c r="B853" s="66">
        <v>322.82600000000002</v>
      </c>
      <c r="C853" s="67"/>
      <c r="D853" s="68">
        <v>0</v>
      </c>
      <c r="E853" s="110">
        <f t="shared" si="14"/>
        <v>37193</v>
      </c>
      <c r="F853" s="69">
        <v>2.9957241309036476E-2</v>
      </c>
    </row>
    <row r="854" spans="1:6" x14ac:dyDescent="0.3">
      <c r="A854" s="24">
        <v>35732</v>
      </c>
      <c r="B854" s="66">
        <v>322.82600000000002</v>
      </c>
      <c r="C854" s="67"/>
      <c r="D854" s="68">
        <v>0</v>
      </c>
      <c r="E854" s="110">
        <f t="shared" si="14"/>
        <v>37193</v>
      </c>
      <c r="F854" s="69">
        <v>2.9957241309036476E-2</v>
      </c>
    </row>
    <row r="855" spans="1:6" x14ac:dyDescent="0.3">
      <c r="A855" s="24">
        <v>35733</v>
      </c>
      <c r="B855" s="66">
        <v>322.82600000000002</v>
      </c>
      <c r="C855" s="67"/>
      <c r="D855" s="68">
        <v>0</v>
      </c>
      <c r="E855" s="110">
        <f t="shared" si="14"/>
        <v>37193</v>
      </c>
      <c r="F855" s="69">
        <v>2.9957241309036476E-2</v>
      </c>
    </row>
    <row r="856" spans="1:6" x14ac:dyDescent="0.3">
      <c r="A856" s="24">
        <v>35734</v>
      </c>
      <c r="B856" s="66">
        <v>322.82600000000002</v>
      </c>
      <c r="C856" s="67"/>
      <c r="D856" s="68">
        <v>0</v>
      </c>
      <c r="E856" s="110">
        <f t="shared" si="14"/>
        <v>37193</v>
      </c>
      <c r="F856" s="69">
        <v>2.9957241309036476E-2</v>
      </c>
    </row>
    <row r="857" spans="1:6" x14ac:dyDescent="0.3">
      <c r="A857" s="24">
        <v>35735</v>
      </c>
      <c r="B857" s="66">
        <v>322.82600000000002</v>
      </c>
      <c r="C857" s="67"/>
      <c r="D857" s="68">
        <v>0</v>
      </c>
      <c r="E857" s="110">
        <f t="shared" si="14"/>
        <v>37193</v>
      </c>
      <c r="F857" s="69">
        <v>2.9957241309036476E-2</v>
      </c>
    </row>
    <row r="858" spans="1:6" x14ac:dyDescent="0.3">
      <c r="A858" s="24">
        <v>35736</v>
      </c>
      <c r="B858" s="66">
        <v>322.82600000000002</v>
      </c>
      <c r="C858" s="67"/>
      <c r="D858" s="68">
        <v>0</v>
      </c>
      <c r="E858" s="110">
        <f t="shared" si="14"/>
        <v>37193</v>
      </c>
      <c r="F858" s="69">
        <v>2.9957241309036476E-2</v>
      </c>
    </row>
    <row r="859" spans="1:6" x14ac:dyDescent="0.3">
      <c r="A859" s="24">
        <v>35737</v>
      </c>
      <c r="B859" s="66">
        <v>322.82600000000002</v>
      </c>
      <c r="C859" s="67"/>
      <c r="D859" s="68">
        <v>0</v>
      </c>
      <c r="E859" s="110">
        <f t="shared" si="14"/>
        <v>37193</v>
      </c>
      <c r="F859" s="69">
        <v>2.9957241309036476E-2</v>
      </c>
    </row>
    <row r="860" spans="1:6" x14ac:dyDescent="0.3">
      <c r="A860" s="24">
        <v>35738</v>
      </c>
      <c r="B860" s="66">
        <v>322.82600000000002</v>
      </c>
      <c r="C860" s="67"/>
      <c r="D860" s="68">
        <v>0</v>
      </c>
      <c r="E860" s="110">
        <f t="shared" si="14"/>
        <v>37193</v>
      </c>
      <c r="F860" s="69">
        <v>2.9957241309036476E-2</v>
      </c>
    </row>
    <row r="861" spans="1:6" x14ac:dyDescent="0.3">
      <c r="A861" s="24">
        <v>35739</v>
      </c>
      <c r="B861" s="66">
        <v>322.82600000000002</v>
      </c>
      <c r="C861" s="67"/>
      <c r="D861" s="68">
        <v>0</v>
      </c>
      <c r="E861" s="110">
        <f t="shared" si="14"/>
        <v>37193</v>
      </c>
      <c r="F861" s="69">
        <v>2.9957241309036476E-2</v>
      </c>
    </row>
    <row r="862" spans="1:6" x14ac:dyDescent="0.3">
      <c r="A862" s="24">
        <v>35740</v>
      </c>
      <c r="B862" s="66">
        <v>322.82600000000002</v>
      </c>
      <c r="C862" s="67"/>
      <c r="D862" s="68">
        <v>0</v>
      </c>
      <c r="E862" s="110">
        <f t="shared" si="14"/>
        <v>37193</v>
      </c>
      <c r="F862" s="69">
        <v>2.9957241309036476E-2</v>
      </c>
    </row>
    <row r="863" spans="1:6" x14ac:dyDescent="0.3">
      <c r="A863" s="24">
        <v>35741</v>
      </c>
      <c r="B863" s="66">
        <v>322.82600000000002</v>
      </c>
      <c r="C863" s="67"/>
      <c r="D863" s="68">
        <v>0</v>
      </c>
      <c r="E863" s="110">
        <f t="shared" si="14"/>
        <v>37193</v>
      </c>
      <c r="F863" s="69">
        <v>2.9957241309036476E-2</v>
      </c>
    </row>
    <row r="864" spans="1:6" x14ac:dyDescent="0.3">
      <c r="A864" s="24">
        <v>35742</v>
      </c>
      <c r="B864" s="66">
        <v>322.82600000000002</v>
      </c>
      <c r="C864" s="67"/>
      <c r="D864" s="68">
        <v>0</v>
      </c>
      <c r="E864" s="110">
        <f t="shared" si="14"/>
        <v>37193</v>
      </c>
      <c r="F864" s="69">
        <v>2.9957241309036476E-2</v>
      </c>
    </row>
    <row r="865" spans="1:6" x14ac:dyDescent="0.3">
      <c r="A865" s="24">
        <v>35743</v>
      </c>
      <c r="B865" s="66">
        <v>322.82600000000002</v>
      </c>
      <c r="C865" s="67"/>
      <c r="D865" s="68">
        <v>0</v>
      </c>
      <c r="E865" s="110">
        <f t="shared" si="14"/>
        <v>37193</v>
      </c>
      <c r="F865" s="69">
        <v>2.9957241309036476E-2</v>
      </c>
    </row>
    <row r="866" spans="1:6" x14ac:dyDescent="0.3">
      <c r="A866" s="24">
        <v>35744</v>
      </c>
      <c r="B866" s="66">
        <v>322.82600000000002</v>
      </c>
      <c r="C866" s="67"/>
      <c r="D866" s="68">
        <v>0</v>
      </c>
      <c r="E866" s="110">
        <f t="shared" si="14"/>
        <v>37193</v>
      </c>
      <c r="F866" s="69">
        <v>2.9957241309036476E-2</v>
      </c>
    </row>
    <row r="867" spans="1:6" x14ac:dyDescent="0.3">
      <c r="A867" s="24">
        <v>35745</v>
      </c>
      <c r="B867" s="66">
        <v>322.82600000000002</v>
      </c>
      <c r="C867" s="67"/>
      <c r="D867" s="68">
        <v>0</v>
      </c>
      <c r="E867" s="110">
        <f t="shared" si="14"/>
        <v>37193</v>
      </c>
      <c r="F867" s="69">
        <v>2.9957241309036476E-2</v>
      </c>
    </row>
    <row r="868" spans="1:6" x14ac:dyDescent="0.3">
      <c r="A868" s="24">
        <v>35746</v>
      </c>
      <c r="B868" s="66">
        <v>322.82600000000002</v>
      </c>
      <c r="C868" s="67"/>
      <c r="D868" s="68">
        <v>0</v>
      </c>
      <c r="E868" s="110">
        <f t="shared" si="14"/>
        <v>37193</v>
      </c>
      <c r="F868" s="69">
        <v>2.9957241309036476E-2</v>
      </c>
    </row>
    <row r="869" spans="1:6" x14ac:dyDescent="0.3">
      <c r="A869" s="24">
        <v>35747</v>
      </c>
      <c r="B869" s="66">
        <v>322.82600000000002</v>
      </c>
      <c r="C869" s="67"/>
      <c r="D869" s="68">
        <v>0</v>
      </c>
      <c r="E869" s="110">
        <f t="shared" si="14"/>
        <v>37193</v>
      </c>
      <c r="F869" s="69">
        <v>2.9957241309036476E-2</v>
      </c>
    </row>
    <row r="870" spans="1:6" x14ac:dyDescent="0.3">
      <c r="A870" s="24">
        <v>35748</v>
      </c>
      <c r="B870" s="66">
        <v>322.82600000000002</v>
      </c>
      <c r="C870" s="67"/>
      <c r="D870" s="68">
        <v>0</v>
      </c>
      <c r="E870" s="110">
        <f t="shared" si="14"/>
        <v>37193</v>
      </c>
      <c r="F870" s="69">
        <v>2.9957241309036476E-2</v>
      </c>
    </row>
    <row r="871" spans="1:6" x14ac:dyDescent="0.3">
      <c r="A871" s="24">
        <v>35749</v>
      </c>
      <c r="B871" s="66">
        <v>322.82600000000002</v>
      </c>
      <c r="C871" s="67"/>
      <c r="D871" s="68">
        <v>0</v>
      </c>
      <c r="E871" s="110">
        <f t="shared" si="14"/>
        <v>37193</v>
      </c>
      <c r="F871" s="69">
        <v>2.9957241309036476E-2</v>
      </c>
    </row>
    <row r="872" spans="1:6" x14ac:dyDescent="0.3">
      <c r="A872" s="24">
        <v>35750</v>
      </c>
      <c r="B872" s="66">
        <v>322.82600000000002</v>
      </c>
      <c r="C872" s="67"/>
      <c r="D872" s="68">
        <v>0</v>
      </c>
      <c r="E872" s="110">
        <f t="shared" si="14"/>
        <v>37193</v>
      </c>
      <c r="F872" s="69">
        <v>2.9957241309036476E-2</v>
      </c>
    </row>
    <row r="873" spans="1:6" x14ac:dyDescent="0.3">
      <c r="A873" s="24">
        <v>35751</v>
      </c>
      <c r="B873" s="66">
        <v>322.82600000000002</v>
      </c>
      <c r="C873" s="67"/>
      <c r="D873" s="68">
        <v>0</v>
      </c>
      <c r="E873" s="110">
        <f t="shared" si="14"/>
        <v>37193</v>
      </c>
      <c r="F873" s="69">
        <v>2.9957241309036476E-2</v>
      </c>
    </row>
    <row r="874" spans="1:6" x14ac:dyDescent="0.3">
      <c r="A874" s="24">
        <v>35752</v>
      </c>
      <c r="B874" s="66">
        <v>322.82600000000002</v>
      </c>
      <c r="C874" s="67"/>
      <c r="D874" s="68">
        <v>0</v>
      </c>
      <c r="E874" s="110">
        <f t="shared" si="14"/>
        <v>37193</v>
      </c>
      <c r="F874" s="69">
        <v>2.9957241309036476E-2</v>
      </c>
    </row>
    <row r="875" spans="1:6" x14ac:dyDescent="0.3">
      <c r="A875" s="24">
        <v>35753</v>
      </c>
      <c r="B875" s="66">
        <v>322.82600000000002</v>
      </c>
      <c r="C875" s="67"/>
      <c r="D875" s="68">
        <v>0</v>
      </c>
      <c r="E875" s="110">
        <f t="shared" si="14"/>
        <v>37193</v>
      </c>
      <c r="F875" s="69">
        <v>2.9957241309036476E-2</v>
      </c>
    </row>
    <row r="876" spans="1:6" x14ac:dyDescent="0.3">
      <c r="A876" s="24">
        <v>35754</v>
      </c>
      <c r="B876" s="66">
        <v>322.82600000000002</v>
      </c>
      <c r="C876" s="67"/>
      <c r="D876" s="68">
        <v>0</v>
      </c>
      <c r="E876" s="110">
        <f t="shared" si="14"/>
        <v>37193</v>
      </c>
      <c r="F876" s="69">
        <v>2.9957241309036476E-2</v>
      </c>
    </row>
    <row r="877" spans="1:6" x14ac:dyDescent="0.3">
      <c r="A877" s="24">
        <v>35755</v>
      </c>
      <c r="B877" s="66">
        <v>322.82600000000002</v>
      </c>
      <c r="C877" s="67"/>
      <c r="D877" s="68">
        <v>0</v>
      </c>
      <c r="E877" s="110">
        <f t="shared" si="14"/>
        <v>37193</v>
      </c>
      <c r="F877" s="69">
        <v>2.9957241309036476E-2</v>
      </c>
    </row>
    <row r="878" spans="1:6" x14ac:dyDescent="0.3">
      <c r="A878" s="24">
        <v>35756</v>
      </c>
      <c r="B878" s="66">
        <v>322.82600000000002</v>
      </c>
      <c r="C878" s="67"/>
      <c r="D878" s="68">
        <v>0</v>
      </c>
      <c r="E878" s="110">
        <f t="shared" si="14"/>
        <v>37193</v>
      </c>
      <c r="F878" s="69">
        <v>2.9957241309036476E-2</v>
      </c>
    </row>
    <row r="879" spans="1:6" x14ac:dyDescent="0.3">
      <c r="A879" s="24">
        <v>35757</v>
      </c>
      <c r="B879" s="66">
        <v>322.82600000000002</v>
      </c>
      <c r="C879" s="67"/>
      <c r="D879" s="68">
        <v>0</v>
      </c>
      <c r="E879" s="110">
        <f t="shared" si="14"/>
        <v>37193</v>
      </c>
      <c r="F879" s="69">
        <v>2.9957241309036476E-2</v>
      </c>
    </row>
    <row r="880" spans="1:6" x14ac:dyDescent="0.3">
      <c r="A880" s="24">
        <v>35758</v>
      </c>
      <c r="B880" s="66">
        <v>322.82600000000002</v>
      </c>
      <c r="C880" s="67"/>
      <c r="D880" s="68">
        <v>0</v>
      </c>
      <c r="E880" s="110">
        <f t="shared" si="14"/>
        <v>37193</v>
      </c>
      <c r="F880" s="69">
        <v>2.9957241309036476E-2</v>
      </c>
    </row>
    <row r="881" spans="1:6" x14ac:dyDescent="0.3">
      <c r="A881" s="24">
        <v>35759</v>
      </c>
      <c r="B881" s="66">
        <v>322.82600000000002</v>
      </c>
      <c r="C881" s="67"/>
      <c r="D881" s="68">
        <v>0</v>
      </c>
      <c r="E881" s="110">
        <f t="shared" si="14"/>
        <v>37193</v>
      </c>
      <c r="F881" s="69">
        <v>2.9957241309036476E-2</v>
      </c>
    </row>
    <row r="882" spans="1:6" x14ac:dyDescent="0.3">
      <c r="A882" s="24">
        <v>35760</v>
      </c>
      <c r="B882" s="66">
        <v>322.82600000000002</v>
      </c>
      <c r="C882" s="67"/>
      <c r="D882" s="68">
        <v>0</v>
      </c>
      <c r="E882" s="110">
        <f t="shared" si="14"/>
        <v>37193</v>
      </c>
      <c r="F882" s="69">
        <v>2.9957241309036476E-2</v>
      </c>
    </row>
    <row r="883" spans="1:6" x14ac:dyDescent="0.3">
      <c r="A883" s="24">
        <v>35761</v>
      </c>
      <c r="B883" s="66">
        <v>322.82600000000002</v>
      </c>
      <c r="C883" s="67"/>
      <c r="D883" s="68">
        <v>0</v>
      </c>
      <c r="E883" s="110">
        <f t="shared" si="14"/>
        <v>37193</v>
      </c>
      <c r="F883" s="69">
        <v>2.9957241309036476E-2</v>
      </c>
    </row>
    <row r="884" spans="1:6" x14ac:dyDescent="0.3">
      <c r="A884" s="24">
        <v>35762</v>
      </c>
      <c r="B884" s="66">
        <v>322.82600000000002</v>
      </c>
      <c r="C884" s="67"/>
      <c r="D884" s="68">
        <v>0</v>
      </c>
      <c r="E884" s="110">
        <f t="shared" si="14"/>
        <v>37193</v>
      </c>
      <c r="F884" s="69">
        <v>2.9957241309036476E-2</v>
      </c>
    </row>
    <row r="885" spans="1:6" x14ac:dyDescent="0.3">
      <c r="A885" s="24">
        <v>35763</v>
      </c>
      <c r="B885" s="66">
        <v>322.82600000000002</v>
      </c>
      <c r="C885" s="67"/>
      <c r="D885" s="68">
        <v>0</v>
      </c>
      <c r="E885" s="110">
        <f t="shared" si="14"/>
        <v>37193</v>
      </c>
      <c r="F885" s="69">
        <v>2.9957241309036476E-2</v>
      </c>
    </row>
    <row r="886" spans="1:6" x14ac:dyDescent="0.3">
      <c r="A886" s="24">
        <v>35764</v>
      </c>
      <c r="B886" s="66">
        <v>322.82600000000002</v>
      </c>
      <c r="C886" s="67"/>
      <c r="D886" s="68">
        <v>0</v>
      </c>
      <c r="E886" s="110">
        <f t="shared" si="14"/>
        <v>37193</v>
      </c>
      <c r="F886" s="69">
        <v>2.9957241309036476E-2</v>
      </c>
    </row>
    <row r="887" spans="1:6" x14ac:dyDescent="0.3">
      <c r="A887" s="24">
        <v>35765</v>
      </c>
      <c r="B887" s="66">
        <v>322.82600000000002</v>
      </c>
      <c r="C887" s="67"/>
      <c r="D887" s="68">
        <v>0</v>
      </c>
      <c r="E887" s="110">
        <f t="shared" si="14"/>
        <v>37193</v>
      </c>
      <c r="F887" s="69">
        <v>2.9957241309036476E-2</v>
      </c>
    </row>
    <row r="888" spans="1:6" x14ac:dyDescent="0.3">
      <c r="A888" s="24">
        <v>35766</v>
      </c>
      <c r="B888" s="66">
        <v>322.82600000000002</v>
      </c>
      <c r="C888" s="67"/>
      <c r="D888" s="68">
        <v>0</v>
      </c>
      <c r="E888" s="110">
        <f t="shared" si="14"/>
        <v>37193</v>
      </c>
      <c r="F888" s="69">
        <v>2.9957241309036476E-2</v>
      </c>
    </row>
    <row r="889" spans="1:6" x14ac:dyDescent="0.3">
      <c r="A889" s="24">
        <v>35767</v>
      </c>
      <c r="B889" s="66">
        <v>322.82600000000002</v>
      </c>
      <c r="C889" s="67"/>
      <c r="D889" s="68">
        <v>0</v>
      </c>
      <c r="E889" s="110">
        <f t="shared" si="14"/>
        <v>37193</v>
      </c>
      <c r="F889" s="69">
        <v>2.9957241309036476E-2</v>
      </c>
    </row>
    <row r="890" spans="1:6" x14ac:dyDescent="0.3">
      <c r="A890" s="24">
        <v>35768</v>
      </c>
      <c r="B890" s="66">
        <v>322.82600000000002</v>
      </c>
      <c r="C890" s="67"/>
      <c r="D890" s="68">
        <v>0</v>
      </c>
      <c r="E890" s="110">
        <f t="shared" si="14"/>
        <v>37193</v>
      </c>
      <c r="F890" s="69">
        <v>2.9957241309036476E-2</v>
      </c>
    </row>
    <row r="891" spans="1:6" x14ac:dyDescent="0.3">
      <c r="A891" s="24">
        <v>35769</v>
      </c>
      <c r="B891" s="66">
        <v>322.82600000000002</v>
      </c>
      <c r="C891" s="67"/>
      <c r="D891" s="68">
        <v>0</v>
      </c>
      <c r="E891" s="110">
        <f t="shared" si="14"/>
        <v>37193</v>
      </c>
      <c r="F891" s="69">
        <v>2.9957241309036476E-2</v>
      </c>
    </row>
    <row r="892" spans="1:6" x14ac:dyDescent="0.3">
      <c r="A892" s="24">
        <v>35770</v>
      </c>
      <c r="B892" s="66">
        <v>322.82600000000002</v>
      </c>
      <c r="C892" s="67"/>
      <c r="D892" s="68">
        <v>0</v>
      </c>
      <c r="E892" s="110">
        <f t="shared" si="14"/>
        <v>37193</v>
      </c>
      <c r="F892" s="69">
        <v>2.9957241309036476E-2</v>
      </c>
    </row>
    <row r="893" spans="1:6" x14ac:dyDescent="0.3">
      <c r="A893" s="24">
        <v>35771</v>
      </c>
      <c r="B893" s="66">
        <v>322.82600000000002</v>
      </c>
      <c r="C893" s="67"/>
      <c r="D893" s="68">
        <v>0</v>
      </c>
      <c r="E893" s="110">
        <f t="shared" si="14"/>
        <v>37193</v>
      </c>
      <c r="F893" s="69">
        <v>2.9957241309036476E-2</v>
      </c>
    </row>
    <row r="894" spans="1:6" x14ac:dyDescent="0.3">
      <c r="A894" s="24">
        <v>35772</v>
      </c>
      <c r="B894" s="66">
        <v>322.82600000000002</v>
      </c>
      <c r="C894" s="67"/>
      <c r="D894" s="68">
        <v>0</v>
      </c>
      <c r="E894" s="110">
        <f t="shared" si="14"/>
        <v>37193</v>
      </c>
      <c r="F894" s="69">
        <v>2.9957241309036476E-2</v>
      </c>
    </row>
    <row r="895" spans="1:6" x14ac:dyDescent="0.3">
      <c r="A895" s="24">
        <v>35773</v>
      </c>
      <c r="B895" s="66">
        <v>322.82600000000002</v>
      </c>
      <c r="C895" s="67"/>
      <c r="D895" s="68">
        <v>0</v>
      </c>
      <c r="E895" s="110">
        <f t="shared" si="14"/>
        <v>37193</v>
      </c>
      <c r="F895" s="69">
        <v>2.9957241309036476E-2</v>
      </c>
    </row>
    <row r="896" spans="1:6" x14ac:dyDescent="0.3">
      <c r="A896" s="24">
        <v>35774</v>
      </c>
      <c r="B896" s="66">
        <v>322.82600000000002</v>
      </c>
      <c r="C896" s="67"/>
      <c r="D896" s="68">
        <v>0</v>
      </c>
      <c r="E896" s="110">
        <f t="shared" si="14"/>
        <v>37193</v>
      </c>
      <c r="F896" s="69">
        <v>2.9957241309036476E-2</v>
      </c>
    </row>
    <row r="897" spans="1:6" x14ac:dyDescent="0.3">
      <c r="A897" s="24">
        <v>35775</v>
      </c>
      <c r="B897" s="66">
        <v>322.82600000000002</v>
      </c>
      <c r="C897" s="67"/>
      <c r="D897" s="68">
        <v>0</v>
      </c>
      <c r="E897" s="110">
        <f t="shared" si="14"/>
        <v>37193</v>
      </c>
      <c r="F897" s="69">
        <v>2.9957241309036476E-2</v>
      </c>
    </row>
    <row r="898" spans="1:6" x14ac:dyDescent="0.3">
      <c r="A898" s="24">
        <v>35776</v>
      </c>
      <c r="B898" s="66">
        <v>322.82600000000002</v>
      </c>
      <c r="C898" s="67"/>
      <c r="D898" s="68">
        <v>0</v>
      </c>
      <c r="E898" s="110">
        <f t="shared" si="14"/>
        <v>37193</v>
      </c>
      <c r="F898" s="69">
        <v>2.9957241309036476E-2</v>
      </c>
    </row>
    <row r="899" spans="1:6" x14ac:dyDescent="0.3">
      <c r="A899" s="24">
        <v>35777</v>
      </c>
      <c r="B899" s="66">
        <v>322.82600000000002</v>
      </c>
      <c r="C899" s="67"/>
      <c r="D899" s="68">
        <v>0</v>
      </c>
      <c r="E899" s="110">
        <f t="shared" si="14"/>
        <v>37193</v>
      </c>
      <c r="F899" s="69">
        <v>2.9957241309036476E-2</v>
      </c>
    </row>
    <row r="900" spans="1:6" x14ac:dyDescent="0.3">
      <c r="A900" s="24">
        <v>35778</v>
      </c>
      <c r="B900" s="66">
        <v>322.82600000000002</v>
      </c>
      <c r="C900" s="67"/>
      <c r="D900" s="68">
        <v>0</v>
      </c>
      <c r="E900" s="110">
        <f t="shared" si="14"/>
        <v>37193</v>
      </c>
      <c r="F900" s="69">
        <v>2.9957241309036476E-2</v>
      </c>
    </row>
    <row r="901" spans="1:6" x14ac:dyDescent="0.3">
      <c r="A901" s="24">
        <v>35779</v>
      </c>
      <c r="B901" s="66">
        <v>322.82600000000002</v>
      </c>
      <c r="C901" s="67"/>
      <c r="D901" s="68">
        <v>0</v>
      </c>
      <c r="E901" s="110">
        <f t="shared" si="14"/>
        <v>37193</v>
      </c>
      <c r="F901" s="69">
        <v>2.9957241309036476E-2</v>
      </c>
    </row>
    <row r="902" spans="1:6" x14ac:dyDescent="0.3">
      <c r="A902" s="24">
        <v>35780</v>
      </c>
      <c r="B902" s="66">
        <v>322.82600000000002</v>
      </c>
      <c r="C902" s="67"/>
      <c r="D902" s="68">
        <v>0</v>
      </c>
      <c r="E902" s="110">
        <f t="shared" si="14"/>
        <v>37193</v>
      </c>
      <c r="F902" s="69">
        <v>2.9957241309036476E-2</v>
      </c>
    </row>
    <row r="903" spans="1:6" x14ac:dyDescent="0.3">
      <c r="A903" s="24">
        <v>35781</v>
      </c>
      <c r="B903" s="66">
        <v>322.82600000000002</v>
      </c>
      <c r="C903" s="67"/>
      <c r="D903" s="68">
        <v>0</v>
      </c>
      <c r="E903" s="110">
        <f t="shared" si="14"/>
        <v>37193</v>
      </c>
      <c r="F903" s="69">
        <v>2.9957241309036476E-2</v>
      </c>
    </row>
    <row r="904" spans="1:6" x14ac:dyDescent="0.3">
      <c r="A904" s="24">
        <v>35782</v>
      </c>
      <c r="B904" s="66">
        <v>322.82600000000002</v>
      </c>
      <c r="C904" s="67"/>
      <c r="D904" s="68">
        <v>0</v>
      </c>
      <c r="E904" s="110">
        <f t="shared" si="14"/>
        <v>37193</v>
      </c>
      <c r="F904" s="69">
        <v>2.9957241309036476E-2</v>
      </c>
    </row>
    <row r="905" spans="1:6" x14ac:dyDescent="0.3">
      <c r="A905" s="24">
        <v>35783</v>
      </c>
      <c r="B905" s="66">
        <v>322.82600000000002</v>
      </c>
      <c r="C905" s="67"/>
      <c r="D905" s="68">
        <v>0</v>
      </c>
      <c r="E905" s="110">
        <f t="shared" si="14"/>
        <v>37193</v>
      </c>
      <c r="F905" s="69">
        <v>2.9957241309036476E-2</v>
      </c>
    </row>
    <row r="906" spans="1:6" x14ac:dyDescent="0.3">
      <c r="A906" s="24">
        <v>35784</v>
      </c>
      <c r="B906" s="66">
        <v>322.82600000000002</v>
      </c>
      <c r="C906" s="67"/>
      <c r="D906" s="68">
        <v>0</v>
      </c>
      <c r="E906" s="110">
        <f t="shared" si="14"/>
        <v>37193</v>
      </c>
      <c r="F906" s="69">
        <v>2.9957241309036476E-2</v>
      </c>
    </row>
    <row r="907" spans="1:6" x14ac:dyDescent="0.3">
      <c r="A907" s="24">
        <v>35785</v>
      </c>
      <c r="B907" s="66">
        <v>322.82600000000002</v>
      </c>
      <c r="C907" s="67"/>
      <c r="D907" s="68">
        <v>0</v>
      </c>
      <c r="E907" s="110">
        <f t="shared" si="14"/>
        <v>37193</v>
      </c>
      <c r="F907" s="69">
        <v>2.9957241309036476E-2</v>
      </c>
    </row>
    <row r="908" spans="1:6" x14ac:dyDescent="0.3">
      <c r="A908" s="24">
        <v>35786</v>
      </c>
      <c r="B908" s="66">
        <v>322.82600000000002</v>
      </c>
      <c r="C908" s="67"/>
      <c r="D908" s="68">
        <v>0</v>
      </c>
      <c r="E908" s="110">
        <f t="shared" si="14"/>
        <v>37193</v>
      </c>
      <c r="F908" s="69">
        <v>2.9957241309036476E-2</v>
      </c>
    </row>
    <row r="909" spans="1:6" x14ac:dyDescent="0.3">
      <c r="A909" s="24">
        <v>35787</v>
      </c>
      <c r="B909" s="66">
        <v>322.82600000000002</v>
      </c>
      <c r="C909" s="67"/>
      <c r="D909" s="68">
        <v>0</v>
      </c>
      <c r="E909" s="110">
        <f t="shared" si="14"/>
        <v>37193</v>
      </c>
      <c r="F909" s="69">
        <v>2.9957241309036476E-2</v>
      </c>
    </row>
    <row r="910" spans="1:6" x14ac:dyDescent="0.3">
      <c r="A910" s="24">
        <v>35788</v>
      </c>
      <c r="B910" s="66">
        <v>322.82600000000002</v>
      </c>
      <c r="C910" s="67"/>
      <c r="D910" s="68">
        <v>0</v>
      </c>
      <c r="E910" s="110">
        <f t="shared" si="14"/>
        <v>37193</v>
      </c>
      <c r="F910" s="69">
        <v>2.9957241309036476E-2</v>
      </c>
    </row>
    <row r="911" spans="1:6" x14ac:dyDescent="0.3">
      <c r="A911" s="24">
        <v>35789</v>
      </c>
      <c r="B911" s="66">
        <v>322.82600000000002</v>
      </c>
      <c r="C911" s="67"/>
      <c r="D911" s="68">
        <v>0</v>
      </c>
      <c r="E911" s="110">
        <f t="shared" si="14"/>
        <v>37193</v>
      </c>
      <c r="F911" s="69">
        <v>2.9957241309036476E-2</v>
      </c>
    </row>
    <row r="912" spans="1:6" x14ac:dyDescent="0.3">
      <c r="A912" s="24">
        <v>35790</v>
      </c>
      <c r="B912" s="66">
        <v>322.82600000000002</v>
      </c>
      <c r="C912" s="67"/>
      <c r="D912" s="68">
        <v>0</v>
      </c>
      <c r="E912" s="110">
        <f t="shared" si="14"/>
        <v>37193</v>
      </c>
      <c r="F912" s="69">
        <v>2.9957241309036476E-2</v>
      </c>
    </row>
    <row r="913" spans="1:6" x14ac:dyDescent="0.3">
      <c r="A913" s="24">
        <v>35791</v>
      </c>
      <c r="B913" s="66">
        <v>322.82600000000002</v>
      </c>
      <c r="C913" s="67"/>
      <c r="D913" s="68">
        <v>0</v>
      </c>
      <c r="E913" s="110">
        <f t="shared" si="14"/>
        <v>37193</v>
      </c>
      <c r="F913" s="69">
        <v>2.9957241309036476E-2</v>
      </c>
    </row>
    <row r="914" spans="1:6" x14ac:dyDescent="0.3">
      <c r="A914" s="24">
        <v>35792</v>
      </c>
      <c r="B914" s="66">
        <v>322.82600000000002</v>
      </c>
      <c r="C914" s="67"/>
      <c r="D914" s="68">
        <v>0</v>
      </c>
      <c r="E914" s="110">
        <f t="shared" ref="E914:E977" si="15">+E913</f>
        <v>37193</v>
      </c>
      <c r="F914" s="69">
        <v>2.9957241309036476E-2</v>
      </c>
    </row>
    <row r="915" spans="1:6" x14ac:dyDescent="0.3">
      <c r="A915" s="24">
        <v>35793</v>
      </c>
      <c r="B915" s="66">
        <v>322.82600000000002</v>
      </c>
      <c r="C915" s="67"/>
      <c r="D915" s="68">
        <v>0</v>
      </c>
      <c r="E915" s="110">
        <f t="shared" si="15"/>
        <v>37193</v>
      </c>
      <c r="F915" s="69">
        <v>2.9957241309036476E-2</v>
      </c>
    </row>
    <row r="916" spans="1:6" x14ac:dyDescent="0.3">
      <c r="A916" s="24">
        <v>35794</v>
      </c>
      <c r="B916" s="66">
        <v>322.82600000000002</v>
      </c>
      <c r="C916" s="67"/>
      <c r="D916" s="68">
        <v>0</v>
      </c>
      <c r="E916" s="110">
        <f t="shared" si="15"/>
        <v>37193</v>
      </c>
      <c r="F916" s="69">
        <v>2.7938370939489005E-2</v>
      </c>
    </row>
    <row r="917" spans="1:6" x14ac:dyDescent="0.3">
      <c r="A917" s="24">
        <v>35795</v>
      </c>
      <c r="B917" s="66">
        <v>338.459</v>
      </c>
      <c r="C917" s="67"/>
      <c r="D917" s="68">
        <v>0</v>
      </c>
      <c r="E917" s="110">
        <f t="shared" si="15"/>
        <v>37193</v>
      </c>
      <c r="F917" s="69">
        <v>2.7938370939489005E-2</v>
      </c>
    </row>
    <row r="918" spans="1:6" x14ac:dyDescent="0.3">
      <c r="A918" s="24">
        <v>35796</v>
      </c>
      <c r="B918" s="66">
        <v>338.459</v>
      </c>
      <c r="C918" s="67"/>
      <c r="D918" s="68">
        <v>0</v>
      </c>
      <c r="E918" s="110">
        <f t="shared" si="15"/>
        <v>37193</v>
      </c>
      <c r="F918" s="69">
        <v>2.7938370939489005E-2</v>
      </c>
    </row>
    <row r="919" spans="1:6" x14ac:dyDescent="0.3">
      <c r="A919" s="24">
        <v>35797</v>
      </c>
      <c r="B919" s="66">
        <v>338.459</v>
      </c>
      <c r="C919" s="67"/>
      <c r="D919" s="68">
        <v>0</v>
      </c>
      <c r="E919" s="110">
        <f t="shared" si="15"/>
        <v>37193</v>
      </c>
      <c r="F919" s="69">
        <v>2.7938370939489005E-2</v>
      </c>
    </row>
    <row r="920" spans="1:6" x14ac:dyDescent="0.3">
      <c r="A920" s="24">
        <v>35798</v>
      </c>
      <c r="B920" s="66">
        <v>338.459</v>
      </c>
      <c r="C920" s="67"/>
      <c r="D920" s="68">
        <v>0</v>
      </c>
      <c r="E920" s="110">
        <f t="shared" si="15"/>
        <v>37193</v>
      </c>
      <c r="F920" s="69">
        <v>2.7938370939489005E-2</v>
      </c>
    </row>
    <row r="921" spans="1:6" x14ac:dyDescent="0.3">
      <c r="A921" s="24">
        <v>35799</v>
      </c>
      <c r="B921" s="66">
        <v>338.459</v>
      </c>
      <c r="C921" s="67"/>
      <c r="D921" s="68">
        <v>0</v>
      </c>
      <c r="E921" s="110">
        <f t="shared" si="15"/>
        <v>37193</v>
      </c>
      <c r="F921" s="69">
        <v>2.7938370939489005E-2</v>
      </c>
    </row>
    <row r="922" spans="1:6" x14ac:dyDescent="0.3">
      <c r="A922" s="24">
        <v>35800</v>
      </c>
      <c r="B922" s="66">
        <v>338.459</v>
      </c>
      <c r="C922" s="67"/>
      <c r="D922" s="68">
        <v>0</v>
      </c>
      <c r="E922" s="110">
        <f t="shared" si="15"/>
        <v>37193</v>
      </c>
      <c r="F922" s="69">
        <v>2.7938370939489005E-2</v>
      </c>
    </row>
    <row r="923" spans="1:6" x14ac:dyDescent="0.3">
      <c r="A923" s="24">
        <v>35801</v>
      </c>
      <c r="B923" s="66">
        <v>338.459</v>
      </c>
      <c r="C923" s="67"/>
      <c r="D923" s="68">
        <v>0</v>
      </c>
      <c r="E923" s="110">
        <f t="shared" si="15"/>
        <v>37193</v>
      </c>
      <c r="F923" s="69">
        <v>2.7938370939489005E-2</v>
      </c>
    </row>
    <row r="924" spans="1:6" x14ac:dyDescent="0.3">
      <c r="A924" s="24">
        <v>35802</v>
      </c>
      <c r="B924" s="66">
        <v>338.459</v>
      </c>
      <c r="C924" s="67"/>
      <c r="D924" s="68">
        <v>0</v>
      </c>
      <c r="E924" s="110">
        <f t="shared" si="15"/>
        <v>37193</v>
      </c>
      <c r="F924" s="69">
        <v>2.7938370939489005E-2</v>
      </c>
    </row>
    <row r="925" spans="1:6" x14ac:dyDescent="0.3">
      <c r="A925" s="24">
        <v>35803</v>
      </c>
      <c r="B925" s="66">
        <v>338.459</v>
      </c>
      <c r="C925" s="67"/>
      <c r="D925" s="68">
        <v>0</v>
      </c>
      <c r="E925" s="110">
        <f t="shared" si="15"/>
        <v>37193</v>
      </c>
      <c r="F925" s="69">
        <v>2.7938370939489005E-2</v>
      </c>
    </row>
    <row r="926" spans="1:6" x14ac:dyDescent="0.3">
      <c r="A926" s="24">
        <v>35804</v>
      </c>
      <c r="B926" s="66">
        <v>338.459</v>
      </c>
      <c r="C926" s="67"/>
      <c r="D926" s="68">
        <v>0</v>
      </c>
      <c r="E926" s="110">
        <f t="shared" si="15"/>
        <v>37193</v>
      </c>
      <c r="F926" s="69">
        <v>2.7938370939489005E-2</v>
      </c>
    </row>
    <row r="927" spans="1:6" x14ac:dyDescent="0.3">
      <c r="A927" s="24">
        <v>35805</v>
      </c>
      <c r="B927" s="66">
        <v>338.459</v>
      </c>
      <c r="C927" s="67"/>
      <c r="D927" s="68">
        <v>0</v>
      </c>
      <c r="E927" s="110">
        <f t="shared" si="15"/>
        <v>37193</v>
      </c>
      <c r="F927" s="69">
        <v>2.7938370939489005E-2</v>
      </c>
    </row>
    <row r="928" spans="1:6" x14ac:dyDescent="0.3">
      <c r="A928" s="24">
        <v>35806</v>
      </c>
      <c r="B928" s="66">
        <v>338.459</v>
      </c>
      <c r="C928" s="67"/>
      <c r="D928" s="68">
        <v>0</v>
      </c>
      <c r="E928" s="110">
        <f t="shared" si="15"/>
        <v>37193</v>
      </c>
      <c r="F928" s="69">
        <v>2.7938370939489005E-2</v>
      </c>
    </row>
    <row r="929" spans="1:6" x14ac:dyDescent="0.3">
      <c r="A929" s="24">
        <v>35807</v>
      </c>
      <c r="B929" s="66">
        <v>338.459</v>
      </c>
      <c r="C929" s="67"/>
      <c r="D929" s="68">
        <v>0</v>
      </c>
      <c r="E929" s="110">
        <f t="shared" si="15"/>
        <v>37193</v>
      </c>
      <c r="F929" s="69">
        <v>2.7938370939489005E-2</v>
      </c>
    </row>
    <row r="930" spans="1:6" x14ac:dyDescent="0.3">
      <c r="A930" s="24">
        <v>35808</v>
      </c>
      <c r="B930" s="66">
        <v>338.459</v>
      </c>
      <c r="C930" s="67"/>
      <c r="D930" s="68">
        <v>0</v>
      </c>
      <c r="E930" s="110">
        <f t="shared" si="15"/>
        <v>37193</v>
      </c>
      <c r="F930" s="69">
        <v>2.7938370939489005E-2</v>
      </c>
    </row>
    <row r="931" spans="1:6" x14ac:dyDescent="0.3">
      <c r="A931" s="24">
        <v>35809</v>
      </c>
      <c r="B931" s="66">
        <v>338.459</v>
      </c>
      <c r="C931" s="67"/>
      <c r="D931" s="68">
        <v>0</v>
      </c>
      <c r="E931" s="110">
        <f t="shared" si="15"/>
        <v>37193</v>
      </c>
      <c r="F931" s="69">
        <v>2.7938370939489005E-2</v>
      </c>
    </row>
    <row r="932" spans="1:6" x14ac:dyDescent="0.3">
      <c r="A932" s="24">
        <v>35810</v>
      </c>
      <c r="B932" s="66">
        <v>338.459</v>
      </c>
      <c r="C932" s="67"/>
      <c r="D932" s="68">
        <v>0</v>
      </c>
      <c r="E932" s="110">
        <f t="shared" si="15"/>
        <v>37193</v>
      </c>
      <c r="F932" s="69">
        <v>2.7938370939489005E-2</v>
      </c>
    </row>
    <row r="933" spans="1:6" x14ac:dyDescent="0.3">
      <c r="A933" s="24">
        <v>35811</v>
      </c>
      <c r="B933" s="66">
        <v>338.459</v>
      </c>
      <c r="C933" s="67"/>
      <c r="D933" s="68">
        <v>0</v>
      </c>
      <c r="E933" s="110">
        <f t="shared" si="15"/>
        <v>37193</v>
      </c>
      <c r="F933" s="69">
        <v>2.7938370939489005E-2</v>
      </c>
    </row>
    <row r="934" spans="1:6" x14ac:dyDescent="0.3">
      <c r="A934" s="24">
        <v>35812</v>
      </c>
      <c r="B934" s="66">
        <v>338.459</v>
      </c>
      <c r="C934" s="67"/>
      <c r="D934" s="68">
        <v>0</v>
      </c>
      <c r="E934" s="110">
        <f t="shared" si="15"/>
        <v>37193</v>
      </c>
      <c r="F934" s="69">
        <v>2.7938370939489005E-2</v>
      </c>
    </row>
    <row r="935" spans="1:6" x14ac:dyDescent="0.3">
      <c r="A935" s="24">
        <v>35813</v>
      </c>
      <c r="B935" s="66">
        <v>338.459</v>
      </c>
      <c r="C935" s="67"/>
      <c r="D935" s="68">
        <v>0</v>
      </c>
      <c r="E935" s="110">
        <f t="shared" si="15"/>
        <v>37193</v>
      </c>
      <c r="F935" s="69">
        <v>2.7938370939489005E-2</v>
      </c>
    </row>
    <row r="936" spans="1:6" x14ac:dyDescent="0.3">
      <c r="A936" s="24">
        <v>35814</v>
      </c>
      <c r="B936" s="66">
        <v>338.459</v>
      </c>
      <c r="C936" s="67"/>
      <c r="D936" s="68">
        <v>0</v>
      </c>
      <c r="E936" s="110">
        <f t="shared" si="15"/>
        <v>37193</v>
      </c>
      <c r="F936" s="69">
        <v>2.7938370939489005E-2</v>
      </c>
    </row>
    <row r="937" spans="1:6" x14ac:dyDescent="0.3">
      <c r="A937" s="24">
        <v>35815</v>
      </c>
      <c r="B937" s="66">
        <v>338.459</v>
      </c>
      <c r="C937" s="67"/>
      <c r="D937" s="68">
        <v>0</v>
      </c>
      <c r="E937" s="110">
        <f t="shared" si="15"/>
        <v>37193</v>
      </c>
      <c r="F937" s="69">
        <v>2.7938370939489005E-2</v>
      </c>
    </row>
    <row r="938" spans="1:6" x14ac:dyDescent="0.3">
      <c r="A938" s="24">
        <v>35816</v>
      </c>
      <c r="B938" s="66">
        <v>338.459</v>
      </c>
      <c r="C938" s="67"/>
      <c r="D938" s="68">
        <v>0</v>
      </c>
      <c r="E938" s="110">
        <f t="shared" si="15"/>
        <v>37193</v>
      </c>
      <c r="F938" s="69">
        <v>2.7938370939489005E-2</v>
      </c>
    </row>
    <row r="939" spans="1:6" x14ac:dyDescent="0.3">
      <c r="A939" s="24">
        <v>35817</v>
      </c>
      <c r="B939" s="66">
        <v>338.459</v>
      </c>
      <c r="C939" s="67"/>
      <c r="D939" s="68">
        <v>0</v>
      </c>
      <c r="E939" s="110">
        <f t="shared" si="15"/>
        <v>37193</v>
      </c>
      <c r="F939" s="69">
        <v>2.7938370939489005E-2</v>
      </c>
    </row>
    <row r="940" spans="1:6" x14ac:dyDescent="0.3">
      <c r="A940" s="24">
        <v>35818</v>
      </c>
      <c r="B940" s="66">
        <v>338.459</v>
      </c>
      <c r="C940" s="67"/>
      <c r="D940" s="68">
        <v>0</v>
      </c>
      <c r="E940" s="110">
        <f t="shared" si="15"/>
        <v>37193</v>
      </c>
      <c r="F940" s="69">
        <v>2.7938370939489005E-2</v>
      </c>
    </row>
    <row r="941" spans="1:6" x14ac:dyDescent="0.3">
      <c r="A941" s="24">
        <v>35819</v>
      </c>
      <c r="B941" s="66">
        <v>338.459</v>
      </c>
      <c r="C941" s="67"/>
      <c r="D941" s="68">
        <v>0</v>
      </c>
      <c r="E941" s="110">
        <f t="shared" si="15"/>
        <v>37193</v>
      </c>
      <c r="F941" s="69">
        <v>2.7938370939489005E-2</v>
      </c>
    </row>
    <row r="942" spans="1:6" x14ac:dyDescent="0.3">
      <c r="A942" s="24">
        <v>35820</v>
      </c>
      <c r="B942" s="66">
        <v>338.459</v>
      </c>
      <c r="C942" s="67"/>
      <c r="D942" s="68">
        <v>0</v>
      </c>
      <c r="E942" s="110">
        <f t="shared" si="15"/>
        <v>37193</v>
      </c>
      <c r="F942" s="69">
        <v>2.7938370939489005E-2</v>
      </c>
    </row>
    <row r="943" spans="1:6" x14ac:dyDescent="0.3">
      <c r="A943" s="24">
        <v>35821</v>
      </c>
      <c r="B943" s="66">
        <v>338.459</v>
      </c>
      <c r="C943" s="67"/>
      <c r="D943" s="68">
        <v>0</v>
      </c>
      <c r="E943" s="110">
        <f t="shared" si="15"/>
        <v>37193</v>
      </c>
      <c r="F943" s="69">
        <v>2.7938370939489005E-2</v>
      </c>
    </row>
    <row r="944" spans="1:6" x14ac:dyDescent="0.3">
      <c r="A944" s="24">
        <v>35822</v>
      </c>
      <c r="B944" s="66">
        <v>338.459</v>
      </c>
      <c r="C944" s="67"/>
      <c r="D944" s="68">
        <v>0</v>
      </c>
      <c r="E944" s="110">
        <f t="shared" si="15"/>
        <v>37193</v>
      </c>
      <c r="F944" s="69">
        <v>2.7938370939489005E-2</v>
      </c>
    </row>
    <row r="945" spans="1:6" x14ac:dyDescent="0.3">
      <c r="A945" s="24">
        <v>35823</v>
      </c>
      <c r="B945" s="66">
        <v>338.459</v>
      </c>
      <c r="C945" s="67"/>
      <c r="D945" s="68">
        <v>0</v>
      </c>
      <c r="E945" s="110">
        <f t="shared" si="15"/>
        <v>37193</v>
      </c>
      <c r="F945" s="69">
        <v>2.7938370939489005E-2</v>
      </c>
    </row>
    <row r="946" spans="1:6" x14ac:dyDescent="0.3">
      <c r="A946" s="24">
        <v>35824</v>
      </c>
      <c r="B946" s="66">
        <v>338.459</v>
      </c>
      <c r="C946" s="67"/>
      <c r="D946" s="68">
        <v>0</v>
      </c>
      <c r="E946" s="110">
        <f t="shared" si="15"/>
        <v>37193</v>
      </c>
      <c r="F946" s="69">
        <v>2.7938370939489005E-2</v>
      </c>
    </row>
    <row r="947" spans="1:6" x14ac:dyDescent="0.3">
      <c r="A947" s="24">
        <v>35825</v>
      </c>
      <c r="B947" s="66">
        <v>338.459</v>
      </c>
      <c r="C947" s="67"/>
      <c r="D947" s="68">
        <v>0</v>
      </c>
      <c r="E947" s="110">
        <f t="shared" si="15"/>
        <v>37193</v>
      </c>
      <c r="F947" s="69">
        <v>2.7938370939489005E-2</v>
      </c>
    </row>
    <row r="948" spans="1:6" x14ac:dyDescent="0.3">
      <c r="A948" s="24">
        <v>35826</v>
      </c>
      <c r="B948" s="66">
        <v>338.459</v>
      </c>
      <c r="C948" s="67"/>
      <c r="D948" s="68">
        <v>0</v>
      </c>
      <c r="E948" s="110">
        <f t="shared" si="15"/>
        <v>37193</v>
      </c>
      <c r="F948" s="69">
        <v>2.7938370939489005E-2</v>
      </c>
    </row>
    <row r="949" spans="1:6" x14ac:dyDescent="0.3">
      <c r="A949" s="24">
        <v>35827</v>
      </c>
      <c r="B949" s="66">
        <v>338.459</v>
      </c>
      <c r="C949" s="67"/>
      <c r="D949" s="68">
        <v>0</v>
      </c>
      <c r="E949" s="110">
        <f t="shared" si="15"/>
        <v>37193</v>
      </c>
      <c r="F949" s="69">
        <v>2.7938370939489005E-2</v>
      </c>
    </row>
    <row r="950" spans="1:6" x14ac:dyDescent="0.3">
      <c r="A950" s="24">
        <v>35828</v>
      </c>
      <c r="B950" s="66">
        <v>338.459</v>
      </c>
      <c r="C950" s="67"/>
      <c r="D950" s="68">
        <v>0</v>
      </c>
      <c r="E950" s="110">
        <f t="shared" si="15"/>
        <v>37193</v>
      </c>
      <c r="F950" s="69">
        <v>2.7938370939489005E-2</v>
      </c>
    </row>
    <row r="951" spans="1:6" x14ac:dyDescent="0.3">
      <c r="A951" s="24">
        <v>35829</v>
      </c>
      <c r="B951" s="66">
        <v>338.459</v>
      </c>
      <c r="C951" s="67"/>
      <c r="D951" s="68">
        <v>0</v>
      </c>
      <c r="E951" s="110">
        <f t="shared" si="15"/>
        <v>37193</v>
      </c>
      <c r="F951" s="69">
        <v>2.7938370939489005E-2</v>
      </c>
    </row>
    <row r="952" spans="1:6" x14ac:dyDescent="0.3">
      <c r="A952" s="24">
        <v>35830</v>
      </c>
      <c r="B952" s="66">
        <v>338.459</v>
      </c>
      <c r="C952" s="67"/>
      <c r="D952" s="68">
        <v>0</v>
      </c>
      <c r="E952" s="110">
        <f t="shared" si="15"/>
        <v>37193</v>
      </c>
      <c r="F952" s="69">
        <v>2.7938370939489005E-2</v>
      </c>
    </row>
    <row r="953" spans="1:6" x14ac:dyDescent="0.3">
      <c r="A953" s="24">
        <v>35831</v>
      </c>
      <c r="B953" s="66">
        <v>338.459</v>
      </c>
      <c r="C953" s="67"/>
      <c r="D953" s="68">
        <v>0</v>
      </c>
      <c r="E953" s="110">
        <f t="shared" si="15"/>
        <v>37193</v>
      </c>
      <c r="F953" s="69">
        <v>2.7938370939489005E-2</v>
      </c>
    </row>
    <row r="954" spans="1:6" x14ac:dyDescent="0.3">
      <c r="A954" s="24">
        <v>35832</v>
      </c>
      <c r="B954" s="66">
        <v>338.459</v>
      </c>
      <c r="C954" s="67"/>
      <c r="D954" s="68">
        <v>0</v>
      </c>
      <c r="E954" s="110">
        <f t="shared" si="15"/>
        <v>37193</v>
      </c>
      <c r="F954" s="69">
        <v>2.7938370939489005E-2</v>
      </c>
    </row>
    <row r="955" spans="1:6" x14ac:dyDescent="0.3">
      <c r="A955" s="24">
        <v>35833</v>
      </c>
      <c r="B955" s="66">
        <v>338.459</v>
      </c>
      <c r="C955" s="67"/>
      <c r="D955" s="68">
        <v>0</v>
      </c>
      <c r="E955" s="110">
        <f t="shared" si="15"/>
        <v>37193</v>
      </c>
      <c r="F955" s="69">
        <v>2.7938370939489005E-2</v>
      </c>
    </row>
    <row r="956" spans="1:6" x14ac:dyDescent="0.3">
      <c r="A956" s="24">
        <v>35834</v>
      </c>
      <c r="B956" s="66">
        <v>338.459</v>
      </c>
      <c r="C956" s="67"/>
      <c r="D956" s="68">
        <v>0</v>
      </c>
      <c r="E956" s="110">
        <f t="shared" si="15"/>
        <v>37193</v>
      </c>
      <c r="F956" s="69">
        <v>2.7938370939489005E-2</v>
      </c>
    </row>
    <row r="957" spans="1:6" x14ac:dyDescent="0.3">
      <c r="A957" s="24">
        <v>35835</v>
      </c>
      <c r="B957" s="66">
        <v>338.459</v>
      </c>
      <c r="C957" s="67"/>
      <c r="D957" s="68">
        <v>0</v>
      </c>
      <c r="E957" s="110">
        <f t="shared" si="15"/>
        <v>37193</v>
      </c>
      <c r="F957" s="69">
        <v>2.7938370939489005E-2</v>
      </c>
    </row>
    <row r="958" spans="1:6" x14ac:dyDescent="0.3">
      <c r="A958" s="24">
        <v>35836</v>
      </c>
      <c r="B958" s="66">
        <v>338.459</v>
      </c>
      <c r="C958" s="67"/>
      <c r="D958" s="68">
        <v>0</v>
      </c>
      <c r="E958" s="110">
        <f t="shared" si="15"/>
        <v>37193</v>
      </c>
      <c r="F958" s="69">
        <v>2.7938370939489005E-2</v>
      </c>
    </row>
    <row r="959" spans="1:6" x14ac:dyDescent="0.3">
      <c r="A959" s="24">
        <v>35837</v>
      </c>
      <c r="B959" s="66">
        <v>338.459</v>
      </c>
      <c r="C959" s="67"/>
      <c r="D959" s="68">
        <v>0</v>
      </c>
      <c r="E959" s="110">
        <f t="shared" si="15"/>
        <v>37193</v>
      </c>
      <c r="F959" s="69">
        <v>2.7938370939489005E-2</v>
      </c>
    </row>
    <row r="960" spans="1:6" x14ac:dyDescent="0.3">
      <c r="A960" s="24">
        <v>35838</v>
      </c>
      <c r="B960" s="66">
        <v>338.459</v>
      </c>
      <c r="C960" s="67"/>
      <c r="D960" s="68">
        <v>0</v>
      </c>
      <c r="E960" s="110">
        <f t="shared" si="15"/>
        <v>37193</v>
      </c>
      <c r="F960" s="69">
        <v>2.7938370939489005E-2</v>
      </c>
    </row>
    <row r="961" spans="1:6" x14ac:dyDescent="0.3">
      <c r="A961" s="24">
        <v>35839</v>
      </c>
      <c r="B961" s="66">
        <v>338.459</v>
      </c>
      <c r="C961" s="67"/>
      <c r="D961" s="68">
        <v>0</v>
      </c>
      <c r="E961" s="110">
        <f t="shared" si="15"/>
        <v>37193</v>
      </c>
      <c r="F961" s="69">
        <v>2.7938370939489005E-2</v>
      </c>
    </row>
    <row r="962" spans="1:6" x14ac:dyDescent="0.3">
      <c r="A962" s="24">
        <v>35840</v>
      </c>
      <c r="B962" s="66">
        <v>338.459</v>
      </c>
      <c r="C962" s="67"/>
      <c r="D962" s="68">
        <v>0</v>
      </c>
      <c r="E962" s="110">
        <f t="shared" si="15"/>
        <v>37193</v>
      </c>
      <c r="F962" s="69">
        <v>2.7938370939489005E-2</v>
      </c>
    </row>
    <row r="963" spans="1:6" x14ac:dyDescent="0.3">
      <c r="A963" s="24">
        <v>35841</v>
      </c>
      <c r="B963" s="66">
        <v>338.459</v>
      </c>
      <c r="C963" s="67"/>
      <c r="D963" s="68">
        <v>0</v>
      </c>
      <c r="E963" s="110">
        <f t="shared" si="15"/>
        <v>37193</v>
      </c>
      <c r="F963" s="69">
        <v>2.7938370939489005E-2</v>
      </c>
    </row>
    <row r="964" spans="1:6" x14ac:dyDescent="0.3">
      <c r="A964" s="24">
        <v>35842</v>
      </c>
      <c r="B964" s="66">
        <v>338.459</v>
      </c>
      <c r="C964" s="67"/>
      <c r="D964" s="68">
        <v>0</v>
      </c>
      <c r="E964" s="110">
        <f t="shared" si="15"/>
        <v>37193</v>
      </c>
      <c r="F964" s="69">
        <v>2.7938370939489005E-2</v>
      </c>
    </row>
    <row r="965" spans="1:6" x14ac:dyDescent="0.3">
      <c r="A965" s="24">
        <v>35843</v>
      </c>
      <c r="B965" s="66">
        <v>338.459</v>
      </c>
      <c r="C965" s="67"/>
      <c r="D965" s="68">
        <v>0</v>
      </c>
      <c r="E965" s="110">
        <f t="shared" si="15"/>
        <v>37193</v>
      </c>
      <c r="F965" s="69">
        <v>2.7938370939489005E-2</v>
      </c>
    </row>
    <row r="966" spans="1:6" x14ac:dyDescent="0.3">
      <c r="A966" s="24">
        <v>35844</v>
      </c>
      <c r="B966" s="66">
        <v>338.459</v>
      </c>
      <c r="C966" s="67"/>
      <c r="D966" s="68">
        <v>0</v>
      </c>
      <c r="E966" s="110">
        <f t="shared" si="15"/>
        <v>37193</v>
      </c>
      <c r="F966" s="69">
        <v>2.7938370939489005E-2</v>
      </c>
    </row>
    <row r="967" spans="1:6" x14ac:dyDescent="0.3">
      <c r="A967" s="24">
        <v>35845</v>
      </c>
      <c r="B967" s="66">
        <v>338.459</v>
      </c>
      <c r="C967" s="67"/>
      <c r="D967" s="68">
        <v>0</v>
      </c>
      <c r="E967" s="110">
        <f t="shared" si="15"/>
        <v>37193</v>
      </c>
      <c r="F967" s="69">
        <v>2.7938370939489005E-2</v>
      </c>
    </row>
    <row r="968" spans="1:6" x14ac:dyDescent="0.3">
      <c r="A968" s="24">
        <v>35846</v>
      </c>
      <c r="B968" s="66">
        <v>338.459</v>
      </c>
      <c r="C968" s="67"/>
      <c r="D968" s="68">
        <v>0</v>
      </c>
      <c r="E968" s="110">
        <f t="shared" si="15"/>
        <v>37193</v>
      </c>
      <c r="F968" s="69">
        <v>2.7938370939489005E-2</v>
      </c>
    </row>
    <row r="969" spans="1:6" x14ac:dyDescent="0.3">
      <c r="A969" s="24">
        <v>35847</v>
      </c>
      <c r="B969" s="66">
        <v>338.459</v>
      </c>
      <c r="C969" s="67"/>
      <c r="D969" s="68">
        <v>0</v>
      </c>
      <c r="E969" s="110">
        <f t="shared" si="15"/>
        <v>37193</v>
      </c>
      <c r="F969" s="69">
        <v>2.7938370939489005E-2</v>
      </c>
    </row>
    <row r="970" spans="1:6" x14ac:dyDescent="0.3">
      <c r="A970" s="24">
        <v>35848</v>
      </c>
      <c r="B970" s="66">
        <v>338.459</v>
      </c>
      <c r="C970" s="67"/>
      <c r="D970" s="68">
        <v>0</v>
      </c>
      <c r="E970" s="110">
        <f t="shared" si="15"/>
        <v>37193</v>
      </c>
      <c r="F970" s="69">
        <v>2.7938370939489005E-2</v>
      </c>
    </row>
    <row r="971" spans="1:6" x14ac:dyDescent="0.3">
      <c r="A971" s="24">
        <v>35849</v>
      </c>
      <c r="B971" s="66">
        <v>338.459</v>
      </c>
      <c r="C971" s="67"/>
      <c r="D971" s="68">
        <v>0</v>
      </c>
      <c r="E971" s="110">
        <f t="shared" si="15"/>
        <v>37193</v>
      </c>
      <c r="F971" s="69">
        <v>2.7938370939489005E-2</v>
      </c>
    </row>
    <row r="972" spans="1:6" x14ac:dyDescent="0.3">
      <c r="A972" s="24">
        <v>35850</v>
      </c>
      <c r="B972" s="66">
        <v>338.459</v>
      </c>
      <c r="C972" s="67"/>
      <c r="D972" s="68">
        <v>0</v>
      </c>
      <c r="E972" s="110">
        <f t="shared" si="15"/>
        <v>37193</v>
      </c>
      <c r="F972" s="69">
        <v>2.7938370939489005E-2</v>
      </c>
    </row>
    <row r="973" spans="1:6" x14ac:dyDescent="0.3">
      <c r="A973" s="24">
        <v>35851</v>
      </c>
      <c r="B973" s="66">
        <v>338.459</v>
      </c>
      <c r="C973" s="67"/>
      <c r="D973" s="68">
        <v>0</v>
      </c>
      <c r="E973" s="110">
        <f t="shared" si="15"/>
        <v>37193</v>
      </c>
      <c r="F973" s="69">
        <v>2.7938370939489005E-2</v>
      </c>
    </row>
    <row r="974" spans="1:6" x14ac:dyDescent="0.3">
      <c r="A974" s="24">
        <v>35852</v>
      </c>
      <c r="B974" s="66">
        <v>338.459</v>
      </c>
      <c r="C974" s="67"/>
      <c r="D974" s="68">
        <v>0</v>
      </c>
      <c r="E974" s="110">
        <f t="shared" si="15"/>
        <v>37193</v>
      </c>
      <c r="F974" s="69">
        <v>2.7938370939489005E-2</v>
      </c>
    </row>
    <row r="975" spans="1:6" x14ac:dyDescent="0.3">
      <c r="A975" s="24">
        <v>35853</v>
      </c>
      <c r="B975" s="66">
        <v>338.459</v>
      </c>
      <c r="C975" s="67"/>
      <c r="D975" s="68">
        <v>0</v>
      </c>
      <c r="E975" s="110">
        <f t="shared" si="15"/>
        <v>37193</v>
      </c>
      <c r="F975" s="69">
        <v>2.7938370939489005E-2</v>
      </c>
    </row>
    <row r="976" spans="1:6" x14ac:dyDescent="0.3">
      <c r="A976" s="24">
        <v>35854</v>
      </c>
      <c r="B976" s="66">
        <v>338.459</v>
      </c>
      <c r="C976" s="67"/>
      <c r="D976" s="68">
        <v>0</v>
      </c>
      <c r="E976" s="110">
        <f t="shared" si="15"/>
        <v>37193</v>
      </c>
      <c r="F976" s="69">
        <v>2.7938370939489005E-2</v>
      </c>
    </row>
    <row r="977" spans="1:6" x14ac:dyDescent="0.3">
      <c r="A977" s="24">
        <v>35855</v>
      </c>
      <c r="B977" s="66">
        <v>338.459</v>
      </c>
      <c r="C977" s="67"/>
      <c r="D977" s="68">
        <v>0</v>
      </c>
      <c r="E977" s="110">
        <f t="shared" si="15"/>
        <v>37193</v>
      </c>
      <c r="F977" s="69">
        <v>2.7938370939489005E-2</v>
      </c>
    </row>
    <row r="978" spans="1:6" x14ac:dyDescent="0.3">
      <c r="A978" s="24">
        <v>35856</v>
      </c>
      <c r="B978" s="66">
        <v>338.459</v>
      </c>
      <c r="C978" s="67"/>
      <c r="D978" s="68">
        <v>0</v>
      </c>
      <c r="E978" s="110">
        <f t="shared" ref="E978:E1041" si="16">+E977</f>
        <v>37193</v>
      </c>
      <c r="F978" s="69">
        <v>2.7938370939489005E-2</v>
      </c>
    </row>
    <row r="979" spans="1:6" x14ac:dyDescent="0.3">
      <c r="A979" s="24">
        <v>35857</v>
      </c>
      <c r="B979" s="66">
        <v>338.459</v>
      </c>
      <c r="C979" s="67"/>
      <c r="D979" s="68">
        <v>0</v>
      </c>
      <c r="E979" s="110">
        <f t="shared" si="16"/>
        <v>37193</v>
      </c>
      <c r="F979" s="69">
        <v>2.7938370939489005E-2</v>
      </c>
    </row>
    <row r="980" spans="1:6" x14ac:dyDescent="0.3">
      <c r="A980" s="24">
        <v>35858</v>
      </c>
      <c r="B980" s="66">
        <v>338.459</v>
      </c>
      <c r="C980" s="67"/>
      <c r="D980" s="68">
        <v>0</v>
      </c>
      <c r="E980" s="110">
        <f t="shared" si="16"/>
        <v>37193</v>
      </c>
      <c r="F980" s="69">
        <v>2.7938370939489005E-2</v>
      </c>
    </row>
    <row r="981" spans="1:6" x14ac:dyDescent="0.3">
      <c r="A981" s="24">
        <v>35859</v>
      </c>
      <c r="B981" s="66">
        <v>338.459</v>
      </c>
      <c r="C981" s="67"/>
      <c r="D981" s="68">
        <v>0</v>
      </c>
      <c r="E981" s="110">
        <f t="shared" si="16"/>
        <v>37193</v>
      </c>
      <c r="F981" s="69">
        <v>2.7938370939489005E-2</v>
      </c>
    </row>
    <row r="982" spans="1:6" x14ac:dyDescent="0.3">
      <c r="A982" s="24">
        <v>35860</v>
      </c>
      <c r="B982" s="66">
        <v>338.459</v>
      </c>
      <c r="C982" s="67"/>
      <c r="D982" s="68">
        <v>0</v>
      </c>
      <c r="E982" s="110">
        <f t="shared" si="16"/>
        <v>37193</v>
      </c>
      <c r="F982" s="69">
        <v>2.7938370939489005E-2</v>
      </c>
    </row>
    <row r="983" spans="1:6" x14ac:dyDescent="0.3">
      <c r="A983" s="24">
        <v>35861</v>
      </c>
      <c r="B983" s="66">
        <v>338.459</v>
      </c>
      <c r="C983" s="67"/>
      <c r="D983" s="68">
        <v>0</v>
      </c>
      <c r="E983" s="110">
        <f t="shared" si="16"/>
        <v>37193</v>
      </c>
      <c r="F983" s="69">
        <v>2.7938370939489005E-2</v>
      </c>
    </row>
    <row r="984" spans="1:6" x14ac:dyDescent="0.3">
      <c r="A984" s="24">
        <v>35862</v>
      </c>
      <c r="B984" s="66">
        <v>338.459</v>
      </c>
      <c r="C984" s="67"/>
      <c r="D984" s="68">
        <v>0</v>
      </c>
      <c r="E984" s="110">
        <f t="shared" si="16"/>
        <v>37193</v>
      </c>
      <c r="F984" s="69">
        <v>2.7938370939489005E-2</v>
      </c>
    </row>
    <row r="985" spans="1:6" x14ac:dyDescent="0.3">
      <c r="A985" s="24">
        <v>35863</v>
      </c>
      <c r="B985" s="66">
        <v>338.459</v>
      </c>
      <c r="C985" s="67"/>
      <c r="D985" s="68">
        <v>0</v>
      </c>
      <c r="E985" s="110">
        <f t="shared" si="16"/>
        <v>37193</v>
      </c>
      <c r="F985" s="69">
        <v>2.7938370939489005E-2</v>
      </c>
    </row>
    <row r="986" spans="1:6" x14ac:dyDescent="0.3">
      <c r="A986" s="24">
        <v>35864</v>
      </c>
      <c r="B986" s="66">
        <v>338.459</v>
      </c>
      <c r="C986" s="67"/>
      <c r="D986" s="68">
        <v>0</v>
      </c>
      <c r="E986" s="110">
        <f t="shared" si="16"/>
        <v>37193</v>
      </c>
      <c r="F986" s="69">
        <v>2.7938370939489005E-2</v>
      </c>
    </row>
    <row r="987" spans="1:6" x14ac:dyDescent="0.3">
      <c r="A987" s="24">
        <v>35865</v>
      </c>
      <c r="B987" s="66">
        <v>338.459</v>
      </c>
      <c r="C987" s="67"/>
      <c r="D987" s="68">
        <v>0</v>
      </c>
      <c r="E987" s="110">
        <f t="shared" si="16"/>
        <v>37193</v>
      </c>
      <c r="F987" s="69">
        <v>2.7938370939489005E-2</v>
      </c>
    </row>
    <row r="988" spans="1:6" x14ac:dyDescent="0.3">
      <c r="A988" s="24">
        <v>35866</v>
      </c>
      <c r="B988" s="66">
        <v>338.459</v>
      </c>
      <c r="C988" s="67"/>
      <c r="D988" s="68">
        <v>0</v>
      </c>
      <c r="E988" s="110">
        <f t="shared" si="16"/>
        <v>37193</v>
      </c>
      <c r="F988" s="69">
        <v>2.7938370939489005E-2</v>
      </c>
    </row>
    <row r="989" spans="1:6" x14ac:dyDescent="0.3">
      <c r="A989" s="24">
        <v>35867</v>
      </c>
      <c r="B989" s="66">
        <v>338.459</v>
      </c>
      <c r="C989" s="67"/>
      <c r="D989" s="68">
        <v>0</v>
      </c>
      <c r="E989" s="110">
        <f t="shared" si="16"/>
        <v>37193</v>
      </c>
      <c r="F989" s="69">
        <v>2.7938370939489005E-2</v>
      </c>
    </row>
    <row r="990" spans="1:6" x14ac:dyDescent="0.3">
      <c r="A990" s="24">
        <v>35868</v>
      </c>
      <c r="B990" s="66">
        <v>338.459</v>
      </c>
      <c r="C990" s="67"/>
      <c r="D990" s="68">
        <v>0</v>
      </c>
      <c r="E990" s="110">
        <f t="shared" si="16"/>
        <v>37193</v>
      </c>
      <c r="F990" s="69">
        <v>2.7938370939489005E-2</v>
      </c>
    </row>
    <row r="991" spans="1:6" x14ac:dyDescent="0.3">
      <c r="A991" s="24">
        <v>35869</v>
      </c>
      <c r="B991" s="66">
        <v>338.459</v>
      </c>
      <c r="C991" s="67"/>
      <c r="D991" s="68">
        <v>0</v>
      </c>
      <c r="E991" s="110">
        <f t="shared" si="16"/>
        <v>37193</v>
      </c>
      <c r="F991" s="69">
        <v>2.7938370939489005E-2</v>
      </c>
    </row>
    <row r="992" spans="1:6" x14ac:dyDescent="0.3">
      <c r="A992" s="24">
        <v>35870</v>
      </c>
      <c r="B992" s="66">
        <v>338.459</v>
      </c>
      <c r="C992" s="67"/>
      <c r="D992" s="68">
        <v>0</v>
      </c>
      <c r="E992" s="110">
        <f t="shared" si="16"/>
        <v>37193</v>
      </c>
      <c r="F992" s="69">
        <v>2.7938370939489005E-2</v>
      </c>
    </row>
    <row r="993" spans="1:6" x14ac:dyDescent="0.3">
      <c r="A993" s="24">
        <v>35871</v>
      </c>
      <c r="B993" s="66">
        <v>338.459</v>
      </c>
      <c r="C993" s="67"/>
      <c r="D993" s="68">
        <v>0</v>
      </c>
      <c r="E993" s="110">
        <f t="shared" si="16"/>
        <v>37193</v>
      </c>
      <c r="F993" s="69">
        <v>2.7938370939489005E-2</v>
      </c>
    </row>
    <row r="994" spans="1:6" x14ac:dyDescent="0.3">
      <c r="A994" s="24">
        <v>35872</v>
      </c>
      <c r="B994" s="66">
        <v>338.459</v>
      </c>
      <c r="C994" s="67"/>
      <c r="D994" s="68">
        <v>0</v>
      </c>
      <c r="E994" s="110">
        <f t="shared" si="16"/>
        <v>37193</v>
      </c>
      <c r="F994" s="69">
        <v>2.7938370939489005E-2</v>
      </c>
    </row>
    <row r="995" spans="1:6" x14ac:dyDescent="0.3">
      <c r="A995" s="24">
        <v>35873</v>
      </c>
      <c r="B995" s="66">
        <v>338.459</v>
      </c>
      <c r="C995" s="67"/>
      <c r="D995" s="68">
        <v>0</v>
      </c>
      <c r="E995" s="110">
        <f t="shared" si="16"/>
        <v>37193</v>
      </c>
      <c r="F995" s="69">
        <v>2.7938370939489005E-2</v>
      </c>
    </row>
    <row r="996" spans="1:6" x14ac:dyDescent="0.3">
      <c r="A996" s="24">
        <v>35874</v>
      </c>
      <c r="B996" s="66">
        <v>338.459</v>
      </c>
      <c r="C996" s="67"/>
      <c r="D996" s="68">
        <v>0</v>
      </c>
      <c r="E996" s="110">
        <f t="shared" si="16"/>
        <v>37193</v>
      </c>
      <c r="F996" s="69">
        <v>2.7938370939489005E-2</v>
      </c>
    </row>
    <row r="997" spans="1:6" x14ac:dyDescent="0.3">
      <c r="A997" s="24">
        <v>35875</v>
      </c>
      <c r="B997" s="66">
        <v>338.459</v>
      </c>
      <c r="C997" s="67"/>
      <c r="D997" s="68">
        <v>0</v>
      </c>
      <c r="E997" s="110">
        <f t="shared" si="16"/>
        <v>37193</v>
      </c>
      <c r="F997" s="69">
        <v>2.7938370939489005E-2</v>
      </c>
    </row>
    <row r="998" spans="1:6" x14ac:dyDescent="0.3">
      <c r="A998" s="24">
        <v>35876</v>
      </c>
      <c r="B998" s="66">
        <v>338.459</v>
      </c>
      <c r="C998" s="67"/>
      <c r="D998" s="68">
        <v>0</v>
      </c>
      <c r="E998" s="110">
        <f t="shared" si="16"/>
        <v>37193</v>
      </c>
      <c r="F998" s="69">
        <v>2.7938370939489005E-2</v>
      </c>
    </row>
    <row r="999" spans="1:6" x14ac:dyDescent="0.3">
      <c r="A999" s="24">
        <v>35877</v>
      </c>
      <c r="B999" s="66">
        <v>338.459</v>
      </c>
      <c r="C999" s="67"/>
      <c r="D999" s="68">
        <v>0</v>
      </c>
      <c r="E999" s="110">
        <f t="shared" si="16"/>
        <v>37193</v>
      </c>
      <c r="F999" s="69">
        <v>2.7938370939489005E-2</v>
      </c>
    </row>
    <row r="1000" spans="1:6" x14ac:dyDescent="0.3">
      <c r="A1000" s="24">
        <v>35878</v>
      </c>
      <c r="B1000" s="66">
        <v>338.459</v>
      </c>
      <c r="C1000" s="67"/>
      <c r="D1000" s="68">
        <v>0</v>
      </c>
      <c r="E1000" s="110">
        <f t="shared" si="16"/>
        <v>37193</v>
      </c>
      <c r="F1000" s="69">
        <v>2.7938370939489005E-2</v>
      </c>
    </row>
    <row r="1001" spans="1:6" x14ac:dyDescent="0.3">
      <c r="A1001" s="24">
        <v>35879</v>
      </c>
      <c r="B1001" s="66">
        <v>338.459</v>
      </c>
      <c r="C1001" s="67"/>
      <c r="D1001" s="68">
        <v>0</v>
      </c>
      <c r="E1001" s="110">
        <f t="shared" si="16"/>
        <v>37193</v>
      </c>
      <c r="F1001" s="69">
        <v>2.7938370939489005E-2</v>
      </c>
    </row>
    <row r="1002" spans="1:6" x14ac:dyDescent="0.3">
      <c r="A1002" s="24">
        <v>35880</v>
      </c>
      <c r="B1002" s="66">
        <v>338.459</v>
      </c>
      <c r="C1002" s="67"/>
      <c r="D1002" s="68">
        <v>0</v>
      </c>
      <c r="E1002" s="110">
        <f t="shared" si="16"/>
        <v>37193</v>
      </c>
      <c r="F1002" s="69">
        <v>2.7938370939489005E-2</v>
      </c>
    </row>
    <row r="1003" spans="1:6" x14ac:dyDescent="0.3">
      <c r="A1003" s="24">
        <v>35881</v>
      </c>
      <c r="B1003" s="66">
        <v>338.459</v>
      </c>
      <c r="C1003" s="67"/>
      <c r="D1003" s="68">
        <v>0</v>
      </c>
      <c r="E1003" s="110">
        <f t="shared" si="16"/>
        <v>37193</v>
      </c>
      <c r="F1003" s="69">
        <v>2.7938370939489005E-2</v>
      </c>
    </row>
    <row r="1004" spans="1:6" x14ac:dyDescent="0.3">
      <c r="A1004" s="24">
        <v>35882</v>
      </c>
      <c r="B1004" s="66">
        <v>338.459</v>
      </c>
      <c r="C1004" s="67"/>
      <c r="D1004" s="68">
        <v>0</v>
      </c>
      <c r="E1004" s="110">
        <f t="shared" si="16"/>
        <v>37193</v>
      </c>
      <c r="F1004" s="69">
        <v>2.7938370939489005E-2</v>
      </c>
    </row>
    <row r="1005" spans="1:6" x14ac:dyDescent="0.3">
      <c r="A1005" s="24">
        <v>35883</v>
      </c>
      <c r="B1005" s="66">
        <v>338.459</v>
      </c>
      <c r="C1005" s="67"/>
      <c r="D1005" s="68">
        <v>0</v>
      </c>
      <c r="E1005" s="110">
        <f t="shared" si="16"/>
        <v>37193</v>
      </c>
      <c r="F1005" s="69">
        <v>2.7938370939489005E-2</v>
      </c>
    </row>
    <row r="1006" spans="1:6" x14ac:dyDescent="0.3">
      <c r="A1006" s="24">
        <v>35884</v>
      </c>
      <c r="B1006" s="66">
        <v>338.459</v>
      </c>
      <c r="C1006" s="67"/>
      <c r="D1006" s="68">
        <v>0</v>
      </c>
      <c r="E1006" s="110">
        <f t="shared" si="16"/>
        <v>37193</v>
      </c>
      <c r="F1006" s="69">
        <v>2.7263663160393133E-2</v>
      </c>
    </row>
    <row r="1007" spans="1:6" x14ac:dyDescent="0.3">
      <c r="A1007" s="24">
        <v>35885</v>
      </c>
      <c r="B1007" s="66">
        <v>344.83800000000002</v>
      </c>
      <c r="C1007" s="67"/>
      <c r="D1007" s="68">
        <v>0</v>
      </c>
      <c r="E1007" s="110">
        <f t="shared" si="16"/>
        <v>37193</v>
      </c>
      <c r="F1007" s="69">
        <v>2.7263663160393133E-2</v>
      </c>
    </row>
    <row r="1008" spans="1:6" x14ac:dyDescent="0.3">
      <c r="A1008" s="24">
        <v>35886</v>
      </c>
      <c r="B1008" s="66">
        <v>344.83800000000002</v>
      </c>
      <c r="C1008" s="67"/>
      <c r="D1008" s="68">
        <v>0</v>
      </c>
      <c r="E1008" s="110">
        <f t="shared" si="16"/>
        <v>37193</v>
      </c>
      <c r="F1008" s="69">
        <v>2.7263663160393133E-2</v>
      </c>
    </row>
    <row r="1009" spans="1:6" x14ac:dyDescent="0.3">
      <c r="A1009" s="24">
        <v>35887</v>
      </c>
      <c r="B1009" s="66">
        <v>344.83800000000002</v>
      </c>
      <c r="C1009" s="67"/>
      <c r="D1009" s="68">
        <v>0</v>
      </c>
      <c r="E1009" s="110">
        <f t="shared" si="16"/>
        <v>37193</v>
      </c>
      <c r="F1009" s="69">
        <v>2.7263663160393133E-2</v>
      </c>
    </row>
    <row r="1010" spans="1:6" x14ac:dyDescent="0.3">
      <c r="A1010" s="24">
        <v>35888</v>
      </c>
      <c r="B1010" s="66">
        <v>344.83800000000002</v>
      </c>
      <c r="C1010" s="67"/>
      <c r="D1010" s="68">
        <v>0</v>
      </c>
      <c r="E1010" s="110">
        <f t="shared" si="16"/>
        <v>37193</v>
      </c>
      <c r="F1010" s="69">
        <v>2.7263663160393133E-2</v>
      </c>
    </row>
    <row r="1011" spans="1:6" x14ac:dyDescent="0.3">
      <c r="A1011" s="24">
        <v>35889</v>
      </c>
      <c r="B1011" s="66">
        <v>344.83800000000002</v>
      </c>
      <c r="C1011" s="67"/>
      <c r="D1011" s="68">
        <v>0</v>
      </c>
      <c r="E1011" s="110">
        <f t="shared" si="16"/>
        <v>37193</v>
      </c>
      <c r="F1011" s="69">
        <v>2.7263663160393133E-2</v>
      </c>
    </row>
    <row r="1012" spans="1:6" x14ac:dyDescent="0.3">
      <c r="A1012" s="24">
        <v>35890</v>
      </c>
      <c r="B1012" s="66">
        <v>344.83800000000002</v>
      </c>
      <c r="C1012" s="67"/>
      <c r="D1012" s="68">
        <v>0</v>
      </c>
      <c r="E1012" s="110">
        <f t="shared" si="16"/>
        <v>37193</v>
      </c>
      <c r="F1012" s="69">
        <v>2.7263663160393133E-2</v>
      </c>
    </row>
    <row r="1013" spans="1:6" x14ac:dyDescent="0.3">
      <c r="A1013" s="24">
        <v>35891</v>
      </c>
      <c r="B1013" s="66">
        <v>344.83800000000002</v>
      </c>
      <c r="C1013" s="67"/>
      <c r="D1013" s="68">
        <v>0</v>
      </c>
      <c r="E1013" s="110">
        <f t="shared" si="16"/>
        <v>37193</v>
      </c>
      <c r="F1013" s="69">
        <v>2.7263663160393133E-2</v>
      </c>
    </row>
    <row r="1014" spans="1:6" x14ac:dyDescent="0.3">
      <c r="A1014" s="24">
        <v>35892</v>
      </c>
      <c r="B1014" s="66">
        <v>344.83800000000002</v>
      </c>
      <c r="C1014" s="67"/>
      <c r="D1014" s="68">
        <v>0</v>
      </c>
      <c r="E1014" s="110">
        <f t="shared" si="16"/>
        <v>37193</v>
      </c>
      <c r="F1014" s="69">
        <v>2.7263663160393133E-2</v>
      </c>
    </row>
    <row r="1015" spans="1:6" x14ac:dyDescent="0.3">
      <c r="A1015" s="24">
        <v>35893</v>
      </c>
      <c r="B1015" s="66">
        <v>344.83800000000002</v>
      </c>
      <c r="C1015" s="67"/>
      <c r="D1015" s="68">
        <v>0</v>
      </c>
      <c r="E1015" s="110">
        <f t="shared" si="16"/>
        <v>37193</v>
      </c>
      <c r="F1015" s="69">
        <v>2.7263663160393133E-2</v>
      </c>
    </row>
    <row r="1016" spans="1:6" x14ac:dyDescent="0.3">
      <c r="A1016" s="24">
        <v>35894</v>
      </c>
      <c r="B1016" s="66">
        <v>344.83800000000002</v>
      </c>
      <c r="C1016" s="67"/>
      <c r="D1016" s="68">
        <v>0</v>
      </c>
      <c r="E1016" s="110">
        <f t="shared" si="16"/>
        <v>37193</v>
      </c>
      <c r="F1016" s="69">
        <v>2.7263663160393133E-2</v>
      </c>
    </row>
    <row r="1017" spans="1:6" x14ac:dyDescent="0.3">
      <c r="A1017" s="24">
        <v>35895</v>
      </c>
      <c r="B1017" s="66">
        <v>344.83800000000002</v>
      </c>
      <c r="C1017" s="67"/>
      <c r="D1017" s="68">
        <v>0</v>
      </c>
      <c r="E1017" s="110">
        <f t="shared" si="16"/>
        <v>37193</v>
      </c>
      <c r="F1017" s="69">
        <v>2.7263663160393133E-2</v>
      </c>
    </row>
    <row r="1018" spans="1:6" x14ac:dyDescent="0.3">
      <c r="A1018" s="24">
        <v>35896</v>
      </c>
      <c r="B1018" s="66">
        <v>344.83800000000002</v>
      </c>
      <c r="C1018" s="67"/>
      <c r="D1018" s="68">
        <v>0</v>
      </c>
      <c r="E1018" s="110">
        <f t="shared" si="16"/>
        <v>37193</v>
      </c>
      <c r="F1018" s="69">
        <v>2.7263663160393133E-2</v>
      </c>
    </row>
    <row r="1019" spans="1:6" x14ac:dyDescent="0.3">
      <c r="A1019" s="24">
        <v>35897</v>
      </c>
      <c r="B1019" s="66">
        <v>344.83800000000002</v>
      </c>
      <c r="C1019" s="67"/>
      <c r="D1019" s="68">
        <v>0</v>
      </c>
      <c r="E1019" s="110">
        <f t="shared" si="16"/>
        <v>37193</v>
      </c>
      <c r="F1019" s="69">
        <v>2.7263663160393133E-2</v>
      </c>
    </row>
    <row r="1020" spans="1:6" x14ac:dyDescent="0.3">
      <c r="A1020" s="24">
        <v>35898</v>
      </c>
      <c r="B1020" s="66">
        <v>344.83800000000002</v>
      </c>
      <c r="C1020" s="67"/>
      <c r="D1020" s="68">
        <v>0</v>
      </c>
      <c r="E1020" s="110">
        <f t="shared" si="16"/>
        <v>37193</v>
      </c>
      <c r="F1020" s="69">
        <v>2.7263663160393133E-2</v>
      </c>
    </row>
    <row r="1021" spans="1:6" x14ac:dyDescent="0.3">
      <c r="A1021" s="24">
        <v>35899</v>
      </c>
      <c r="B1021" s="66">
        <v>344.83800000000002</v>
      </c>
      <c r="C1021" s="67"/>
      <c r="D1021" s="68">
        <v>0</v>
      </c>
      <c r="E1021" s="110">
        <f t="shared" si="16"/>
        <v>37193</v>
      </c>
      <c r="F1021" s="69">
        <v>2.7263663160393133E-2</v>
      </c>
    </row>
    <row r="1022" spans="1:6" x14ac:dyDescent="0.3">
      <c r="A1022" s="24">
        <v>35900</v>
      </c>
      <c r="B1022" s="66">
        <v>344.83800000000002</v>
      </c>
      <c r="C1022" s="67"/>
      <c r="D1022" s="68">
        <v>0</v>
      </c>
      <c r="E1022" s="110">
        <f t="shared" si="16"/>
        <v>37193</v>
      </c>
      <c r="F1022" s="69">
        <v>2.7263663160393133E-2</v>
      </c>
    </row>
    <row r="1023" spans="1:6" x14ac:dyDescent="0.3">
      <c r="A1023" s="24">
        <v>35901</v>
      </c>
      <c r="B1023" s="66">
        <v>344.83800000000002</v>
      </c>
      <c r="C1023" s="67"/>
      <c r="D1023" s="68">
        <v>0</v>
      </c>
      <c r="E1023" s="110">
        <f t="shared" si="16"/>
        <v>37193</v>
      </c>
      <c r="F1023" s="69">
        <v>2.7263663160393133E-2</v>
      </c>
    </row>
    <row r="1024" spans="1:6" x14ac:dyDescent="0.3">
      <c r="A1024" s="24">
        <v>35902</v>
      </c>
      <c r="B1024" s="66">
        <v>344.83800000000002</v>
      </c>
      <c r="C1024" s="67"/>
      <c r="D1024" s="68">
        <v>0</v>
      </c>
      <c r="E1024" s="110">
        <f t="shared" si="16"/>
        <v>37193</v>
      </c>
      <c r="F1024" s="69">
        <v>2.7263663160393133E-2</v>
      </c>
    </row>
    <row r="1025" spans="1:6" x14ac:dyDescent="0.3">
      <c r="A1025" s="24">
        <v>35903</v>
      </c>
      <c r="B1025" s="66">
        <v>344.83800000000002</v>
      </c>
      <c r="C1025" s="67"/>
      <c r="D1025" s="68">
        <v>0</v>
      </c>
      <c r="E1025" s="110">
        <f t="shared" si="16"/>
        <v>37193</v>
      </c>
      <c r="F1025" s="69">
        <v>2.7263663160393133E-2</v>
      </c>
    </row>
    <row r="1026" spans="1:6" x14ac:dyDescent="0.3">
      <c r="A1026" s="24">
        <v>35904</v>
      </c>
      <c r="B1026" s="66">
        <v>344.83800000000002</v>
      </c>
      <c r="C1026" s="67"/>
      <c r="D1026" s="68">
        <v>0</v>
      </c>
      <c r="E1026" s="110">
        <f t="shared" si="16"/>
        <v>37193</v>
      </c>
      <c r="F1026" s="69">
        <v>2.7263663160393133E-2</v>
      </c>
    </row>
    <row r="1027" spans="1:6" x14ac:dyDescent="0.3">
      <c r="A1027" s="24">
        <v>35905</v>
      </c>
      <c r="B1027" s="66">
        <v>344.83800000000002</v>
      </c>
      <c r="C1027" s="67"/>
      <c r="D1027" s="68">
        <v>0</v>
      </c>
      <c r="E1027" s="110">
        <f t="shared" si="16"/>
        <v>37193</v>
      </c>
      <c r="F1027" s="69">
        <v>2.7263663160393133E-2</v>
      </c>
    </row>
    <row r="1028" spans="1:6" x14ac:dyDescent="0.3">
      <c r="A1028" s="24">
        <v>35906</v>
      </c>
      <c r="B1028" s="66">
        <v>344.83800000000002</v>
      </c>
      <c r="C1028" s="67"/>
      <c r="D1028" s="68">
        <v>0</v>
      </c>
      <c r="E1028" s="110">
        <f t="shared" si="16"/>
        <v>37193</v>
      </c>
      <c r="F1028" s="69">
        <v>2.7263663160393133E-2</v>
      </c>
    </row>
    <row r="1029" spans="1:6" x14ac:dyDescent="0.3">
      <c r="A1029" s="24">
        <v>35907</v>
      </c>
      <c r="B1029" s="66">
        <v>344.83800000000002</v>
      </c>
      <c r="C1029" s="67"/>
      <c r="D1029" s="68">
        <v>0</v>
      </c>
      <c r="E1029" s="110">
        <f t="shared" si="16"/>
        <v>37193</v>
      </c>
      <c r="F1029" s="69">
        <v>2.7263663160393133E-2</v>
      </c>
    </row>
    <row r="1030" spans="1:6" x14ac:dyDescent="0.3">
      <c r="A1030" s="24">
        <v>35908</v>
      </c>
      <c r="B1030" s="66">
        <v>344.83800000000002</v>
      </c>
      <c r="C1030" s="67"/>
      <c r="D1030" s="68">
        <v>0</v>
      </c>
      <c r="E1030" s="110">
        <f t="shared" si="16"/>
        <v>37193</v>
      </c>
      <c r="F1030" s="69">
        <v>2.7263663160393133E-2</v>
      </c>
    </row>
    <row r="1031" spans="1:6" x14ac:dyDescent="0.3">
      <c r="A1031" s="24">
        <v>35909</v>
      </c>
      <c r="B1031" s="66">
        <v>344.83800000000002</v>
      </c>
      <c r="C1031" s="67"/>
      <c r="D1031" s="68">
        <v>0</v>
      </c>
      <c r="E1031" s="110">
        <f t="shared" si="16"/>
        <v>37193</v>
      </c>
      <c r="F1031" s="69">
        <v>2.7263663160393133E-2</v>
      </c>
    </row>
    <row r="1032" spans="1:6" x14ac:dyDescent="0.3">
      <c r="A1032" s="24">
        <v>35910</v>
      </c>
      <c r="B1032" s="66">
        <v>344.83800000000002</v>
      </c>
      <c r="C1032" s="67"/>
      <c r="D1032" s="68">
        <v>0</v>
      </c>
      <c r="E1032" s="110">
        <f t="shared" si="16"/>
        <v>37193</v>
      </c>
      <c r="F1032" s="69">
        <v>2.7263663160393133E-2</v>
      </c>
    </row>
    <row r="1033" spans="1:6" x14ac:dyDescent="0.3">
      <c r="A1033" s="24">
        <v>35911</v>
      </c>
      <c r="B1033" s="66">
        <v>344.83800000000002</v>
      </c>
      <c r="C1033" s="67"/>
      <c r="D1033" s="68">
        <v>0</v>
      </c>
      <c r="E1033" s="110">
        <f t="shared" si="16"/>
        <v>37193</v>
      </c>
      <c r="F1033" s="69">
        <v>2.7263663160393133E-2</v>
      </c>
    </row>
    <row r="1034" spans="1:6" x14ac:dyDescent="0.3">
      <c r="A1034" s="24">
        <v>35912</v>
      </c>
      <c r="B1034" s="66">
        <v>344.83800000000002</v>
      </c>
      <c r="C1034" s="67"/>
      <c r="D1034" s="68">
        <v>0</v>
      </c>
      <c r="E1034" s="110">
        <f t="shared" si="16"/>
        <v>37193</v>
      </c>
      <c r="F1034" s="69">
        <v>2.7263663160393133E-2</v>
      </c>
    </row>
    <row r="1035" spans="1:6" x14ac:dyDescent="0.3">
      <c r="A1035" s="24">
        <v>35913</v>
      </c>
      <c r="B1035" s="66">
        <v>344.83800000000002</v>
      </c>
      <c r="C1035" s="67"/>
      <c r="D1035" s="68">
        <v>0</v>
      </c>
      <c r="E1035" s="110">
        <f t="shared" si="16"/>
        <v>37193</v>
      </c>
      <c r="F1035" s="69">
        <v>2.7263663160393133E-2</v>
      </c>
    </row>
    <row r="1036" spans="1:6" x14ac:dyDescent="0.3">
      <c r="A1036" s="24">
        <v>35914</v>
      </c>
      <c r="B1036" s="66">
        <v>344.83800000000002</v>
      </c>
      <c r="C1036" s="67"/>
      <c r="D1036" s="68">
        <v>0</v>
      </c>
      <c r="E1036" s="110">
        <f t="shared" si="16"/>
        <v>37193</v>
      </c>
      <c r="F1036" s="69">
        <v>2.7263663160393133E-2</v>
      </c>
    </row>
    <row r="1037" spans="1:6" x14ac:dyDescent="0.3">
      <c r="A1037" s="24">
        <v>35915</v>
      </c>
      <c r="B1037" s="66">
        <v>344.83800000000002</v>
      </c>
      <c r="C1037" s="67"/>
      <c r="D1037" s="68">
        <v>0</v>
      </c>
      <c r="E1037" s="110">
        <f t="shared" si="16"/>
        <v>37193</v>
      </c>
      <c r="F1037" s="69">
        <v>2.7263663160393133E-2</v>
      </c>
    </row>
    <row r="1038" spans="1:6" x14ac:dyDescent="0.3">
      <c r="A1038" s="24">
        <v>35916</v>
      </c>
      <c r="B1038" s="66">
        <v>344.83800000000002</v>
      </c>
      <c r="C1038" s="67"/>
      <c r="D1038" s="68">
        <v>0</v>
      </c>
      <c r="E1038" s="110">
        <f t="shared" si="16"/>
        <v>37193</v>
      </c>
      <c r="F1038" s="69">
        <v>2.7263663160393133E-2</v>
      </c>
    </row>
    <row r="1039" spans="1:6" x14ac:dyDescent="0.3">
      <c r="A1039" s="24">
        <v>35917</v>
      </c>
      <c r="B1039" s="66">
        <v>344.83800000000002</v>
      </c>
      <c r="C1039" s="67"/>
      <c r="D1039" s="68">
        <v>0</v>
      </c>
      <c r="E1039" s="110">
        <f t="shared" si="16"/>
        <v>37193</v>
      </c>
      <c r="F1039" s="69">
        <v>2.7263663160393133E-2</v>
      </c>
    </row>
    <row r="1040" spans="1:6" x14ac:dyDescent="0.3">
      <c r="A1040" s="24">
        <v>35918</v>
      </c>
      <c r="B1040" s="66">
        <v>344.83800000000002</v>
      </c>
      <c r="C1040" s="67"/>
      <c r="D1040" s="68">
        <v>0</v>
      </c>
      <c r="E1040" s="110">
        <f t="shared" si="16"/>
        <v>37193</v>
      </c>
      <c r="F1040" s="69">
        <v>2.7263663160393133E-2</v>
      </c>
    </row>
    <row r="1041" spans="1:6" x14ac:dyDescent="0.3">
      <c r="A1041" s="24">
        <v>35919</v>
      </c>
      <c r="B1041" s="66">
        <v>344.83800000000002</v>
      </c>
      <c r="C1041" s="67"/>
      <c r="D1041" s="68">
        <v>0</v>
      </c>
      <c r="E1041" s="110">
        <f t="shared" si="16"/>
        <v>37193</v>
      </c>
      <c r="F1041" s="69">
        <v>2.7263663160393133E-2</v>
      </c>
    </row>
    <row r="1042" spans="1:6" x14ac:dyDescent="0.3">
      <c r="A1042" s="24">
        <v>35920</v>
      </c>
      <c r="B1042" s="66">
        <v>344.83800000000002</v>
      </c>
      <c r="C1042" s="67"/>
      <c r="D1042" s="68">
        <v>0</v>
      </c>
      <c r="E1042" s="110">
        <f t="shared" ref="E1042:E1105" si="17">+E1041</f>
        <v>37193</v>
      </c>
      <c r="F1042" s="69">
        <v>2.7263663160393133E-2</v>
      </c>
    </row>
    <row r="1043" spans="1:6" x14ac:dyDescent="0.3">
      <c r="A1043" s="24">
        <v>35921</v>
      </c>
      <c r="B1043" s="66">
        <v>344.83800000000002</v>
      </c>
      <c r="C1043" s="67"/>
      <c r="D1043" s="68">
        <v>0</v>
      </c>
      <c r="E1043" s="110">
        <f t="shared" si="17"/>
        <v>37193</v>
      </c>
      <c r="F1043" s="69">
        <v>2.7263663160393133E-2</v>
      </c>
    </row>
    <row r="1044" spans="1:6" x14ac:dyDescent="0.3">
      <c r="A1044" s="24">
        <v>35922</v>
      </c>
      <c r="B1044" s="66">
        <v>344.83800000000002</v>
      </c>
      <c r="C1044" s="67"/>
      <c r="D1044" s="68">
        <v>0</v>
      </c>
      <c r="E1044" s="110">
        <f t="shared" si="17"/>
        <v>37193</v>
      </c>
      <c r="F1044" s="69">
        <v>2.7263663160393133E-2</v>
      </c>
    </row>
    <row r="1045" spans="1:6" x14ac:dyDescent="0.3">
      <c r="A1045" s="24">
        <v>35923</v>
      </c>
      <c r="B1045" s="66">
        <v>344.83800000000002</v>
      </c>
      <c r="C1045" s="67"/>
      <c r="D1045" s="68">
        <v>0</v>
      </c>
      <c r="E1045" s="110">
        <f t="shared" si="17"/>
        <v>37193</v>
      </c>
      <c r="F1045" s="69">
        <v>2.7263663160393133E-2</v>
      </c>
    </row>
    <row r="1046" spans="1:6" x14ac:dyDescent="0.3">
      <c r="A1046" s="24">
        <v>35924</v>
      </c>
      <c r="B1046" s="66">
        <v>344.83800000000002</v>
      </c>
      <c r="C1046" s="67"/>
      <c r="D1046" s="68">
        <v>0</v>
      </c>
      <c r="E1046" s="110">
        <f t="shared" si="17"/>
        <v>37193</v>
      </c>
      <c r="F1046" s="69">
        <v>2.7263663160393133E-2</v>
      </c>
    </row>
    <row r="1047" spans="1:6" x14ac:dyDescent="0.3">
      <c r="A1047" s="24">
        <v>35925</v>
      </c>
      <c r="B1047" s="66">
        <v>344.83800000000002</v>
      </c>
      <c r="C1047" s="67"/>
      <c r="D1047" s="68">
        <v>0</v>
      </c>
      <c r="E1047" s="110">
        <f t="shared" si="17"/>
        <v>37193</v>
      </c>
      <c r="F1047" s="69">
        <v>2.7263663160393133E-2</v>
      </c>
    </row>
    <row r="1048" spans="1:6" x14ac:dyDescent="0.3">
      <c r="A1048" s="24">
        <v>35926</v>
      </c>
      <c r="B1048" s="66">
        <v>344.83800000000002</v>
      </c>
      <c r="C1048" s="67"/>
      <c r="D1048" s="68">
        <v>0</v>
      </c>
      <c r="E1048" s="110">
        <f t="shared" si="17"/>
        <v>37193</v>
      </c>
      <c r="F1048" s="69">
        <v>2.7263663160393133E-2</v>
      </c>
    </row>
    <row r="1049" spans="1:6" x14ac:dyDescent="0.3">
      <c r="A1049" s="24">
        <v>35927</v>
      </c>
      <c r="B1049" s="66">
        <v>344.83800000000002</v>
      </c>
      <c r="C1049" s="67"/>
      <c r="D1049" s="68">
        <v>0</v>
      </c>
      <c r="E1049" s="110">
        <f t="shared" si="17"/>
        <v>37193</v>
      </c>
      <c r="F1049" s="69">
        <v>2.7263663160393133E-2</v>
      </c>
    </row>
    <row r="1050" spans="1:6" x14ac:dyDescent="0.3">
      <c r="A1050" s="24">
        <v>35928</v>
      </c>
      <c r="B1050" s="66">
        <v>344.83800000000002</v>
      </c>
      <c r="C1050" s="67"/>
      <c r="D1050" s="68">
        <v>0</v>
      </c>
      <c r="E1050" s="110">
        <f t="shared" si="17"/>
        <v>37193</v>
      </c>
      <c r="F1050" s="69">
        <v>2.7263663160393133E-2</v>
      </c>
    </row>
    <row r="1051" spans="1:6" x14ac:dyDescent="0.3">
      <c r="A1051" s="24">
        <v>35929</v>
      </c>
      <c r="B1051" s="66">
        <v>344.83800000000002</v>
      </c>
      <c r="C1051" s="67"/>
      <c r="D1051" s="68">
        <v>10.817001398936727</v>
      </c>
      <c r="E1051" s="110">
        <f t="shared" si="17"/>
        <v>37193</v>
      </c>
      <c r="F1051" s="69">
        <v>3.5172893752761371E-2</v>
      </c>
    </row>
    <row r="1052" spans="1:6" x14ac:dyDescent="0.3">
      <c r="A1052" s="24">
        <v>35930</v>
      </c>
      <c r="B1052" s="66">
        <v>344.83800000000002</v>
      </c>
      <c r="C1052" s="67"/>
      <c r="D1052" s="68">
        <v>0</v>
      </c>
      <c r="E1052" s="110">
        <f t="shared" si="17"/>
        <v>37193</v>
      </c>
      <c r="F1052" s="69">
        <v>3.5172893752761371E-2</v>
      </c>
    </row>
    <row r="1053" spans="1:6" x14ac:dyDescent="0.3">
      <c r="A1053" s="24">
        <v>35931</v>
      </c>
      <c r="B1053" s="66">
        <v>344.83800000000002</v>
      </c>
      <c r="C1053" s="67"/>
      <c r="D1053" s="68">
        <v>0</v>
      </c>
      <c r="E1053" s="110">
        <f t="shared" si="17"/>
        <v>37193</v>
      </c>
      <c r="F1053" s="69">
        <v>3.5172893752761371E-2</v>
      </c>
    </row>
    <row r="1054" spans="1:6" x14ac:dyDescent="0.3">
      <c r="A1054" s="24">
        <v>35932</v>
      </c>
      <c r="B1054" s="66">
        <v>344.83800000000002</v>
      </c>
      <c r="C1054" s="67"/>
      <c r="D1054" s="68">
        <v>0</v>
      </c>
      <c r="E1054" s="110">
        <f t="shared" si="17"/>
        <v>37193</v>
      </c>
      <c r="F1054" s="69">
        <v>3.5172893752761371E-2</v>
      </c>
    </row>
    <row r="1055" spans="1:6" x14ac:dyDescent="0.3">
      <c r="A1055" s="24">
        <v>35933</v>
      </c>
      <c r="B1055" s="66">
        <v>344.83800000000002</v>
      </c>
      <c r="C1055" s="67"/>
      <c r="D1055" s="68">
        <v>0</v>
      </c>
      <c r="E1055" s="110">
        <f t="shared" si="17"/>
        <v>37193</v>
      </c>
      <c r="F1055" s="69">
        <v>3.5172893752761371E-2</v>
      </c>
    </row>
    <row r="1056" spans="1:6" x14ac:dyDescent="0.3">
      <c r="A1056" s="24">
        <v>35934</v>
      </c>
      <c r="B1056" s="66">
        <v>344.83800000000002</v>
      </c>
      <c r="C1056" s="67"/>
      <c r="D1056" s="68">
        <v>0</v>
      </c>
      <c r="E1056" s="110">
        <f t="shared" si="17"/>
        <v>37193</v>
      </c>
      <c r="F1056" s="69">
        <v>3.5172893752761371E-2</v>
      </c>
    </row>
    <row r="1057" spans="1:6" x14ac:dyDescent="0.3">
      <c r="A1057" s="24">
        <v>35935</v>
      </c>
      <c r="B1057" s="66">
        <v>344.83800000000002</v>
      </c>
      <c r="C1057" s="67"/>
      <c r="D1057" s="68">
        <v>0</v>
      </c>
      <c r="E1057" s="110">
        <f t="shared" si="17"/>
        <v>37193</v>
      </c>
      <c r="F1057" s="69">
        <v>3.5172893752761371E-2</v>
      </c>
    </row>
    <row r="1058" spans="1:6" x14ac:dyDescent="0.3">
      <c r="A1058" s="24">
        <v>35936</v>
      </c>
      <c r="B1058" s="66">
        <v>344.83800000000002</v>
      </c>
      <c r="C1058" s="67"/>
      <c r="D1058" s="68">
        <v>0</v>
      </c>
      <c r="E1058" s="110">
        <f t="shared" si="17"/>
        <v>37193</v>
      </c>
      <c r="F1058" s="69">
        <v>3.5172893752761371E-2</v>
      </c>
    </row>
    <row r="1059" spans="1:6" x14ac:dyDescent="0.3">
      <c r="A1059" s="24">
        <v>35937</v>
      </c>
      <c r="B1059" s="66">
        <v>344.83800000000002</v>
      </c>
      <c r="C1059" s="67"/>
      <c r="D1059" s="68">
        <v>0</v>
      </c>
      <c r="E1059" s="110">
        <f t="shared" si="17"/>
        <v>37193</v>
      </c>
      <c r="F1059" s="69">
        <v>3.5172893752761371E-2</v>
      </c>
    </row>
    <row r="1060" spans="1:6" x14ac:dyDescent="0.3">
      <c r="A1060" s="24">
        <v>35938</v>
      </c>
      <c r="B1060" s="66">
        <v>344.83800000000002</v>
      </c>
      <c r="C1060" s="67"/>
      <c r="D1060" s="68">
        <v>0</v>
      </c>
      <c r="E1060" s="110">
        <f t="shared" si="17"/>
        <v>37193</v>
      </c>
      <c r="F1060" s="69">
        <v>3.5172893752761371E-2</v>
      </c>
    </row>
    <row r="1061" spans="1:6" x14ac:dyDescent="0.3">
      <c r="A1061" s="24">
        <v>35939</v>
      </c>
      <c r="B1061" s="66">
        <v>344.83800000000002</v>
      </c>
      <c r="C1061" s="67"/>
      <c r="D1061" s="68">
        <v>0</v>
      </c>
      <c r="E1061" s="110">
        <f t="shared" si="17"/>
        <v>37193</v>
      </c>
      <c r="F1061" s="69">
        <v>3.5172893752761371E-2</v>
      </c>
    </row>
    <row r="1062" spans="1:6" x14ac:dyDescent="0.3">
      <c r="A1062" s="24">
        <v>35940</v>
      </c>
      <c r="B1062" s="66">
        <v>344.83800000000002</v>
      </c>
      <c r="C1062" s="67"/>
      <c r="D1062" s="68">
        <v>0</v>
      </c>
      <c r="E1062" s="110">
        <f t="shared" si="17"/>
        <v>37193</v>
      </c>
      <c r="F1062" s="69">
        <v>3.5172893752761371E-2</v>
      </c>
    </row>
    <row r="1063" spans="1:6" x14ac:dyDescent="0.3">
      <c r="A1063" s="24">
        <v>35941</v>
      </c>
      <c r="B1063" s="66">
        <v>344.83800000000002</v>
      </c>
      <c r="C1063" s="67"/>
      <c r="D1063" s="68">
        <v>0</v>
      </c>
      <c r="E1063" s="110">
        <f t="shared" si="17"/>
        <v>37193</v>
      </c>
      <c r="F1063" s="69">
        <v>3.5172893752761371E-2</v>
      </c>
    </row>
    <row r="1064" spans="1:6" x14ac:dyDescent="0.3">
      <c r="A1064" s="24">
        <v>35942</v>
      </c>
      <c r="B1064" s="66">
        <v>344.83800000000002</v>
      </c>
      <c r="C1064" s="67"/>
      <c r="D1064" s="68">
        <v>0</v>
      </c>
      <c r="E1064" s="110">
        <f t="shared" si="17"/>
        <v>37193</v>
      </c>
      <c r="F1064" s="69">
        <v>3.5172893752761371E-2</v>
      </c>
    </row>
    <row r="1065" spans="1:6" x14ac:dyDescent="0.3">
      <c r="A1065" s="24">
        <v>35943</v>
      </c>
      <c r="B1065" s="66">
        <v>344.83800000000002</v>
      </c>
      <c r="C1065" s="67"/>
      <c r="D1065" s="68">
        <v>0</v>
      </c>
      <c r="E1065" s="110">
        <f t="shared" si="17"/>
        <v>37193</v>
      </c>
      <c r="F1065" s="69">
        <v>3.5172893752761371E-2</v>
      </c>
    </row>
    <row r="1066" spans="1:6" x14ac:dyDescent="0.3">
      <c r="A1066" s="24">
        <v>35944</v>
      </c>
      <c r="B1066" s="66">
        <v>344.83800000000002</v>
      </c>
      <c r="C1066" s="67"/>
      <c r="D1066" s="68">
        <v>0</v>
      </c>
      <c r="E1066" s="110">
        <f t="shared" si="17"/>
        <v>37193</v>
      </c>
      <c r="F1066" s="69">
        <v>3.5172893752761371E-2</v>
      </c>
    </row>
    <row r="1067" spans="1:6" x14ac:dyDescent="0.3">
      <c r="A1067" s="24">
        <v>35945</v>
      </c>
      <c r="B1067" s="66">
        <v>344.83800000000002</v>
      </c>
      <c r="C1067" s="67"/>
      <c r="D1067" s="68">
        <v>0</v>
      </c>
      <c r="E1067" s="110">
        <f t="shared" si="17"/>
        <v>37193</v>
      </c>
      <c r="F1067" s="69">
        <v>3.5172893752761371E-2</v>
      </c>
    </row>
    <row r="1068" spans="1:6" x14ac:dyDescent="0.3">
      <c r="A1068" s="24">
        <v>35946</v>
      </c>
      <c r="B1068" s="66">
        <v>344.83800000000002</v>
      </c>
      <c r="C1068" s="67"/>
      <c r="D1068" s="68">
        <v>0</v>
      </c>
      <c r="E1068" s="110">
        <f t="shared" si="17"/>
        <v>37193</v>
      </c>
      <c r="F1068" s="69">
        <v>3.5172893752761371E-2</v>
      </c>
    </row>
    <row r="1069" spans="1:6" x14ac:dyDescent="0.3">
      <c r="A1069" s="24">
        <v>35947</v>
      </c>
      <c r="B1069" s="66">
        <v>344.83800000000002</v>
      </c>
      <c r="C1069" s="67"/>
      <c r="D1069" s="68">
        <v>0</v>
      </c>
      <c r="E1069" s="110">
        <f t="shared" si="17"/>
        <v>37193</v>
      </c>
      <c r="F1069" s="69">
        <v>3.5172893752761371E-2</v>
      </c>
    </row>
    <row r="1070" spans="1:6" x14ac:dyDescent="0.3">
      <c r="A1070" s="24">
        <v>35948</v>
      </c>
      <c r="B1070" s="66">
        <v>344.83800000000002</v>
      </c>
      <c r="C1070" s="67"/>
      <c r="D1070" s="68">
        <v>0</v>
      </c>
      <c r="E1070" s="110">
        <f t="shared" si="17"/>
        <v>37193</v>
      </c>
      <c r="F1070" s="69">
        <v>3.5172893752761371E-2</v>
      </c>
    </row>
    <row r="1071" spans="1:6" x14ac:dyDescent="0.3">
      <c r="A1071" s="24">
        <v>35949</v>
      </c>
      <c r="B1071" s="66">
        <v>344.83800000000002</v>
      </c>
      <c r="C1071" s="67"/>
      <c r="D1071" s="68">
        <v>0</v>
      </c>
      <c r="E1071" s="110">
        <f t="shared" si="17"/>
        <v>37193</v>
      </c>
      <c r="F1071" s="69">
        <v>3.5172893752761371E-2</v>
      </c>
    </row>
    <row r="1072" spans="1:6" x14ac:dyDescent="0.3">
      <c r="A1072" s="24">
        <v>35950</v>
      </c>
      <c r="B1072" s="66">
        <v>344.83800000000002</v>
      </c>
      <c r="C1072" s="67"/>
      <c r="D1072" s="68">
        <v>0</v>
      </c>
      <c r="E1072" s="110">
        <f t="shared" si="17"/>
        <v>37193</v>
      </c>
      <c r="F1072" s="69">
        <v>3.5172893752761371E-2</v>
      </c>
    </row>
    <row r="1073" spans="1:6" x14ac:dyDescent="0.3">
      <c r="A1073" s="24">
        <v>35951</v>
      </c>
      <c r="B1073" s="66">
        <v>344.83800000000002</v>
      </c>
      <c r="C1073" s="67"/>
      <c r="D1073" s="68">
        <v>0</v>
      </c>
      <c r="E1073" s="110">
        <f t="shared" si="17"/>
        <v>37193</v>
      </c>
      <c r="F1073" s="69">
        <v>3.5172893752761371E-2</v>
      </c>
    </row>
    <row r="1074" spans="1:6" x14ac:dyDescent="0.3">
      <c r="A1074" s="24">
        <v>35952</v>
      </c>
      <c r="B1074" s="66">
        <v>344.83800000000002</v>
      </c>
      <c r="C1074" s="67"/>
      <c r="D1074" s="68">
        <v>0</v>
      </c>
      <c r="E1074" s="110">
        <f t="shared" si="17"/>
        <v>37193</v>
      </c>
      <c r="F1074" s="69">
        <v>3.5172893752761371E-2</v>
      </c>
    </row>
    <row r="1075" spans="1:6" x14ac:dyDescent="0.3">
      <c r="A1075" s="24">
        <v>35953</v>
      </c>
      <c r="B1075" s="66">
        <v>344.83800000000002</v>
      </c>
      <c r="C1075" s="67"/>
      <c r="D1075" s="68">
        <v>0</v>
      </c>
      <c r="E1075" s="110">
        <f t="shared" si="17"/>
        <v>37193</v>
      </c>
      <c r="F1075" s="69">
        <v>3.5172893752761371E-2</v>
      </c>
    </row>
    <row r="1076" spans="1:6" x14ac:dyDescent="0.3">
      <c r="A1076" s="24">
        <v>35954</v>
      </c>
      <c r="B1076" s="66">
        <v>344.83800000000002</v>
      </c>
      <c r="C1076" s="67"/>
      <c r="D1076" s="68">
        <v>0</v>
      </c>
      <c r="E1076" s="110">
        <f t="shared" si="17"/>
        <v>37193</v>
      </c>
      <c r="F1076" s="69">
        <v>3.5172893752761371E-2</v>
      </c>
    </row>
    <row r="1077" spans="1:6" x14ac:dyDescent="0.3">
      <c r="A1077" s="24">
        <v>35955</v>
      </c>
      <c r="B1077" s="66">
        <v>344.83800000000002</v>
      </c>
      <c r="C1077" s="67"/>
      <c r="D1077" s="68">
        <v>0</v>
      </c>
      <c r="E1077" s="110">
        <f t="shared" si="17"/>
        <v>37193</v>
      </c>
      <c r="F1077" s="69">
        <v>3.5172893752761371E-2</v>
      </c>
    </row>
    <row r="1078" spans="1:6" x14ac:dyDescent="0.3">
      <c r="A1078" s="24">
        <v>35956</v>
      </c>
      <c r="B1078" s="66">
        <v>344.83800000000002</v>
      </c>
      <c r="C1078" s="67"/>
      <c r="D1078" s="68">
        <v>0</v>
      </c>
      <c r="E1078" s="110">
        <f t="shared" si="17"/>
        <v>37193</v>
      </c>
      <c r="F1078" s="69">
        <v>3.5172893752761371E-2</v>
      </c>
    </row>
    <row r="1079" spans="1:6" x14ac:dyDescent="0.3">
      <c r="A1079" s="24">
        <v>35957</v>
      </c>
      <c r="B1079" s="66">
        <v>344.83800000000002</v>
      </c>
      <c r="C1079" s="67"/>
      <c r="D1079" s="68">
        <v>0</v>
      </c>
      <c r="E1079" s="110">
        <f t="shared" si="17"/>
        <v>37193</v>
      </c>
      <c r="F1079" s="69">
        <v>3.5172893752761371E-2</v>
      </c>
    </row>
    <row r="1080" spans="1:6" x14ac:dyDescent="0.3">
      <c r="A1080" s="24">
        <v>35958</v>
      </c>
      <c r="B1080" s="66">
        <v>344.83800000000002</v>
      </c>
      <c r="C1080" s="67"/>
      <c r="D1080" s="68">
        <v>0</v>
      </c>
      <c r="E1080" s="110">
        <f t="shared" si="17"/>
        <v>37193</v>
      </c>
      <c r="F1080" s="69">
        <v>3.5172893752761371E-2</v>
      </c>
    </row>
    <row r="1081" spans="1:6" x14ac:dyDescent="0.3">
      <c r="A1081" s="24">
        <v>35959</v>
      </c>
      <c r="B1081" s="66">
        <v>344.83800000000002</v>
      </c>
      <c r="C1081" s="67"/>
      <c r="D1081" s="68">
        <v>0</v>
      </c>
      <c r="E1081" s="110">
        <f t="shared" si="17"/>
        <v>37193</v>
      </c>
      <c r="F1081" s="69">
        <v>3.5172893752761371E-2</v>
      </c>
    </row>
    <row r="1082" spans="1:6" x14ac:dyDescent="0.3">
      <c r="A1082" s="24">
        <v>35960</v>
      </c>
      <c r="B1082" s="66">
        <v>344.83800000000002</v>
      </c>
      <c r="C1082" s="67"/>
      <c r="D1082" s="68">
        <v>0</v>
      </c>
      <c r="E1082" s="110">
        <f t="shared" si="17"/>
        <v>37193</v>
      </c>
      <c r="F1082" s="69">
        <v>3.5172893752761371E-2</v>
      </c>
    </row>
    <row r="1083" spans="1:6" x14ac:dyDescent="0.3">
      <c r="A1083" s="24">
        <v>35961</v>
      </c>
      <c r="B1083" s="66">
        <v>344.83800000000002</v>
      </c>
      <c r="C1083" s="67"/>
      <c r="D1083" s="68">
        <v>0</v>
      </c>
      <c r="E1083" s="110">
        <f t="shared" si="17"/>
        <v>37193</v>
      </c>
      <c r="F1083" s="69">
        <v>3.5172893752761371E-2</v>
      </c>
    </row>
    <row r="1084" spans="1:6" x14ac:dyDescent="0.3">
      <c r="A1084" s="24">
        <v>35962</v>
      </c>
      <c r="B1084" s="66">
        <v>344.83800000000002</v>
      </c>
      <c r="C1084" s="67"/>
      <c r="D1084" s="68">
        <v>0</v>
      </c>
      <c r="E1084" s="110">
        <f t="shared" si="17"/>
        <v>37193</v>
      </c>
      <c r="F1084" s="69">
        <v>3.5172893752761371E-2</v>
      </c>
    </row>
    <row r="1085" spans="1:6" x14ac:dyDescent="0.3">
      <c r="A1085" s="24">
        <v>35963</v>
      </c>
      <c r="B1085" s="66">
        <v>344.83800000000002</v>
      </c>
      <c r="C1085" s="67"/>
      <c r="D1085" s="68">
        <v>0</v>
      </c>
      <c r="E1085" s="110">
        <f t="shared" si="17"/>
        <v>37193</v>
      </c>
      <c r="F1085" s="69">
        <v>3.5172893752761371E-2</v>
      </c>
    </row>
    <row r="1086" spans="1:6" x14ac:dyDescent="0.3">
      <c r="A1086" s="24">
        <v>35964</v>
      </c>
      <c r="B1086" s="66">
        <v>344.83800000000002</v>
      </c>
      <c r="C1086" s="67"/>
      <c r="D1086" s="68">
        <v>0</v>
      </c>
      <c r="E1086" s="110">
        <f t="shared" si="17"/>
        <v>37193</v>
      </c>
      <c r="F1086" s="69">
        <v>3.5172893752761371E-2</v>
      </c>
    </row>
    <row r="1087" spans="1:6" x14ac:dyDescent="0.3">
      <c r="A1087" s="24">
        <v>35965</v>
      </c>
      <c r="B1087" s="66">
        <v>344.83800000000002</v>
      </c>
      <c r="C1087" s="67"/>
      <c r="D1087" s="68">
        <v>0</v>
      </c>
      <c r="E1087" s="110">
        <f t="shared" si="17"/>
        <v>37193</v>
      </c>
      <c r="F1087" s="69">
        <v>3.5172893752761371E-2</v>
      </c>
    </row>
    <row r="1088" spans="1:6" x14ac:dyDescent="0.3">
      <c r="A1088" s="24">
        <v>35966</v>
      </c>
      <c r="B1088" s="66">
        <v>344.83800000000002</v>
      </c>
      <c r="C1088" s="67"/>
      <c r="D1088" s="68">
        <v>0</v>
      </c>
      <c r="E1088" s="110">
        <f t="shared" si="17"/>
        <v>37193</v>
      </c>
      <c r="F1088" s="69">
        <v>3.5172893752761371E-2</v>
      </c>
    </row>
    <row r="1089" spans="1:6" x14ac:dyDescent="0.3">
      <c r="A1089" s="24">
        <v>35967</v>
      </c>
      <c r="B1089" s="66">
        <v>344.83800000000002</v>
      </c>
      <c r="C1089" s="67"/>
      <c r="D1089" s="68">
        <v>0</v>
      </c>
      <c r="E1089" s="110">
        <f t="shared" si="17"/>
        <v>37193</v>
      </c>
      <c r="F1089" s="69">
        <v>3.5172893752761371E-2</v>
      </c>
    </row>
    <row r="1090" spans="1:6" x14ac:dyDescent="0.3">
      <c r="A1090" s="24">
        <v>35968</v>
      </c>
      <c r="B1090" s="66">
        <v>344.83800000000002</v>
      </c>
      <c r="C1090" s="67"/>
      <c r="D1090" s="68">
        <v>0</v>
      </c>
      <c r="E1090" s="110">
        <f t="shared" si="17"/>
        <v>37193</v>
      </c>
      <c r="F1090" s="69">
        <v>3.5172893752761371E-2</v>
      </c>
    </row>
    <row r="1091" spans="1:6" x14ac:dyDescent="0.3">
      <c r="A1091" s="24">
        <v>35969</v>
      </c>
      <c r="B1091" s="66">
        <v>344.83800000000002</v>
      </c>
      <c r="C1091" s="67"/>
      <c r="D1091" s="68">
        <v>0</v>
      </c>
      <c r="E1091" s="110">
        <f t="shared" si="17"/>
        <v>37193</v>
      </c>
      <c r="F1091" s="69">
        <v>3.5172893752761371E-2</v>
      </c>
    </row>
    <row r="1092" spans="1:6" x14ac:dyDescent="0.3">
      <c r="A1092" s="24">
        <v>35970</v>
      </c>
      <c r="B1092" s="66">
        <v>344.83800000000002</v>
      </c>
      <c r="C1092" s="67"/>
      <c r="D1092" s="68">
        <v>0</v>
      </c>
      <c r="E1092" s="110">
        <f t="shared" si="17"/>
        <v>37193</v>
      </c>
      <c r="F1092" s="69">
        <v>3.5172893752761371E-2</v>
      </c>
    </row>
    <row r="1093" spans="1:6" x14ac:dyDescent="0.3">
      <c r="A1093" s="24">
        <v>35971</v>
      </c>
      <c r="B1093" s="66">
        <v>344.83800000000002</v>
      </c>
      <c r="C1093" s="67"/>
      <c r="D1093" s="68">
        <v>0</v>
      </c>
      <c r="E1093" s="110">
        <f t="shared" si="17"/>
        <v>37193</v>
      </c>
      <c r="F1093" s="69">
        <v>3.5172893752761371E-2</v>
      </c>
    </row>
    <row r="1094" spans="1:6" x14ac:dyDescent="0.3">
      <c r="A1094" s="24">
        <v>35972</v>
      </c>
      <c r="B1094" s="66">
        <v>344.83800000000002</v>
      </c>
      <c r="C1094" s="67"/>
      <c r="D1094" s="68">
        <v>0</v>
      </c>
      <c r="E1094" s="110">
        <f t="shared" si="17"/>
        <v>37193</v>
      </c>
      <c r="F1094" s="69">
        <v>3.5172893752761371E-2</v>
      </c>
    </row>
    <row r="1095" spans="1:6" x14ac:dyDescent="0.3">
      <c r="A1095" s="24">
        <v>35973</v>
      </c>
      <c r="B1095" s="66">
        <v>344.83800000000002</v>
      </c>
      <c r="C1095" s="67"/>
      <c r="D1095" s="68">
        <v>0</v>
      </c>
      <c r="E1095" s="110">
        <f t="shared" si="17"/>
        <v>37193</v>
      </c>
      <c r="F1095" s="69">
        <v>3.5172893752761371E-2</v>
      </c>
    </row>
    <row r="1096" spans="1:6" x14ac:dyDescent="0.3">
      <c r="A1096" s="24">
        <v>35974</v>
      </c>
      <c r="B1096" s="66">
        <v>344.83800000000002</v>
      </c>
      <c r="C1096" s="67"/>
      <c r="D1096" s="68">
        <v>0</v>
      </c>
      <c r="E1096" s="110">
        <f t="shared" si="17"/>
        <v>37193</v>
      </c>
      <c r="F1096" s="69">
        <v>3.5172893752761371E-2</v>
      </c>
    </row>
    <row r="1097" spans="1:6" x14ac:dyDescent="0.3">
      <c r="A1097" s="24">
        <v>35975</v>
      </c>
      <c r="B1097" s="66">
        <v>344.83800000000002</v>
      </c>
      <c r="C1097" s="67"/>
      <c r="D1097" s="68">
        <v>0</v>
      </c>
      <c r="E1097" s="110">
        <f t="shared" si="17"/>
        <v>37193</v>
      </c>
      <c r="F1097" s="69">
        <v>3.5669302702440585E-2</v>
      </c>
    </row>
    <row r="1098" spans="1:6" x14ac:dyDescent="0.3">
      <c r="A1098" s="24">
        <v>35976</v>
      </c>
      <c r="B1098" s="66">
        <v>340.303</v>
      </c>
      <c r="C1098" s="67"/>
      <c r="D1098" s="68">
        <v>0</v>
      </c>
      <c r="E1098" s="110">
        <f t="shared" si="17"/>
        <v>37193</v>
      </c>
      <c r="F1098" s="69">
        <v>3.5669302702440585E-2</v>
      </c>
    </row>
    <row r="1099" spans="1:6" x14ac:dyDescent="0.3">
      <c r="A1099" s="24">
        <v>35977</v>
      </c>
      <c r="B1099" s="66">
        <v>340.303</v>
      </c>
      <c r="C1099" s="67"/>
      <c r="D1099" s="68">
        <v>0</v>
      </c>
      <c r="E1099" s="110">
        <f t="shared" si="17"/>
        <v>37193</v>
      </c>
      <c r="F1099" s="69">
        <v>3.5669302702440585E-2</v>
      </c>
    </row>
    <row r="1100" spans="1:6" x14ac:dyDescent="0.3">
      <c r="A1100" s="24">
        <v>35978</v>
      </c>
      <c r="B1100" s="66">
        <v>340.303</v>
      </c>
      <c r="C1100" s="67"/>
      <c r="D1100" s="68">
        <v>0</v>
      </c>
      <c r="E1100" s="110">
        <f t="shared" si="17"/>
        <v>37193</v>
      </c>
      <c r="F1100" s="69">
        <v>3.5669302702440585E-2</v>
      </c>
    </row>
    <row r="1101" spans="1:6" x14ac:dyDescent="0.3">
      <c r="A1101" s="24">
        <v>35979</v>
      </c>
      <c r="B1101" s="66">
        <v>340.303</v>
      </c>
      <c r="C1101" s="67"/>
      <c r="D1101" s="68">
        <v>0</v>
      </c>
      <c r="E1101" s="110">
        <f t="shared" si="17"/>
        <v>37193</v>
      </c>
      <c r="F1101" s="69">
        <v>3.5669302702440585E-2</v>
      </c>
    </row>
    <row r="1102" spans="1:6" x14ac:dyDescent="0.3">
      <c r="A1102" s="24">
        <v>35980</v>
      </c>
      <c r="B1102" s="66">
        <v>340.303</v>
      </c>
      <c r="C1102" s="67"/>
      <c r="D1102" s="68">
        <v>0</v>
      </c>
      <c r="E1102" s="110">
        <f t="shared" si="17"/>
        <v>37193</v>
      </c>
      <c r="F1102" s="69">
        <v>3.5669302702440585E-2</v>
      </c>
    </row>
    <row r="1103" spans="1:6" x14ac:dyDescent="0.3">
      <c r="A1103" s="24">
        <v>35981</v>
      </c>
      <c r="B1103" s="66">
        <v>340.303</v>
      </c>
      <c r="C1103" s="67"/>
      <c r="D1103" s="68">
        <v>0</v>
      </c>
      <c r="E1103" s="110">
        <f t="shared" si="17"/>
        <v>37193</v>
      </c>
      <c r="F1103" s="69">
        <v>3.5669302702440585E-2</v>
      </c>
    </row>
    <row r="1104" spans="1:6" x14ac:dyDescent="0.3">
      <c r="A1104" s="24">
        <v>35982</v>
      </c>
      <c r="B1104" s="66">
        <v>340.303</v>
      </c>
      <c r="C1104" s="67"/>
      <c r="D1104" s="68">
        <v>0</v>
      </c>
      <c r="E1104" s="110">
        <f t="shared" si="17"/>
        <v>37193</v>
      </c>
      <c r="F1104" s="69">
        <v>3.5669302702440585E-2</v>
      </c>
    </row>
    <row r="1105" spans="1:6" x14ac:dyDescent="0.3">
      <c r="A1105" s="24">
        <v>35983</v>
      </c>
      <c r="B1105" s="66">
        <v>340.303</v>
      </c>
      <c r="C1105" s="67"/>
      <c r="D1105" s="68">
        <v>0</v>
      </c>
      <c r="E1105" s="110">
        <f t="shared" si="17"/>
        <v>37193</v>
      </c>
      <c r="F1105" s="69">
        <v>3.5669302702440585E-2</v>
      </c>
    </row>
    <row r="1106" spans="1:6" x14ac:dyDescent="0.3">
      <c r="A1106" s="24">
        <v>35984</v>
      </c>
      <c r="B1106" s="66">
        <v>340.303</v>
      </c>
      <c r="C1106" s="67"/>
      <c r="D1106" s="68">
        <v>0</v>
      </c>
      <c r="E1106" s="110">
        <f t="shared" ref="E1106:E1169" si="18">+E1105</f>
        <v>37193</v>
      </c>
      <c r="F1106" s="69">
        <v>3.5669302702440585E-2</v>
      </c>
    </row>
    <row r="1107" spans="1:6" x14ac:dyDescent="0.3">
      <c r="A1107" s="24">
        <v>35985</v>
      </c>
      <c r="B1107" s="66">
        <v>340.303</v>
      </c>
      <c r="C1107" s="67"/>
      <c r="D1107" s="68">
        <v>0</v>
      </c>
      <c r="E1107" s="110">
        <f t="shared" si="18"/>
        <v>37193</v>
      </c>
      <c r="F1107" s="69">
        <v>3.5669302702440585E-2</v>
      </c>
    </row>
    <row r="1108" spans="1:6" x14ac:dyDescent="0.3">
      <c r="A1108" s="24">
        <v>35986</v>
      </c>
      <c r="B1108" s="66">
        <v>340.303</v>
      </c>
      <c r="C1108" s="67"/>
      <c r="D1108" s="68">
        <v>0</v>
      </c>
      <c r="E1108" s="110">
        <f t="shared" si="18"/>
        <v>37193</v>
      </c>
      <c r="F1108" s="69">
        <v>3.5669302702440585E-2</v>
      </c>
    </row>
    <row r="1109" spans="1:6" x14ac:dyDescent="0.3">
      <c r="A1109" s="24">
        <v>35987</v>
      </c>
      <c r="B1109" s="66">
        <v>340.303</v>
      </c>
      <c r="C1109" s="67"/>
      <c r="D1109" s="68">
        <v>0</v>
      </c>
      <c r="E1109" s="110">
        <f t="shared" si="18"/>
        <v>37193</v>
      </c>
      <c r="F1109" s="69">
        <v>3.5669302702440585E-2</v>
      </c>
    </row>
    <row r="1110" spans="1:6" x14ac:dyDescent="0.3">
      <c r="A1110" s="24">
        <v>35988</v>
      </c>
      <c r="B1110" s="66">
        <v>340.303</v>
      </c>
      <c r="C1110" s="67"/>
      <c r="D1110" s="68">
        <v>0</v>
      </c>
      <c r="E1110" s="110">
        <f t="shared" si="18"/>
        <v>37193</v>
      </c>
      <c r="F1110" s="69">
        <v>3.5669302702440585E-2</v>
      </c>
    </row>
    <row r="1111" spans="1:6" x14ac:dyDescent="0.3">
      <c r="A1111" s="24">
        <v>35989</v>
      </c>
      <c r="B1111" s="66">
        <v>340.303</v>
      </c>
      <c r="C1111" s="67"/>
      <c r="D1111" s="68">
        <v>0</v>
      </c>
      <c r="E1111" s="110">
        <f t="shared" si="18"/>
        <v>37193</v>
      </c>
      <c r="F1111" s="69">
        <v>3.5669302702440585E-2</v>
      </c>
    </row>
    <row r="1112" spans="1:6" x14ac:dyDescent="0.3">
      <c r="A1112" s="24">
        <v>35990</v>
      </c>
      <c r="B1112" s="66">
        <v>340.303</v>
      </c>
      <c r="C1112" s="67"/>
      <c r="D1112" s="68">
        <v>0</v>
      </c>
      <c r="E1112" s="110">
        <f t="shared" si="18"/>
        <v>37193</v>
      </c>
      <c r="F1112" s="69">
        <v>3.5669302702440585E-2</v>
      </c>
    </row>
    <row r="1113" spans="1:6" x14ac:dyDescent="0.3">
      <c r="A1113" s="24">
        <v>35991</v>
      </c>
      <c r="B1113" s="66">
        <v>340.303</v>
      </c>
      <c r="C1113" s="67"/>
      <c r="D1113" s="68">
        <v>0</v>
      </c>
      <c r="E1113" s="110">
        <f t="shared" si="18"/>
        <v>37193</v>
      </c>
      <c r="F1113" s="69">
        <v>3.5669302702440585E-2</v>
      </c>
    </row>
    <row r="1114" spans="1:6" x14ac:dyDescent="0.3">
      <c r="A1114" s="24">
        <v>35992</v>
      </c>
      <c r="B1114" s="66">
        <v>340.303</v>
      </c>
      <c r="C1114" s="67"/>
      <c r="D1114" s="68">
        <v>0</v>
      </c>
      <c r="E1114" s="110">
        <f t="shared" si="18"/>
        <v>37193</v>
      </c>
      <c r="F1114" s="69">
        <v>3.5669302702440585E-2</v>
      </c>
    </row>
    <row r="1115" spans="1:6" x14ac:dyDescent="0.3">
      <c r="A1115" s="24">
        <v>35993</v>
      </c>
      <c r="B1115" s="66">
        <v>340.303</v>
      </c>
      <c r="C1115" s="67"/>
      <c r="D1115" s="68">
        <v>0</v>
      </c>
      <c r="E1115" s="110">
        <f t="shared" si="18"/>
        <v>37193</v>
      </c>
      <c r="F1115" s="69">
        <v>3.5669302702440585E-2</v>
      </c>
    </row>
    <row r="1116" spans="1:6" x14ac:dyDescent="0.3">
      <c r="A1116" s="24">
        <v>35994</v>
      </c>
      <c r="B1116" s="66">
        <v>340.303</v>
      </c>
      <c r="C1116" s="67"/>
      <c r="D1116" s="68">
        <v>0</v>
      </c>
      <c r="E1116" s="110">
        <f t="shared" si="18"/>
        <v>37193</v>
      </c>
      <c r="F1116" s="69">
        <v>3.5669302702440585E-2</v>
      </c>
    </row>
    <row r="1117" spans="1:6" x14ac:dyDescent="0.3">
      <c r="A1117" s="24">
        <v>35995</v>
      </c>
      <c r="B1117" s="66">
        <v>340.303</v>
      </c>
      <c r="C1117" s="67"/>
      <c r="D1117" s="68">
        <v>0</v>
      </c>
      <c r="E1117" s="110">
        <f t="shared" si="18"/>
        <v>37193</v>
      </c>
      <c r="F1117" s="69">
        <v>3.5669302702440585E-2</v>
      </c>
    </row>
    <row r="1118" spans="1:6" x14ac:dyDescent="0.3">
      <c r="A1118" s="24">
        <v>35996</v>
      </c>
      <c r="B1118" s="66">
        <v>340.303</v>
      </c>
      <c r="C1118" s="67"/>
      <c r="D1118" s="68">
        <v>0</v>
      </c>
      <c r="E1118" s="110">
        <f t="shared" si="18"/>
        <v>37193</v>
      </c>
      <c r="F1118" s="69">
        <v>3.5669302702440585E-2</v>
      </c>
    </row>
    <row r="1119" spans="1:6" x14ac:dyDescent="0.3">
      <c r="A1119" s="24">
        <v>35997</v>
      </c>
      <c r="B1119" s="66">
        <v>340.303</v>
      </c>
      <c r="C1119" s="67"/>
      <c r="D1119" s="68">
        <v>0</v>
      </c>
      <c r="E1119" s="110">
        <f t="shared" si="18"/>
        <v>37193</v>
      </c>
      <c r="F1119" s="69">
        <v>3.5669302702440585E-2</v>
      </c>
    </row>
    <row r="1120" spans="1:6" x14ac:dyDescent="0.3">
      <c r="A1120" s="24">
        <v>35998</v>
      </c>
      <c r="B1120" s="66">
        <v>340.303</v>
      </c>
      <c r="C1120" s="67"/>
      <c r="D1120" s="68">
        <v>0</v>
      </c>
      <c r="E1120" s="110">
        <f t="shared" si="18"/>
        <v>37193</v>
      </c>
      <c r="F1120" s="69">
        <v>3.5669302702440585E-2</v>
      </c>
    </row>
    <row r="1121" spans="1:6" x14ac:dyDescent="0.3">
      <c r="A1121" s="24">
        <v>35999</v>
      </c>
      <c r="B1121" s="66">
        <v>340.303</v>
      </c>
      <c r="C1121" s="67"/>
      <c r="D1121" s="68">
        <v>0</v>
      </c>
      <c r="E1121" s="110">
        <f t="shared" si="18"/>
        <v>37193</v>
      </c>
      <c r="F1121" s="69">
        <v>3.5669302702440585E-2</v>
      </c>
    </row>
    <row r="1122" spans="1:6" x14ac:dyDescent="0.3">
      <c r="A1122" s="24">
        <v>36000</v>
      </c>
      <c r="B1122" s="66">
        <v>340.303</v>
      </c>
      <c r="C1122" s="67"/>
      <c r="D1122" s="68">
        <v>0</v>
      </c>
      <c r="E1122" s="110">
        <f t="shared" si="18"/>
        <v>37193</v>
      </c>
      <c r="F1122" s="69">
        <v>3.5669302702440585E-2</v>
      </c>
    </row>
    <row r="1123" spans="1:6" x14ac:dyDescent="0.3">
      <c r="A1123" s="24">
        <v>36001</v>
      </c>
      <c r="B1123" s="66">
        <v>340.303</v>
      </c>
      <c r="C1123" s="67"/>
      <c r="D1123" s="68">
        <v>0</v>
      </c>
      <c r="E1123" s="110">
        <f t="shared" si="18"/>
        <v>37193</v>
      </c>
      <c r="F1123" s="69">
        <v>3.5669302702440585E-2</v>
      </c>
    </row>
    <row r="1124" spans="1:6" x14ac:dyDescent="0.3">
      <c r="A1124" s="24">
        <v>36002</v>
      </c>
      <c r="B1124" s="66">
        <v>340.303</v>
      </c>
      <c r="C1124" s="67"/>
      <c r="D1124" s="68">
        <v>0</v>
      </c>
      <c r="E1124" s="110">
        <f t="shared" si="18"/>
        <v>37193</v>
      </c>
      <c r="F1124" s="69">
        <v>3.5669302702440585E-2</v>
      </c>
    </row>
    <row r="1125" spans="1:6" x14ac:dyDescent="0.3">
      <c r="A1125" s="24">
        <v>36003</v>
      </c>
      <c r="B1125" s="66">
        <v>340.303</v>
      </c>
      <c r="C1125" s="67"/>
      <c r="D1125" s="68">
        <v>0</v>
      </c>
      <c r="E1125" s="110">
        <f t="shared" si="18"/>
        <v>37193</v>
      </c>
      <c r="F1125" s="69">
        <v>3.5669302702440585E-2</v>
      </c>
    </row>
    <row r="1126" spans="1:6" x14ac:dyDescent="0.3">
      <c r="A1126" s="24">
        <v>36004</v>
      </c>
      <c r="B1126" s="66">
        <v>340.303</v>
      </c>
      <c r="C1126" s="67"/>
      <c r="D1126" s="68">
        <v>0</v>
      </c>
      <c r="E1126" s="110">
        <f t="shared" si="18"/>
        <v>37193</v>
      </c>
      <c r="F1126" s="69">
        <v>3.5669302702440585E-2</v>
      </c>
    </row>
    <row r="1127" spans="1:6" x14ac:dyDescent="0.3">
      <c r="A1127" s="24">
        <v>36005</v>
      </c>
      <c r="B1127" s="66">
        <v>340.303</v>
      </c>
      <c r="C1127" s="67"/>
      <c r="D1127" s="68">
        <v>0</v>
      </c>
      <c r="E1127" s="110">
        <f t="shared" si="18"/>
        <v>37193</v>
      </c>
      <c r="F1127" s="69">
        <v>3.5669302702440585E-2</v>
      </c>
    </row>
    <row r="1128" spans="1:6" x14ac:dyDescent="0.3">
      <c r="A1128" s="24">
        <v>36006</v>
      </c>
      <c r="B1128" s="66">
        <v>340.303</v>
      </c>
      <c r="C1128" s="67"/>
      <c r="D1128" s="68">
        <v>0</v>
      </c>
      <c r="E1128" s="110">
        <f t="shared" si="18"/>
        <v>37193</v>
      </c>
      <c r="F1128" s="69">
        <v>3.5669302702440585E-2</v>
      </c>
    </row>
    <row r="1129" spans="1:6" x14ac:dyDescent="0.3">
      <c r="A1129" s="24">
        <v>36007</v>
      </c>
      <c r="B1129" s="66">
        <v>340.303</v>
      </c>
      <c r="C1129" s="67"/>
      <c r="D1129" s="68">
        <v>0</v>
      </c>
      <c r="E1129" s="110">
        <f t="shared" si="18"/>
        <v>37193</v>
      </c>
      <c r="F1129" s="69">
        <v>3.5669302702440585E-2</v>
      </c>
    </row>
    <row r="1130" spans="1:6" x14ac:dyDescent="0.3">
      <c r="A1130" s="24">
        <v>36008</v>
      </c>
      <c r="B1130" s="66">
        <v>340.303</v>
      </c>
      <c r="C1130" s="67"/>
      <c r="D1130" s="68">
        <v>0</v>
      </c>
      <c r="E1130" s="110">
        <f t="shared" si="18"/>
        <v>37193</v>
      </c>
      <c r="F1130" s="69">
        <v>3.5669302702440585E-2</v>
      </c>
    </row>
    <row r="1131" spans="1:6" x14ac:dyDescent="0.3">
      <c r="A1131" s="24">
        <v>36009</v>
      </c>
      <c r="B1131" s="66">
        <v>340.303</v>
      </c>
      <c r="C1131" s="67"/>
      <c r="D1131" s="68">
        <v>0</v>
      </c>
      <c r="E1131" s="110">
        <f t="shared" si="18"/>
        <v>37193</v>
      </c>
      <c r="F1131" s="69">
        <v>3.5669302702440585E-2</v>
      </c>
    </row>
    <row r="1132" spans="1:6" x14ac:dyDescent="0.3">
      <c r="A1132" s="24">
        <v>36010</v>
      </c>
      <c r="B1132" s="66">
        <v>340.303</v>
      </c>
      <c r="C1132" s="67"/>
      <c r="D1132" s="68">
        <v>0</v>
      </c>
      <c r="E1132" s="110">
        <f t="shared" si="18"/>
        <v>37193</v>
      </c>
      <c r="F1132" s="69">
        <v>3.5669302702440585E-2</v>
      </c>
    </row>
    <row r="1133" spans="1:6" x14ac:dyDescent="0.3">
      <c r="A1133" s="24">
        <v>36011</v>
      </c>
      <c r="B1133" s="66">
        <v>340.303</v>
      </c>
      <c r="C1133" s="67"/>
      <c r="D1133" s="68">
        <v>0</v>
      </c>
      <c r="E1133" s="110">
        <f t="shared" si="18"/>
        <v>37193</v>
      </c>
      <c r="F1133" s="69">
        <v>3.5669302702440585E-2</v>
      </c>
    </row>
    <row r="1134" spans="1:6" x14ac:dyDescent="0.3">
      <c r="A1134" s="24">
        <v>36012</v>
      </c>
      <c r="B1134" s="66">
        <v>340.303</v>
      </c>
      <c r="C1134" s="67"/>
      <c r="D1134" s="68">
        <v>0</v>
      </c>
      <c r="E1134" s="110">
        <f t="shared" si="18"/>
        <v>37193</v>
      </c>
      <c r="F1134" s="69">
        <v>3.5669302702440585E-2</v>
      </c>
    </row>
    <row r="1135" spans="1:6" x14ac:dyDescent="0.3">
      <c r="A1135" s="24">
        <v>36013</v>
      </c>
      <c r="B1135" s="66">
        <v>340.303</v>
      </c>
      <c r="C1135" s="67"/>
      <c r="D1135" s="68">
        <v>0</v>
      </c>
      <c r="E1135" s="110">
        <f t="shared" si="18"/>
        <v>37193</v>
      </c>
      <c r="F1135" s="69">
        <v>3.5669302702440585E-2</v>
      </c>
    </row>
    <row r="1136" spans="1:6" x14ac:dyDescent="0.3">
      <c r="A1136" s="24">
        <v>36014</v>
      </c>
      <c r="B1136" s="66">
        <v>340.303</v>
      </c>
      <c r="C1136" s="67"/>
      <c r="D1136" s="68">
        <v>0</v>
      </c>
      <c r="E1136" s="110">
        <f t="shared" si="18"/>
        <v>37193</v>
      </c>
      <c r="F1136" s="69">
        <v>3.5669302702440585E-2</v>
      </c>
    </row>
    <row r="1137" spans="1:6" x14ac:dyDescent="0.3">
      <c r="A1137" s="24">
        <v>36015</v>
      </c>
      <c r="B1137" s="66">
        <v>340.303</v>
      </c>
      <c r="C1137" s="67"/>
      <c r="D1137" s="68">
        <v>0</v>
      </c>
      <c r="E1137" s="110">
        <f t="shared" si="18"/>
        <v>37193</v>
      </c>
      <c r="F1137" s="69">
        <v>3.5669302702440585E-2</v>
      </c>
    </row>
    <row r="1138" spans="1:6" x14ac:dyDescent="0.3">
      <c r="A1138" s="24">
        <v>36016</v>
      </c>
      <c r="B1138" s="66">
        <v>340.303</v>
      </c>
      <c r="C1138" s="67"/>
      <c r="D1138" s="68">
        <v>0</v>
      </c>
      <c r="E1138" s="110">
        <f t="shared" si="18"/>
        <v>37193</v>
      </c>
      <c r="F1138" s="69">
        <v>3.5669302702440585E-2</v>
      </c>
    </row>
    <row r="1139" spans="1:6" x14ac:dyDescent="0.3">
      <c r="A1139" s="24">
        <v>36017</v>
      </c>
      <c r="B1139" s="66">
        <v>340.303</v>
      </c>
      <c r="C1139" s="67"/>
      <c r="D1139" s="68">
        <v>0</v>
      </c>
      <c r="E1139" s="110">
        <f t="shared" si="18"/>
        <v>37193</v>
      </c>
      <c r="F1139" s="69">
        <v>3.5669302702440585E-2</v>
      </c>
    </row>
    <row r="1140" spans="1:6" x14ac:dyDescent="0.3">
      <c r="A1140" s="24">
        <v>36018</v>
      </c>
      <c r="B1140" s="66">
        <v>340.303</v>
      </c>
      <c r="C1140" s="67"/>
      <c r="D1140" s="68">
        <v>0</v>
      </c>
      <c r="E1140" s="110">
        <f t="shared" si="18"/>
        <v>37193</v>
      </c>
      <c r="F1140" s="69">
        <v>3.5669302702440585E-2</v>
      </c>
    </row>
    <row r="1141" spans="1:6" x14ac:dyDescent="0.3">
      <c r="A1141" s="24">
        <v>36019</v>
      </c>
      <c r="B1141" s="66">
        <v>340.303</v>
      </c>
      <c r="C1141" s="67"/>
      <c r="D1141" s="68">
        <v>0</v>
      </c>
      <c r="E1141" s="110">
        <f t="shared" si="18"/>
        <v>37193</v>
      </c>
      <c r="F1141" s="69">
        <v>3.5669302702440585E-2</v>
      </c>
    </row>
    <row r="1142" spans="1:6" x14ac:dyDescent="0.3">
      <c r="A1142" s="24">
        <v>36020</v>
      </c>
      <c r="B1142" s="66">
        <v>340.303</v>
      </c>
      <c r="C1142" s="67"/>
      <c r="D1142" s="68">
        <v>0</v>
      </c>
      <c r="E1142" s="110">
        <f t="shared" si="18"/>
        <v>37193</v>
      </c>
      <c r="F1142" s="69">
        <v>3.5669302702440585E-2</v>
      </c>
    </row>
    <row r="1143" spans="1:6" x14ac:dyDescent="0.3">
      <c r="A1143" s="24">
        <v>36021</v>
      </c>
      <c r="B1143" s="66">
        <v>340.303</v>
      </c>
      <c r="C1143" s="67"/>
      <c r="D1143" s="68">
        <v>0</v>
      </c>
      <c r="E1143" s="110">
        <f t="shared" si="18"/>
        <v>37193</v>
      </c>
      <c r="F1143" s="69">
        <v>3.5669302702440585E-2</v>
      </c>
    </row>
    <row r="1144" spans="1:6" x14ac:dyDescent="0.3">
      <c r="A1144" s="24">
        <v>36022</v>
      </c>
      <c r="B1144" s="66">
        <v>340.303</v>
      </c>
      <c r="C1144" s="67"/>
      <c r="D1144" s="68">
        <v>0</v>
      </c>
      <c r="E1144" s="110">
        <f t="shared" si="18"/>
        <v>37193</v>
      </c>
      <c r="F1144" s="69">
        <v>3.5669302702440585E-2</v>
      </c>
    </row>
    <row r="1145" spans="1:6" x14ac:dyDescent="0.3">
      <c r="A1145" s="24">
        <v>36023</v>
      </c>
      <c r="B1145" s="66">
        <v>340.303</v>
      </c>
      <c r="C1145" s="67"/>
      <c r="D1145" s="68">
        <v>0</v>
      </c>
      <c r="E1145" s="110">
        <f t="shared" si="18"/>
        <v>37193</v>
      </c>
      <c r="F1145" s="69">
        <v>3.5669302702440585E-2</v>
      </c>
    </row>
    <row r="1146" spans="1:6" x14ac:dyDescent="0.3">
      <c r="A1146" s="24">
        <v>36024</v>
      </c>
      <c r="B1146" s="66">
        <v>340.303</v>
      </c>
      <c r="C1146" s="67"/>
      <c r="D1146" s="68">
        <v>0</v>
      </c>
      <c r="E1146" s="110">
        <f t="shared" si="18"/>
        <v>37193</v>
      </c>
      <c r="F1146" s="69">
        <v>3.5669302702440585E-2</v>
      </c>
    </row>
    <row r="1147" spans="1:6" x14ac:dyDescent="0.3">
      <c r="A1147" s="24">
        <v>36025</v>
      </c>
      <c r="B1147" s="66">
        <v>340.303</v>
      </c>
      <c r="C1147" s="67"/>
      <c r="D1147" s="68">
        <v>0</v>
      </c>
      <c r="E1147" s="110">
        <f t="shared" si="18"/>
        <v>37193</v>
      </c>
      <c r="F1147" s="69">
        <v>3.5669302702440585E-2</v>
      </c>
    </row>
    <row r="1148" spans="1:6" x14ac:dyDescent="0.3">
      <c r="A1148" s="24">
        <v>36026</v>
      </c>
      <c r="B1148" s="66">
        <v>340.303</v>
      </c>
      <c r="C1148" s="67"/>
      <c r="D1148" s="68">
        <v>0</v>
      </c>
      <c r="E1148" s="110">
        <f t="shared" si="18"/>
        <v>37193</v>
      </c>
      <c r="F1148" s="69">
        <v>3.5669302702440585E-2</v>
      </c>
    </row>
    <row r="1149" spans="1:6" x14ac:dyDescent="0.3">
      <c r="A1149" s="24">
        <v>36027</v>
      </c>
      <c r="B1149" s="66">
        <v>340.303</v>
      </c>
      <c r="C1149" s="67"/>
      <c r="D1149" s="68">
        <v>0</v>
      </c>
      <c r="E1149" s="110">
        <f t="shared" si="18"/>
        <v>37193</v>
      </c>
      <c r="F1149" s="69">
        <v>3.5669302702440585E-2</v>
      </c>
    </row>
    <row r="1150" spans="1:6" x14ac:dyDescent="0.3">
      <c r="A1150" s="24">
        <v>36028</v>
      </c>
      <c r="B1150" s="66">
        <v>340.303</v>
      </c>
      <c r="C1150" s="67"/>
      <c r="D1150" s="68">
        <v>0</v>
      </c>
      <c r="E1150" s="110">
        <f t="shared" si="18"/>
        <v>37193</v>
      </c>
      <c r="F1150" s="69">
        <v>3.5669302702440585E-2</v>
      </c>
    </row>
    <row r="1151" spans="1:6" x14ac:dyDescent="0.3">
      <c r="A1151" s="24">
        <v>36029</v>
      </c>
      <c r="B1151" s="66">
        <v>340.303</v>
      </c>
      <c r="C1151" s="67"/>
      <c r="D1151" s="68">
        <v>0</v>
      </c>
      <c r="E1151" s="110">
        <f t="shared" si="18"/>
        <v>37193</v>
      </c>
      <c r="F1151" s="69">
        <v>3.5669302702440585E-2</v>
      </c>
    </row>
    <row r="1152" spans="1:6" x14ac:dyDescent="0.3">
      <c r="A1152" s="24">
        <v>36030</v>
      </c>
      <c r="B1152" s="66">
        <v>340.303</v>
      </c>
      <c r="C1152" s="67"/>
      <c r="D1152" s="68">
        <v>0</v>
      </c>
      <c r="E1152" s="110">
        <f t="shared" si="18"/>
        <v>37193</v>
      </c>
      <c r="F1152" s="69">
        <v>3.5669302702440585E-2</v>
      </c>
    </row>
    <row r="1153" spans="1:6" x14ac:dyDescent="0.3">
      <c r="A1153" s="24">
        <v>36031</v>
      </c>
      <c r="B1153" s="66">
        <v>340.303</v>
      </c>
      <c r="C1153" s="67"/>
      <c r="D1153" s="68">
        <v>0</v>
      </c>
      <c r="E1153" s="110">
        <f t="shared" si="18"/>
        <v>37193</v>
      </c>
      <c r="F1153" s="69">
        <v>3.5669302702440585E-2</v>
      </c>
    </row>
    <row r="1154" spans="1:6" x14ac:dyDescent="0.3">
      <c r="A1154" s="24">
        <v>36032</v>
      </c>
      <c r="B1154" s="66">
        <v>340.303</v>
      </c>
      <c r="C1154" s="67"/>
      <c r="D1154" s="68">
        <v>0</v>
      </c>
      <c r="E1154" s="110">
        <f t="shared" si="18"/>
        <v>37193</v>
      </c>
      <c r="F1154" s="69">
        <v>3.5669302702440585E-2</v>
      </c>
    </row>
    <row r="1155" spans="1:6" x14ac:dyDescent="0.3">
      <c r="A1155" s="24">
        <v>36033</v>
      </c>
      <c r="B1155" s="66">
        <v>340.303</v>
      </c>
      <c r="C1155" s="67"/>
      <c r="D1155" s="68">
        <v>0</v>
      </c>
      <c r="E1155" s="110">
        <f t="shared" si="18"/>
        <v>37193</v>
      </c>
      <c r="F1155" s="69">
        <v>3.5669302702440585E-2</v>
      </c>
    </row>
    <row r="1156" spans="1:6" x14ac:dyDescent="0.3">
      <c r="A1156" s="24">
        <v>36034</v>
      </c>
      <c r="B1156" s="66">
        <v>340.303</v>
      </c>
      <c r="C1156" s="67"/>
      <c r="D1156" s="68">
        <v>0</v>
      </c>
      <c r="E1156" s="110">
        <f t="shared" si="18"/>
        <v>37193</v>
      </c>
      <c r="F1156" s="69">
        <v>3.5669302702440585E-2</v>
      </c>
    </row>
    <row r="1157" spans="1:6" x14ac:dyDescent="0.3">
      <c r="A1157" s="24">
        <v>36035</v>
      </c>
      <c r="B1157" s="66">
        <v>340.303</v>
      </c>
      <c r="C1157" s="67"/>
      <c r="D1157" s="68">
        <v>0</v>
      </c>
      <c r="E1157" s="110">
        <f t="shared" si="18"/>
        <v>37193</v>
      </c>
      <c r="F1157" s="69">
        <v>3.5669302702440585E-2</v>
      </c>
    </row>
    <row r="1158" spans="1:6" x14ac:dyDescent="0.3">
      <c r="A1158" s="24">
        <v>36036</v>
      </c>
      <c r="B1158" s="66">
        <v>340.303</v>
      </c>
      <c r="C1158" s="67"/>
      <c r="D1158" s="68">
        <v>0</v>
      </c>
      <c r="E1158" s="110">
        <f t="shared" si="18"/>
        <v>37193</v>
      </c>
      <c r="F1158" s="69">
        <v>3.5669302702440585E-2</v>
      </c>
    </row>
    <row r="1159" spans="1:6" x14ac:dyDescent="0.3">
      <c r="A1159" s="24">
        <v>36037</v>
      </c>
      <c r="B1159" s="66">
        <v>340.303</v>
      </c>
      <c r="C1159" s="67"/>
      <c r="D1159" s="68">
        <v>0</v>
      </c>
      <c r="E1159" s="110">
        <f t="shared" si="18"/>
        <v>37193</v>
      </c>
      <c r="F1159" s="69">
        <v>3.5669302702440585E-2</v>
      </c>
    </row>
    <row r="1160" spans="1:6" x14ac:dyDescent="0.3">
      <c r="A1160" s="24">
        <v>36038</v>
      </c>
      <c r="B1160" s="66">
        <v>340.303</v>
      </c>
      <c r="C1160" s="67"/>
      <c r="D1160" s="68">
        <v>0</v>
      </c>
      <c r="E1160" s="110">
        <f t="shared" si="18"/>
        <v>37193</v>
      </c>
      <c r="F1160" s="69">
        <v>3.5669302702440585E-2</v>
      </c>
    </row>
    <row r="1161" spans="1:6" x14ac:dyDescent="0.3">
      <c r="A1161" s="24">
        <v>36039</v>
      </c>
      <c r="B1161" s="66">
        <v>340.303</v>
      </c>
      <c r="C1161" s="67"/>
      <c r="D1161" s="68">
        <v>0</v>
      </c>
      <c r="E1161" s="110">
        <f t="shared" si="18"/>
        <v>37193</v>
      </c>
      <c r="F1161" s="69">
        <v>3.5669302702440585E-2</v>
      </c>
    </row>
    <row r="1162" spans="1:6" x14ac:dyDescent="0.3">
      <c r="A1162" s="24">
        <v>36040</v>
      </c>
      <c r="B1162" s="66">
        <v>340.303</v>
      </c>
      <c r="C1162" s="67"/>
      <c r="D1162" s="68">
        <v>0</v>
      </c>
      <c r="E1162" s="110">
        <f t="shared" si="18"/>
        <v>37193</v>
      </c>
      <c r="F1162" s="69">
        <v>3.5669302702440585E-2</v>
      </c>
    </row>
    <row r="1163" spans="1:6" x14ac:dyDescent="0.3">
      <c r="A1163" s="24">
        <v>36041</v>
      </c>
      <c r="B1163" s="66">
        <v>340.303</v>
      </c>
      <c r="C1163" s="67"/>
      <c r="D1163" s="68">
        <v>0</v>
      </c>
      <c r="E1163" s="110">
        <f t="shared" si="18"/>
        <v>37193</v>
      </c>
      <c r="F1163" s="69">
        <v>3.5669302702440585E-2</v>
      </c>
    </row>
    <row r="1164" spans="1:6" x14ac:dyDescent="0.3">
      <c r="A1164" s="24">
        <v>36042</v>
      </c>
      <c r="B1164" s="66">
        <v>340.303</v>
      </c>
      <c r="C1164" s="67"/>
      <c r="D1164" s="68">
        <v>0</v>
      </c>
      <c r="E1164" s="110">
        <f t="shared" si="18"/>
        <v>37193</v>
      </c>
      <c r="F1164" s="69">
        <v>3.5669302702440585E-2</v>
      </c>
    </row>
    <row r="1165" spans="1:6" x14ac:dyDescent="0.3">
      <c r="A1165" s="24">
        <v>36043</v>
      </c>
      <c r="B1165" s="66">
        <v>340.303</v>
      </c>
      <c r="C1165" s="67"/>
      <c r="D1165" s="68">
        <v>0</v>
      </c>
      <c r="E1165" s="110">
        <f t="shared" si="18"/>
        <v>37193</v>
      </c>
      <c r="F1165" s="69">
        <v>3.5669302702440585E-2</v>
      </c>
    </row>
    <row r="1166" spans="1:6" x14ac:dyDescent="0.3">
      <c r="A1166" s="24">
        <v>36044</v>
      </c>
      <c r="B1166" s="66">
        <v>340.303</v>
      </c>
      <c r="C1166" s="67"/>
      <c r="D1166" s="68">
        <v>0</v>
      </c>
      <c r="E1166" s="110">
        <f t="shared" si="18"/>
        <v>37193</v>
      </c>
      <c r="F1166" s="69">
        <v>3.5669302702440585E-2</v>
      </c>
    </row>
    <row r="1167" spans="1:6" x14ac:dyDescent="0.3">
      <c r="A1167" s="24">
        <v>36045</v>
      </c>
      <c r="B1167" s="66">
        <v>340.303</v>
      </c>
      <c r="C1167" s="67"/>
      <c r="D1167" s="68">
        <v>0</v>
      </c>
      <c r="E1167" s="110">
        <f t="shared" si="18"/>
        <v>37193</v>
      </c>
      <c r="F1167" s="69">
        <v>3.5669302702440585E-2</v>
      </c>
    </row>
    <row r="1168" spans="1:6" x14ac:dyDescent="0.3">
      <c r="A1168" s="24">
        <v>36046</v>
      </c>
      <c r="B1168" s="66">
        <v>340.303</v>
      </c>
      <c r="C1168" s="67"/>
      <c r="D1168" s="68">
        <v>0</v>
      </c>
      <c r="E1168" s="110">
        <f t="shared" si="18"/>
        <v>37193</v>
      </c>
      <c r="F1168" s="69">
        <v>3.5669302702440585E-2</v>
      </c>
    </row>
    <row r="1169" spans="1:6" x14ac:dyDescent="0.3">
      <c r="A1169" s="24">
        <v>36047</v>
      </c>
      <c r="B1169" s="66">
        <v>340.303</v>
      </c>
      <c r="C1169" s="67"/>
      <c r="D1169" s="68">
        <v>0</v>
      </c>
      <c r="E1169" s="110">
        <f t="shared" si="18"/>
        <v>37193</v>
      </c>
      <c r="F1169" s="69">
        <v>3.5669302702440585E-2</v>
      </c>
    </row>
    <row r="1170" spans="1:6" x14ac:dyDescent="0.3">
      <c r="A1170" s="24">
        <v>36048</v>
      </c>
      <c r="B1170" s="66">
        <v>340.303</v>
      </c>
      <c r="C1170" s="67"/>
      <c r="D1170" s="68">
        <v>0</v>
      </c>
      <c r="E1170" s="110">
        <f t="shared" ref="E1170:E1233" si="19">+E1169</f>
        <v>37193</v>
      </c>
      <c r="F1170" s="69">
        <v>3.5669302702440585E-2</v>
      </c>
    </row>
    <row r="1171" spans="1:6" x14ac:dyDescent="0.3">
      <c r="A1171" s="24">
        <v>36049</v>
      </c>
      <c r="B1171" s="66">
        <v>340.303</v>
      </c>
      <c r="C1171" s="67"/>
      <c r="D1171" s="68">
        <v>0</v>
      </c>
      <c r="E1171" s="110">
        <f t="shared" si="19"/>
        <v>37193</v>
      </c>
      <c r="F1171" s="69">
        <v>3.5669302702440585E-2</v>
      </c>
    </row>
    <row r="1172" spans="1:6" x14ac:dyDescent="0.3">
      <c r="A1172" s="24">
        <v>36050</v>
      </c>
      <c r="B1172" s="66">
        <v>340.303</v>
      </c>
      <c r="C1172" s="67"/>
      <c r="D1172" s="68">
        <v>0</v>
      </c>
      <c r="E1172" s="110">
        <f t="shared" si="19"/>
        <v>37193</v>
      </c>
      <c r="F1172" s="69">
        <v>3.5669302702440585E-2</v>
      </c>
    </row>
    <row r="1173" spans="1:6" x14ac:dyDescent="0.3">
      <c r="A1173" s="24">
        <v>36051</v>
      </c>
      <c r="B1173" s="66">
        <v>340.303</v>
      </c>
      <c r="C1173" s="67"/>
      <c r="D1173" s="68">
        <v>0</v>
      </c>
      <c r="E1173" s="110">
        <f t="shared" si="19"/>
        <v>37193</v>
      </c>
      <c r="F1173" s="69">
        <v>3.5669302702440585E-2</v>
      </c>
    </row>
    <row r="1174" spans="1:6" x14ac:dyDescent="0.3">
      <c r="A1174" s="24">
        <v>36052</v>
      </c>
      <c r="B1174" s="66">
        <v>340.303</v>
      </c>
      <c r="C1174" s="67"/>
      <c r="D1174" s="68">
        <v>0</v>
      </c>
      <c r="E1174" s="110">
        <f t="shared" si="19"/>
        <v>37193</v>
      </c>
      <c r="F1174" s="69">
        <v>3.5669302702440585E-2</v>
      </c>
    </row>
    <row r="1175" spans="1:6" x14ac:dyDescent="0.3">
      <c r="A1175" s="24">
        <v>36053</v>
      </c>
      <c r="B1175" s="66">
        <v>340.303</v>
      </c>
      <c r="C1175" s="67"/>
      <c r="D1175" s="68">
        <v>0</v>
      </c>
      <c r="E1175" s="110">
        <f t="shared" si="19"/>
        <v>37193</v>
      </c>
      <c r="F1175" s="69">
        <v>3.5669302702440585E-2</v>
      </c>
    </row>
    <row r="1176" spans="1:6" x14ac:dyDescent="0.3">
      <c r="A1176" s="24">
        <v>36054</v>
      </c>
      <c r="B1176" s="66">
        <v>340.303</v>
      </c>
      <c r="C1176" s="67"/>
      <c r="D1176" s="68">
        <v>0</v>
      </c>
      <c r="E1176" s="110">
        <f t="shared" si="19"/>
        <v>37193</v>
      </c>
      <c r="F1176" s="69">
        <v>3.5669302702440585E-2</v>
      </c>
    </row>
    <row r="1177" spans="1:6" x14ac:dyDescent="0.3">
      <c r="A1177" s="24">
        <v>36055</v>
      </c>
      <c r="B1177" s="66">
        <v>340.303</v>
      </c>
      <c r="C1177" s="67"/>
      <c r="D1177" s="68">
        <v>0</v>
      </c>
      <c r="E1177" s="110">
        <f t="shared" si="19"/>
        <v>37193</v>
      </c>
      <c r="F1177" s="69">
        <v>3.5669302702440585E-2</v>
      </c>
    </row>
    <row r="1178" spans="1:6" x14ac:dyDescent="0.3">
      <c r="A1178" s="24">
        <v>36056</v>
      </c>
      <c r="B1178" s="66">
        <v>340.303</v>
      </c>
      <c r="C1178" s="67"/>
      <c r="D1178" s="68">
        <v>0</v>
      </c>
      <c r="E1178" s="110">
        <f t="shared" si="19"/>
        <v>37193</v>
      </c>
      <c r="F1178" s="69">
        <v>3.5669302702440585E-2</v>
      </c>
    </row>
    <row r="1179" spans="1:6" x14ac:dyDescent="0.3">
      <c r="A1179" s="24">
        <v>36057</v>
      </c>
      <c r="B1179" s="66">
        <v>340.303</v>
      </c>
      <c r="C1179" s="67"/>
      <c r="D1179" s="68">
        <v>0</v>
      </c>
      <c r="E1179" s="110">
        <f t="shared" si="19"/>
        <v>37193</v>
      </c>
      <c r="F1179" s="69">
        <v>3.5669302702440585E-2</v>
      </c>
    </row>
    <row r="1180" spans="1:6" x14ac:dyDescent="0.3">
      <c r="A1180" s="24">
        <v>36058</v>
      </c>
      <c r="B1180" s="66">
        <v>340.303</v>
      </c>
      <c r="C1180" s="67"/>
      <c r="D1180" s="68">
        <v>0</v>
      </c>
      <c r="E1180" s="110">
        <f t="shared" si="19"/>
        <v>37193</v>
      </c>
      <c r="F1180" s="69">
        <v>3.5669302702440585E-2</v>
      </c>
    </row>
    <row r="1181" spans="1:6" x14ac:dyDescent="0.3">
      <c r="A1181" s="24">
        <v>36059</v>
      </c>
      <c r="B1181" s="66">
        <v>340.303</v>
      </c>
      <c r="C1181" s="67"/>
      <c r="D1181" s="68">
        <v>0</v>
      </c>
      <c r="E1181" s="110">
        <f t="shared" si="19"/>
        <v>37193</v>
      </c>
      <c r="F1181" s="69">
        <v>3.5669302702440585E-2</v>
      </c>
    </row>
    <row r="1182" spans="1:6" x14ac:dyDescent="0.3">
      <c r="A1182" s="24">
        <v>36060</v>
      </c>
      <c r="B1182" s="66">
        <v>340.303</v>
      </c>
      <c r="C1182" s="67"/>
      <c r="D1182" s="68">
        <v>0</v>
      </c>
      <c r="E1182" s="110">
        <f t="shared" si="19"/>
        <v>37193</v>
      </c>
      <c r="F1182" s="69">
        <v>3.5669302702440585E-2</v>
      </c>
    </row>
    <row r="1183" spans="1:6" x14ac:dyDescent="0.3">
      <c r="A1183" s="24">
        <v>36061</v>
      </c>
      <c r="B1183" s="66">
        <v>340.303</v>
      </c>
      <c r="C1183" s="67"/>
      <c r="D1183" s="68">
        <v>0</v>
      </c>
      <c r="E1183" s="110">
        <f t="shared" si="19"/>
        <v>37193</v>
      </c>
      <c r="F1183" s="69">
        <v>3.5669302702440585E-2</v>
      </c>
    </row>
    <row r="1184" spans="1:6" x14ac:dyDescent="0.3">
      <c r="A1184" s="24">
        <v>36062</v>
      </c>
      <c r="B1184" s="66">
        <v>340.303</v>
      </c>
      <c r="C1184" s="67"/>
      <c r="D1184" s="68">
        <v>0</v>
      </c>
      <c r="E1184" s="110">
        <f t="shared" si="19"/>
        <v>37193</v>
      </c>
      <c r="F1184" s="69">
        <v>3.5669302702440585E-2</v>
      </c>
    </row>
    <row r="1185" spans="1:6" x14ac:dyDescent="0.3">
      <c r="A1185" s="24">
        <v>36063</v>
      </c>
      <c r="B1185" s="66">
        <v>340.303</v>
      </c>
      <c r="C1185" s="67"/>
      <c r="D1185" s="68">
        <v>0</v>
      </c>
      <c r="E1185" s="110">
        <f t="shared" si="19"/>
        <v>37193</v>
      </c>
      <c r="F1185" s="69">
        <v>3.5669302702440585E-2</v>
      </c>
    </row>
    <row r="1186" spans="1:6" x14ac:dyDescent="0.3">
      <c r="A1186" s="24">
        <v>36064</v>
      </c>
      <c r="B1186" s="66">
        <v>340.303</v>
      </c>
      <c r="C1186" s="67"/>
      <c r="D1186" s="68">
        <v>0</v>
      </c>
      <c r="E1186" s="110">
        <f t="shared" si="19"/>
        <v>37193</v>
      </c>
      <c r="F1186" s="69">
        <v>3.5669302702440585E-2</v>
      </c>
    </row>
    <row r="1187" spans="1:6" x14ac:dyDescent="0.3">
      <c r="A1187" s="24">
        <v>36065</v>
      </c>
      <c r="B1187" s="66">
        <v>340.303</v>
      </c>
      <c r="C1187" s="67"/>
      <c r="D1187" s="68">
        <v>0</v>
      </c>
      <c r="E1187" s="110">
        <f t="shared" si="19"/>
        <v>37193</v>
      </c>
      <c r="F1187" s="69">
        <v>3.5669302702440585E-2</v>
      </c>
    </row>
    <row r="1188" spans="1:6" x14ac:dyDescent="0.3">
      <c r="A1188" s="24">
        <v>36066</v>
      </c>
      <c r="B1188" s="66">
        <v>340.303</v>
      </c>
      <c r="C1188" s="67"/>
      <c r="D1188" s="68">
        <v>0</v>
      </c>
      <c r="E1188" s="110">
        <f t="shared" si="19"/>
        <v>37193</v>
      </c>
      <c r="F1188" s="69">
        <v>3.5669302702440585E-2</v>
      </c>
    </row>
    <row r="1189" spans="1:6" x14ac:dyDescent="0.3">
      <c r="A1189" s="24">
        <v>36067</v>
      </c>
      <c r="B1189" s="66">
        <v>340.303</v>
      </c>
      <c r="C1189" s="67"/>
      <c r="D1189" s="68">
        <v>0</v>
      </c>
      <c r="E1189" s="110">
        <f t="shared" si="19"/>
        <v>37193</v>
      </c>
      <c r="F1189" s="69">
        <v>3.3507218746125549E-2</v>
      </c>
    </row>
    <row r="1190" spans="1:6" x14ac:dyDescent="0.3">
      <c r="A1190" s="24">
        <v>36068</v>
      </c>
      <c r="B1190" s="66">
        <v>347.94899999999996</v>
      </c>
      <c r="C1190" s="67"/>
      <c r="D1190" s="68">
        <v>0</v>
      </c>
      <c r="E1190" s="110">
        <f t="shared" si="19"/>
        <v>37193</v>
      </c>
      <c r="F1190" s="69">
        <v>3.3507218746125549E-2</v>
      </c>
    </row>
    <row r="1191" spans="1:6" x14ac:dyDescent="0.3">
      <c r="A1191" s="24">
        <v>36069</v>
      </c>
      <c r="B1191" s="66">
        <v>347.94899999999996</v>
      </c>
      <c r="C1191" s="67"/>
      <c r="D1191" s="68">
        <v>0</v>
      </c>
      <c r="E1191" s="110">
        <f t="shared" si="19"/>
        <v>37193</v>
      </c>
      <c r="F1191" s="69">
        <v>3.3507218746125549E-2</v>
      </c>
    </row>
    <row r="1192" spans="1:6" x14ac:dyDescent="0.3">
      <c r="A1192" s="24">
        <v>36070</v>
      </c>
      <c r="B1192" s="66">
        <v>347.94899999999996</v>
      </c>
      <c r="C1192" s="67"/>
      <c r="D1192" s="68">
        <v>0</v>
      </c>
      <c r="E1192" s="110">
        <f t="shared" si="19"/>
        <v>37193</v>
      </c>
      <c r="F1192" s="69">
        <v>3.3507218746125549E-2</v>
      </c>
    </row>
    <row r="1193" spans="1:6" x14ac:dyDescent="0.3">
      <c r="A1193" s="24">
        <v>36071</v>
      </c>
      <c r="B1193" s="66">
        <v>347.94899999999996</v>
      </c>
      <c r="C1193" s="67"/>
      <c r="D1193" s="68">
        <v>0</v>
      </c>
      <c r="E1193" s="110">
        <f t="shared" si="19"/>
        <v>37193</v>
      </c>
      <c r="F1193" s="69">
        <v>3.3507218746125549E-2</v>
      </c>
    </row>
    <row r="1194" spans="1:6" x14ac:dyDescent="0.3">
      <c r="A1194" s="24">
        <v>36072</v>
      </c>
      <c r="B1194" s="66">
        <v>347.94899999999996</v>
      </c>
      <c r="C1194" s="67"/>
      <c r="D1194" s="68">
        <v>0</v>
      </c>
      <c r="E1194" s="110">
        <f t="shared" si="19"/>
        <v>37193</v>
      </c>
      <c r="F1194" s="69">
        <v>3.3507218746125549E-2</v>
      </c>
    </row>
    <row r="1195" spans="1:6" x14ac:dyDescent="0.3">
      <c r="A1195" s="24">
        <v>36073</v>
      </c>
      <c r="B1195" s="66">
        <v>347.94899999999996</v>
      </c>
      <c r="C1195" s="67"/>
      <c r="D1195" s="68">
        <v>0</v>
      </c>
      <c r="E1195" s="110">
        <f t="shared" si="19"/>
        <v>37193</v>
      </c>
      <c r="F1195" s="69">
        <v>3.3507218746125549E-2</v>
      </c>
    </row>
    <row r="1196" spans="1:6" x14ac:dyDescent="0.3">
      <c r="A1196" s="24">
        <v>36074</v>
      </c>
      <c r="B1196" s="66">
        <v>347.94899999999996</v>
      </c>
      <c r="C1196" s="67"/>
      <c r="D1196" s="68">
        <v>0</v>
      </c>
      <c r="E1196" s="110">
        <f t="shared" si="19"/>
        <v>37193</v>
      </c>
      <c r="F1196" s="69">
        <v>3.3507218746125549E-2</v>
      </c>
    </row>
    <row r="1197" spans="1:6" x14ac:dyDescent="0.3">
      <c r="A1197" s="24">
        <v>36075</v>
      </c>
      <c r="B1197" s="66">
        <v>347.94899999999996</v>
      </c>
      <c r="C1197" s="67"/>
      <c r="D1197" s="68">
        <v>0</v>
      </c>
      <c r="E1197" s="110">
        <f t="shared" si="19"/>
        <v>37193</v>
      </c>
      <c r="F1197" s="69">
        <v>3.3507218746125549E-2</v>
      </c>
    </row>
    <row r="1198" spans="1:6" x14ac:dyDescent="0.3">
      <c r="A1198" s="24">
        <v>36076</v>
      </c>
      <c r="B1198" s="66">
        <v>347.94899999999996</v>
      </c>
      <c r="C1198" s="67"/>
      <c r="D1198" s="68">
        <v>0</v>
      </c>
      <c r="E1198" s="110">
        <f t="shared" si="19"/>
        <v>37193</v>
      </c>
      <c r="F1198" s="69">
        <v>3.3507218746125549E-2</v>
      </c>
    </row>
    <row r="1199" spans="1:6" x14ac:dyDescent="0.3">
      <c r="A1199" s="24">
        <v>36077</v>
      </c>
      <c r="B1199" s="66">
        <v>347.94899999999996</v>
      </c>
      <c r="C1199" s="67"/>
      <c r="D1199" s="68">
        <v>0</v>
      </c>
      <c r="E1199" s="110">
        <f t="shared" si="19"/>
        <v>37193</v>
      </c>
      <c r="F1199" s="69">
        <v>3.3507218746125549E-2</v>
      </c>
    </row>
    <row r="1200" spans="1:6" x14ac:dyDescent="0.3">
      <c r="A1200" s="24">
        <v>36078</v>
      </c>
      <c r="B1200" s="66">
        <v>347.94899999999996</v>
      </c>
      <c r="C1200" s="67"/>
      <c r="D1200" s="68">
        <v>0</v>
      </c>
      <c r="E1200" s="110">
        <f t="shared" si="19"/>
        <v>37193</v>
      </c>
      <c r="F1200" s="69">
        <v>3.3507218746125549E-2</v>
      </c>
    </row>
    <row r="1201" spans="1:6" x14ac:dyDescent="0.3">
      <c r="A1201" s="24">
        <v>36079</v>
      </c>
      <c r="B1201" s="66">
        <v>347.94899999999996</v>
      </c>
      <c r="C1201" s="67"/>
      <c r="D1201" s="68">
        <v>0</v>
      </c>
      <c r="E1201" s="110">
        <f t="shared" si="19"/>
        <v>37193</v>
      </c>
      <c r="F1201" s="69">
        <v>3.3507218746125549E-2</v>
      </c>
    </row>
    <row r="1202" spans="1:6" x14ac:dyDescent="0.3">
      <c r="A1202" s="24">
        <v>36080</v>
      </c>
      <c r="B1202" s="66">
        <v>347.94899999999996</v>
      </c>
      <c r="C1202" s="67"/>
      <c r="D1202" s="68">
        <v>0</v>
      </c>
      <c r="E1202" s="110">
        <f t="shared" si="19"/>
        <v>37193</v>
      </c>
      <c r="F1202" s="69">
        <v>3.3507218746125549E-2</v>
      </c>
    </row>
    <row r="1203" spans="1:6" x14ac:dyDescent="0.3">
      <c r="A1203" s="24">
        <v>36081</v>
      </c>
      <c r="B1203" s="66">
        <v>347.94899999999996</v>
      </c>
      <c r="C1203" s="67"/>
      <c r="D1203" s="68">
        <v>0</v>
      </c>
      <c r="E1203" s="110">
        <f t="shared" si="19"/>
        <v>37193</v>
      </c>
      <c r="F1203" s="69">
        <v>3.3507218746125549E-2</v>
      </c>
    </row>
    <row r="1204" spans="1:6" x14ac:dyDescent="0.3">
      <c r="A1204" s="24">
        <v>36082</v>
      </c>
      <c r="B1204" s="66">
        <v>347.94899999999996</v>
      </c>
      <c r="C1204" s="67"/>
      <c r="D1204" s="68">
        <v>0</v>
      </c>
      <c r="E1204" s="110">
        <f t="shared" si="19"/>
        <v>37193</v>
      </c>
      <c r="F1204" s="69">
        <v>3.3507218746125549E-2</v>
      </c>
    </row>
    <row r="1205" spans="1:6" x14ac:dyDescent="0.3">
      <c r="A1205" s="24">
        <v>36083</v>
      </c>
      <c r="B1205" s="66">
        <v>347.94899999999996</v>
      </c>
      <c r="C1205" s="67"/>
      <c r="D1205" s="68">
        <v>0</v>
      </c>
      <c r="E1205" s="110">
        <f t="shared" si="19"/>
        <v>37193</v>
      </c>
      <c r="F1205" s="69">
        <v>3.3507218746125549E-2</v>
      </c>
    </row>
    <row r="1206" spans="1:6" x14ac:dyDescent="0.3">
      <c r="A1206" s="24">
        <v>36084</v>
      </c>
      <c r="B1206" s="66">
        <v>347.94899999999996</v>
      </c>
      <c r="C1206" s="67"/>
      <c r="D1206" s="68">
        <v>0</v>
      </c>
      <c r="E1206" s="110">
        <f t="shared" si="19"/>
        <v>37193</v>
      </c>
      <c r="F1206" s="69">
        <v>3.3507218746125549E-2</v>
      </c>
    </row>
    <row r="1207" spans="1:6" x14ac:dyDescent="0.3">
      <c r="A1207" s="24">
        <v>36085</v>
      </c>
      <c r="B1207" s="66">
        <v>347.94899999999996</v>
      </c>
      <c r="C1207" s="67"/>
      <c r="D1207" s="68">
        <v>0</v>
      </c>
      <c r="E1207" s="110">
        <f t="shared" si="19"/>
        <v>37193</v>
      </c>
      <c r="F1207" s="69">
        <v>3.3507218746125549E-2</v>
      </c>
    </row>
    <row r="1208" spans="1:6" x14ac:dyDescent="0.3">
      <c r="A1208" s="24">
        <v>36086</v>
      </c>
      <c r="B1208" s="66">
        <v>347.94899999999996</v>
      </c>
      <c r="C1208" s="67"/>
      <c r="D1208" s="68">
        <v>0</v>
      </c>
      <c r="E1208" s="110">
        <f t="shared" si="19"/>
        <v>37193</v>
      </c>
      <c r="F1208" s="69">
        <v>3.3507218746125549E-2</v>
      </c>
    </row>
    <row r="1209" spans="1:6" x14ac:dyDescent="0.3">
      <c r="A1209" s="24">
        <v>36087</v>
      </c>
      <c r="B1209" s="66">
        <v>347.94899999999996</v>
      </c>
      <c r="C1209" s="67"/>
      <c r="D1209" s="68">
        <v>0</v>
      </c>
      <c r="E1209" s="110">
        <f t="shared" si="19"/>
        <v>37193</v>
      </c>
      <c r="F1209" s="69">
        <v>3.3507218746125549E-2</v>
      </c>
    </row>
    <row r="1210" spans="1:6" x14ac:dyDescent="0.3">
      <c r="A1210" s="24">
        <v>36088</v>
      </c>
      <c r="B1210" s="66">
        <v>347.94899999999996</v>
      </c>
      <c r="C1210" s="67"/>
      <c r="D1210" s="68">
        <v>0</v>
      </c>
      <c r="E1210" s="110">
        <f t="shared" si="19"/>
        <v>37193</v>
      </c>
      <c r="F1210" s="69">
        <v>3.3507218746125549E-2</v>
      </c>
    </row>
    <row r="1211" spans="1:6" x14ac:dyDescent="0.3">
      <c r="A1211" s="24">
        <v>36089</v>
      </c>
      <c r="B1211" s="66">
        <v>347.94899999999996</v>
      </c>
      <c r="C1211" s="67"/>
      <c r="D1211" s="68">
        <v>0</v>
      </c>
      <c r="E1211" s="110">
        <f t="shared" si="19"/>
        <v>37193</v>
      </c>
      <c r="F1211" s="69">
        <v>3.3507218746125549E-2</v>
      </c>
    </row>
    <row r="1212" spans="1:6" x14ac:dyDescent="0.3">
      <c r="A1212" s="24">
        <v>36090</v>
      </c>
      <c r="B1212" s="66">
        <v>347.94899999999996</v>
      </c>
      <c r="C1212" s="67"/>
      <c r="D1212" s="68">
        <v>0</v>
      </c>
      <c r="E1212" s="110">
        <f t="shared" si="19"/>
        <v>37193</v>
      </c>
      <c r="F1212" s="69">
        <v>3.3507218746125549E-2</v>
      </c>
    </row>
    <row r="1213" spans="1:6" x14ac:dyDescent="0.3">
      <c r="A1213" s="24">
        <v>36091</v>
      </c>
      <c r="B1213" s="66">
        <v>347.94899999999996</v>
      </c>
      <c r="C1213" s="67"/>
      <c r="D1213" s="68">
        <v>0</v>
      </c>
      <c r="E1213" s="110">
        <f t="shared" si="19"/>
        <v>37193</v>
      </c>
      <c r="F1213" s="69">
        <v>3.3507218746125549E-2</v>
      </c>
    </row>
    <row r="1214" spans="1:6" x14ac:dyDescent="0.3">
      <c r="A1214" s="24">
        <v>36092</v>
      </c>
      <c r="B1214" s="66">
        <v>347.94899999999996</v>
      </c>
      <c r="C1214" s="67"/>
      <c r="D1214" s="68">
        <v>0</v>
      </c>
      <c r="E1214" s="110">
        <f t="shared" si="19"/>
        <v>37193</v>
      </c>
      <c r="F1214" s="69">
        <v>3.3507218746125549E-2</v>
      </c>
    </row>
    <row r="1215" spans="1:6" x14ac:dyDescent="0.3">
      <c r="A1215" s="24">
        <v>36093</v>
      </c>
      <c r="B1215" s="66">
        <v>347.94899999999996</v>
      </c>
      <c r="C1215" s="67"/>
      <c r="D1215" s="68">
        <v>0</v>
      </c>
      <c r="E1215" s="110">
        <f t="shared" si="19"/>
        <v>37193</v>
      </c>
      <c r="F1215" s="69">
        <v>3.3507218746125549E-2</v>
      </c>
    </row>
    <row r="1216" spans="1:6" x14ac:dyDescent="0.3">
      <c r="A1216" s="24">
        <v>36094</v>
      </c>
      <c r="B1216" s="66">
        <v>347.94899999999996</v>
      </c>
      <c r="C1216" s="67"/>
      <c r="D1216" s="68">
        <v>0</v>
      </c>
      <c r="E1216" s="110">
        <f t="shared" si="19"/>
        <v>37193</v>
      </c>
      <c r="F1216" s="69">
        <v>3.3507218746125549E-2</v>
      </c>
    </row>
    <row r="1217" spans="1:6" x14ac:dyDescent="0.3">
      <c r="A1217" s="24">
        <v>36095</v>
      </c>
      <c r="B1217" s="66">
        <v>347.94899999999996</v>
      </c>
      <c r="C1217" s="67"/>
      <c r="D1217" s="68">
        <v>0</v>
      </c>
      <c r="E1217" s="110">
        <f t="shared" si="19"/>
        <v>37193</v>
      </c>
      <c r="F1217" s="69">
        <v>3.3507218746125549E-2</v>
      </c>
    </row>
    <row r="1218" spans="1:6" x14ac:dyDescent="0.3">
      <c r="A1218" s="24">
        <v>36096</v>
      </c>
      <c r="B1218" s="66">
        <v>347.94899999999996</v>
      </c>
      <c r="C1218" s="67"/>
      <c r="D1218" s="68">
        <v>0</v>
      </c>
      <c r="E1218" s="110">
        <f t="shared" si="19"/>
        <v>37193</v>
      </c>
      <c r="F1218" s="69">
        <v>3.3507218746125549E-2</v>
      </c>
    </row>
    <row r="1219" spans="1:6" x14ac:dyDescent="0.3">
      <c r="A1219" s="24">
        <v>36097</v>
      </c>
      <c r="B1219" s="66">
        <v>347.94899999999996</v>
      </c>
      <c r="C1219" s="67"/>
      <c r="D1219" s="68">
        <v>0</v>
      </c>
      <c r="E1219" s="110">
        <f t="shared" si="19"/>
        <v>37193</v>
      </c>
      <c r="F1219" s="69">
        <v>3.3507218746125549E-2</v>
      </c>
    </row>
    <row r="1220" spans="1:6" x14ac:dyDescent="0.3">
      <c r="A1220" s="24">
        <v>36098</v>
      </c>
      <c r="B1220" s="66">
        <v>347.94899999999996</v>
      </c>
      <c r="C1220" s="67"/>
      <c r="D1220" s="68">
        <v>0</v>
      </c>
      <c r="E1220" s="110">
        <f t="shared" si="19"/>
        <v>37193</v>
      </c>
      <c r="F1220" s="69">
        <v>3.3507218746125549E-2</v>
      </c>
    </row>
    <row r="1221" spans="1:6" x14ac:dyDescent="0.3">
      <c r="A1221" s="24">
        <v>36099</v>
      </c>
      <c r="B1221" s="66">
        <v>347.94899999999996</v>
      </c>
      <c r="C1221" s="67"/>
      <c r="D1221" s="68">
        <v>0</v>
      </c>
      <c r="E1221" s="110">
        <f t="shared" si="19"/>
        <v>37193</v>
      </c>
      <c r="F1221" s="69">
        <v>3.3507218746125549E-2</v>
      </c>
    </row>
    <row r="1222" spans="1:6" x14ac:dyDescent="0.3">
      <c r="A1222" s="24">
        <v>36100</v>
      </c>
      <c r="B1222" s="66">
        <v>347.94899999999996</v>
      </c>
      <c r="C1222" s="67"/>
      <c r="D1222" s="68">
        <v>0</v>
      </c>
      <c r="E1222" s="110">
        <f t="shared" si="19"/>
        <v>37193</v>
      </c>
      <c r="F1222" s="69">
        <v>3.3507218746125549E-2</v>
      </c>
    </row>
    <row r="1223" spans="1:6" x14ac:dyDescent="0.3">
      <c r="A1223" s="24">
        <v>36101</v>
      </c>
      <c r="B1223" s="66">
        <v>347.94899999999996</v>
      </c>
      <c r="C1223" s="67"/>
      <c r="D1223" s="68">
        <v>0</v>
      </c>
      <c r="E1223" s="110">
        <f t="shared" si="19"/>
        <v>37193</v>
      </c>
      <c r="F1223" s="69">
        <v>3.3507218746125549E-2</v>
      </c>
    </row>
    <row r="1224" spans="1:6" x14ac:dyDescent="0.3">
      <c r="A1224" s="24">
        <v>36102</v>
      </c>
      <c r="B1224" s="66">
        <v>347.94899999999996</v>
      </c>
      <c r="C1224" s="67"/>
      <c r="D1224" s="68">
        <v>0</v>
      </c>
      <c r="E1224" s="110">
        <f t="shared" si="19"/>
        <v>37193</v>
      </c>
      <c r="F1224" s="69">
        <v>3.3507218746125549E-2</v>
      </c>
    </row>
    <row r="1225" spans="1:6" x14ac:dyDescent="0.3">
      <c r="A1225" s="24">
        <v>36103</v>
      </c>
      <c r="B1225" s="66">
        <v>347.94899999999996</v>
      </c>
      <c r="C1225" s="67"/>
      <c r="D1225" s="68">
        <v>0</v>
      </c>
      <c r="E1225" s="110">
        <f t="shared" si="19"/>
        <v>37193</v>
      </c>
      <c r="F1225" s="69">
        <v>3.3507218746125549E-2</v>
      </c>
    </row>
    <row r="1226" spans="1:6" x14ac:dyDescent="0.3">
      <c r="A1226" s="24">
        <v>36104</v>
      </c>
      <c r="B1226" s="66">
        <v>347.94899999999996</v>
      </c>
      <c r="C1226" s="67"/>
      <c r="D1226" s="68">
        <v>0</v>
      </c>
      <c r="E1226" s="110">
        <f t="shared" si="19"/>
        <v>37193</v>
      </c>
      <c r="F1226" s="69">
        <v>3.3507218746125549E-2</v>
      </c>
    </row>
    <row r="1227" spans="1:6" x14ac:dyDescent="0.3">
      <c r="A1227" s="24">
        <v>36105</v>
      </c>
      <c r="B1227" s="66">
        <v>347.94899999999996</v>
      </c>
      <c r="C1227" s="67"/>
      <c r="D1227" s="68">
        <v>0</v>
      </c>
      <c r="E1227" s="110">
        <f t="shared" si="19"/>
        <v>37193</v>
      </c>
      <c r="F1227" s="69">
        <v>3.3507218746125549E-2</v>
      </c>
    </row>
    <row r="1228" spans="1:6" x14ac:dyDescent="0.3">
      <c r="A1228" s="24">
        <v>36106</v>
      </c>
      <c r="B1228" s="66">
        <v>347.94899999999996</v>
      </c>
      <c r="C1228" s="67"/>
      <c r="D1228" s="68">
        <v>0</v>
      </c>
      <c r="E1228" s="110">
        <f t="shared" si="19"/>
        <v>37193</v>
      </c>
      <c r="F1228" s="69">
        <v>3.3507218746125549E-2</v>
      </c>
    </row>
    <row r="1229" spans="1:6" x14ac:dyDescent="0.3">
      <c r="A1229" s="24">
        <v>36107</v>
      </c>
      <c r="B1229" s="66">
        <v>347.94899999999996</v>
      </c>
      <c r="C1229" s="67"/>
      <c r="D1229" s="68">
        <v>0</v>
      </c>
      <c r="E1229" s="110">
        <f t="shared" si="19"/>
        <v>37193</v>
      </c>
      <c r="F1229" s="69">
        <v>3.3507218746125549E-2</v>
      </c>
    </row>
    <row r="1230" spans="1:6" x14ac:dyDescent="0.3">
      <c r="A1230" s="24">
        <v>36108</v>
      </c>
      <c r="B1230" s="66">
        <v>347.94899999999996</v>
      </c>
      <c r="C1230" s="67"/>
      <c r="D1230" s="68">
        <v>0</v>
      </c>
      <c r="E1230" s="110">
        <f t="shared" si="19"/>
        <v>37193</v>
      </c>
      <c r="F1230" s="69">
        <v>3.3507218746125549E-2</v>
      </c>
    </row>
    <row r="1231" spans="1:6" x14ac:dyDescent="0.3">
      <c r="A1231" s="24">
        <v>36109</v>
      </c>
      <c r="B1231" s="66">
        <v>347.94899999999996</v>
      </c>
      <c r="C1231" s="67"/>
      <c r="D1231" s="68">
        <v>0</v>
      </c>
      <c r="E1231" s="110">
        <f t="shared" si="19"/>
        <v>37193</v>
      </c>
      <c r="F1231" s="69">
        <v>3.3507218746125549E-2</v>
      </c>
    </row>
    <row r="1232" spans="1:6" x14ac:dyDescent="0.3">
      <c r="A1232" s="24">
        <v>36110</v>
      </c>
      <c r="B1232" s="66">
        <v>347.94899999999996</v>
      </c>
      <c r="C1232" s="67"/>
      <c r="D1232" s="68">
        <v>0</v>
      </c>
      <c r="E1232" s="110">
        <f t="shared" si="19"/>
        <v>37193</v>
      </c>
      <c r="F1232" s="69">
        <v>3.3507218746125549E-2</v>
      </c>
    </row>
    <row r="1233" spans="1:6" x14ac:dyDescent="0.3">
      <c r="A1233" s="24">
        <v>36111</v>
      </c>
      <c r="B1233" s="66">
        <v>347.94899999999996</v>
      </c>
      <c r="C1233" s="67"/>
      <c r="D1233" s="68">
        <v>0</v>
      </c>
      <c r="E1233" s="110">
        <f t="shared" si="19"/>
        <v>37193</v>
      </c>
      <c r="F1233" s="69">
        <v>3.3507218746125549E-2</v>
      </c>
    </row>
    <row r="1234" spans="1:6" x14ac:dyDescent="0.3">
      <c r="A1234" s="24">
        <v>36112</v>
      </c>
      <c r="B1234" s="66">
        <v>347.94899999999996</v>
      </c>
      <c r="C1234" s="67"/>
      <c r="D1234" s="68">
        <v>0</v>
      </c>
      <c r="E1234" s="110">
        <f t="shared" ref="E1234:E1297" si="20">+E1233</f>
        <v>37193</v>
      </c>
      <c r="F1234" s="69">
        <v>3.3507218746125549E-2</v>
      </c>
    </row>
    <row r="1235" spans="1:6" x14ac:dyDescent="0.3">
      <c r="A1235" s="24">
        <v>36113</v>
      </c>
      <c r="B1235" s="66">
        <v>347.94899999999996</v>
      </c>
      <c r="C1235" s="67"/>
      <c r="D1235" s="68">
        <v>0</v>
      </c>
      <c r="E1235" s="110">
        <f t="shared" si="20"/>
        <v>37193</v>
      </c>
      <c r="F1235" s="69">
        <v>3.3507218746125549E-2</v>
      </c>
    </row>
    <row r="1236" spans="1:6" x14ac:dyDescent="0.3">
      <c r="A1236" s="24">
        <v>36114</v>
      </c>
      <c r="B1236" s="66">
        <v>347.94899999999996</v>
      </c>
      <c r="C1236" s="67"/>
      <c r="D1236" s="68">
        <v>0</v>
      </c>
      <c r="E1236" s="110">
        <f t="shared" si="20"/>
        <v>37193</v>
      </c>
      <c r="F1236" s="69">
        <v>3.3507218746125549E-2</v>
      </c>
    </row>
    <row r="1237" spans="1:6" x14ac:dyDescent="0.3">
      <c r="A1237" s="24">
        <v>36115</v>
      </c>
      <c r="B1237" s="66">
        <v>347.94899999999996</v>
      </c>
      <c r="C1237" s="67"/>
      <c r="D1237" s="68">
        <v>0</v>
      </c>
      <c r="E1237" s="110">
        <f t="shared" si="20"/>
        <v>37193</v>
      </c>
      <c r="F1237" s="69">
        <v>3.3507218746125549E-2</v>
      </c>
    </row>
    <row r="1238" spans="1:6" x14ac:dyDescent="0.3">
      <c r="A1238" s="24">
        <v>36116</v>
      </c>
      <c r="B1238" s="66">
        <v>347.94899999999996</v>
      </c>
      <c r="C1238" s="67"/>
      <c r="D1238" s="68">
        <v>0</v>
      </c>
      <c r="E1238" s="110">
        <f t="shared" si="20"/>
        <v>37193</v>
      </c>
      <c r="F1238" s="69">
        <v>3.3507218746125549E-2</v>
      </c>
    </row>
    <row r="1239" spans="1:6" x14ac:dyDescent="0.3">
      <c r="A1239" s="24">
        <v>36117</v>
      </c>
      <c r="B1239" s="66">
        <v>347.94899999999996</v>
      </c>
      <c r="C1239" s="67"/>
      <c r="D1239" s="68">
        <v>0</v>
      </c>
      <c r="E1239" s="110">
        <f t="shared" si="20"/>
        <v>37193</v>
      </c>
      <c r="F1239" s="69">
        <v>3.3507218746125549E-2</v>
      </c>
    </row>
    <row r="1240" spans="1:6" x14ac:dyDescent="0.3">
      <c r="A1240" s="24">
        <v>36118</v>
      </c>
      <c r="B1240" s="66">
        <v>347.94899999999996</v>
      </c>
      <c r="C1240" s="67"/>
      <c r="D1240" s="68">
        <v>0</v>
      </c>
      <c r="E1240" s="110">
        <f t="shared" si="20"/>
        <v>37193</v>
      </c>
      <c r="F1240" s="69">
        <v>3.3507218746125549E-2</v>
      </c>
    </row>
    <row r="1241" spans="1:6" x14ac:dyDescent="0.3">
      <c r="A1241" s="24">
        <v>36119</v>
      </c>
      <c r="B1241" s="66">
        <v>347.94899999999996</v>
      </c>
      <c r="C1241" s="67"/>
      <c r="D1241" s="68">
        <v>0</v>
      </c>
      <c r="E1241" s="110">
        <f t="shared" si="20"/>
        <v>37193</v>
      </c>
      <c r="F1241" s="69">
        <v>3.3507218746125549E-2</v>
      </c>
    </row>
    <row r="1242" spans="1:6" x14ac:dyDescent="0.3">
      <c r="A1242" s="24">
        <v>36120</v>
      </c>
      <c r="B1242" s="66">
        <v>347.94899999999996</v>
      </c>
      <c r="C1242" s="67"/>
      <c r="D1242" s="68">
        <v>0</v>
      </c>
      <c r="E1242" s="110">
        <f t="shared" si="20"/>
        <v>37193</v>
      </c>
      <c r="F1242" s="69">
        <v>3.3507218746125549E-2</v>
      </c>
    </row>
    <row r="1243" spans="1:6" x14ac:dyDescent="0.3">
      <c r="A1243" s="24">
        <v>36121</v>
      </c>
      <c r="B1243" s="66">
        <v>347.94899999999996</v>
      </c>
      <c r="C1243" s="67"/>
      <c r="D1243" s="68">
        <v>0</v>
      </c>
      <c r="E1243" s="110">
        <f t="shared" si="20"/>
        <v>37193</v>
      </c>
      <c r="F1243" s="69">
        <v>3.3507218746125549E-2</v>
      </c>
    </row>
    <row r="1244" spans="1:6" x14ac:dyDescent="0.3">
      <c r="A1244" s="24">
        <v>36122</v>
      </c>
      <c r="B1244" s="66">
        <v>347.94899999999996</v>
      </c>
      <c r="C1244" s="67"/>
      <c r="D1244" s="68">
        <v>0</v>
      </c>
      <c r="E1244" s="110">
        <f t="shared" si="20"/>
        <v>37193</v>
      </c>
      <c r="F1244" s="69">
        <v>3.3507218746125549E-2</v>
      </c>
    </row>
    <row r="1245" spans="1:6" x14ac:dyDescent="0.3">
      <c r="A1245" s="24">
        <v>36123</v>
      </c>
      <c r="B1245" s="66">
        <v>347.94899999999996</v>
      </c>
      <c r="C1245" s="67"/>
      <c r="D1245" s="68">
        <v>0</v>
      </c>
      <c r="E1245" s="110">
        <f t="shared" si="20"/>
        <v>37193</v>
      </c>
      <c r="F1245" s="69">
        <v>3.3507218746125549E-2</v>
      </c>
    </row>
    <row r="1246" spans="1:6" x14ac:dyDescent="0.3">
      <c r="A1246" s="24">
        <v>36124</v>
      </c>
      <c r="B1246" s="66">
        <v>347.94899999999996</v>
      </c>
      <c r="C1246" s="67"/>
      <c r="D1246" s="68">
        <v>0</v>
      </c>
      <c r="E1246" s="110">
        <f t="shared" si="20"/>
        <v>37193</v>
      </c>
      <c r="F1246" s="69">
        <v>3.3507218746125549E-2</v>
      </c>
    </row>
    <row r="1247" spans="1:6" x14ac:dyDescent="0.3">
      <c r="A1247" s="24">
        <v>36125</v>
      </c>
      <c r="B1247" s="66">
        <v>347.94899999999996</v>
      </c>
      <c r="C1247" s="67"/>
      <c r="D1247" s="68">
        <v>0</v>
      </c>
      <c r="E1247" s="110">
        <f t="shared" si="20"/>
        <v>37193</v>
      </c>
      <c r="F1247" s="69">
        <v>3.3507218746125549E-2</v>
      </c>
    </row>
    <row r="1248" spans="1:6" x14ac:dyDescent="0.3">
      <c r="A1248" s="24">
        <v>36126</v>
      </c>
      <c r="B1248" s="66">
        <v>347.94899999999996</v>
      </c>
      <c r="C1248" s="67"/>
      <c r="D1248" s="68">
        <v>0</v>
      </c>
      <c r="E1248" s="110">
        <f t="shared" si="20"/>
        <v>37193</v>
      </c>
      <c r="F1248" s="69">
        <v>3.3507218746125549E-2</v>
      </c>
    </row>
    <row r="1249" spans="1:6" x14ac:dyDescent="0.3">
      <c r="A1249" s="24">
        <v>36127</v>
      </c>
      <c r="B1249" s="66">
        <v>347.94899999999996</v>
      </c>
      <c r="C1249" s="67"/>
      <c r="D1249" s="68">
        <v>0</v>
      </c>
      <c r="E1249" s="110">
        <f t="shared" si="20"/>
        <v>37193</v>
      </c>
      <c r="F1249" s="69">
        <v>3.3507218746125549E-2</v>
      </c>
    </row>
    <row r="1250" spans="1:6" x14ac:dyDescent="0.3">
      <c r="A1250" s="24">
        <v>36128</v>
      </c>
      <c r="B1250" s="66">
        <v>347.94899999999996</v>
      </c>
      <c r="C1250" s="67"/>
      <c r="D1250" s="68">
        <v>0</v>
      </c>
      <c r="E1250" s="110">
        <f t="shared" si="20"/>
        <v>37193</v>
      </c>
      <c r="F1250" s="69">
        <v>3.3507218746125549E-2</v>
      </c>
    </row>
    <row r="1251" spans="1:6" x14ac:dyDescent="0.3">
      <c r="A1251" s="24">
        <v>36129</v>
      </c>
      <c r="B1251" s="66">
        <v>347.94899999999996</v>
      </c>
      <c r="C1251" s="67"/>
      <c r="D1251" s="68">
        <v>0</v>
      </c>
      <c r="E1251" s="110">
        <f t="shared" si="20"/>
        <v>37193</v>
      </c>
      <c r="F1251" s="69">
        <v>3.3507218746125549E-2</v>
      </c>
    </row>
    <row r="1252" spans="1:6" x14ac:dyDescent="0.3">
      <c r="A1252" s="24">
        <v>36130</v>
      </c>
      <c r="B1252" s="66">
        <v>347.94899999999996</v>
      </c>
      <c r="C1252" s="67"/>
      <c r="D1252" s="68">
        <v>0</v>
      </c>
      <c r="E1252" s="110">
        <f t="shared" si="20"/>
        <v>37193</v>
      </c>
      <c r="F1252" s="69">
        <v>3.3507218746125549E-2</v>
      </c>
    </row>
    <row r="1253" spans="1:6" x14ac:dyDescent="0.3">
      <c r="A1253" s="24">
        <v>36131</v>
      </c>
      <c r="B1253" s="66">
        <v>347.94899999999996</v>
      </c>
      <c r="C1253" s="67"/>
      <c r="D1253" s="68">
        <v>0</v>
      </c>
      <c r="E1253" s="110">
        <f t="shared" si="20"/>
        <v>37193</v>
      </c>
      <c r="F1253" s="69">
        <v>3.3507218746125549E-2</v>
      </c>
    </row>
    <row r="1254" spans="1:6" x14ac:dyDescent="0.3">
      <c r="A1254" s="24">
        <v>36132</v>
      </c>
      <c r="B1254" s="66">
        <v>347.94899999999996</v>
      </c>
      <c r="C1254" s="67"/>
      <c r="D1254" s="68">
        <v>0</v>
      </c>
      <c r="E1254" s="110">
        <f t="shared" si="20"/>
        <v>37193</v>
      </c>
      <c r="F1254" s="69">
        <v>3.3507218746125549E-2</v>
      </c>
    </row>
    <row r="1255" spans="1:6" x14ac:dyDescent="0.3">
      <c r="A1255" s="24">
        <v>36133</v>
      </c>
      <c r="B1255" s="66">
        <v>347.94899999999996</v>
      </c>
      <c r="C1255" s="67"/>
      <c r="D1255" s="68">
        <v>0</v>
      </c>
      <c r="E1255" s="110">
        <f t="shared" si="20"/>
        <v>37193</v>
      </c>
      <c r="F1255" s="69">
        <v>3.3507218746125549E-2</v>
      </c>
    </row>
    <row r="1256" spans="1:6" x14ac:dyDescent="0.3">
      <c r="A1256" s="24">
        <v>36134</v>
      </c>
      <c r="B1256" s="66">
        <v>347.94899999999996</v>
      </c>
      <c r="C1256" s="67"/>
      <c r="D1256" s="68">
        <v>0</v>
      </c>
      <c r="E1256" s="110">
        <f t="shared" si="20"/>
        <v>37193</v>
      </c>
      <c r="F1256" s="69">
        <v>3.3507218746125549E-2</v>
      </c>
    </row>
    <row r="1257" spans="1:6" x14ac:dyDescent="0.3">
      <c r="A1257" s="24">
        <v>36135</v>
      </c>
      <c r="B1257" s="66">
        <v>347.94899999999996</v>
      </c>
      <c r="C1257" s="67"/>
      <c r="D1257" s="68">
        <v>0</v>
      </c>
      <c r="E1257" s="110">
        <f t="shared" si="20"/>
        <v>37193</v>
      </c>
      <c r="F1257" s="69">
        <v>3.3507218746125549E-2</v>
      </c>
    </row>
    <row r="1258" spans="1:6" x14ac:dyDescent="0.3">
      <c r="A1258" s="24">
        <v>36136</v>
      </c>
      <c r="B1258" s="66">
        <v>347.94899999999996</v>
      </c>
      <c r="C1258" s="67"/>
      <c r="D1258" s="68">
        <v>0</v>
      </c>
      <c r="E1258" s="110">
        <f t="shared" si="20"/>
        <v>37193</v>
      </c>
      <c r="F1258" s="69">
        <v>3.3507218746125549E-2</v>
      </c>
    </row>
    <row r="1259" spans="1:6" x14ac:dyDescent="0.3">
      <c r="A1259" s="24">
        <v>36137</v>
      </c>
      <c r="B1259" s="66">
        <v>347.94899999999996</v>
      </c>
      <c r="C1259" s="67"/>
      <c r="D1259" s="68">
        <v>0</v>
      </c>
      <c r="E1259" s="110">
        <f t="shared" si="20"/>
        <v>37193</v>
      </c>
      <c r="F1259" s="69">
        <v>3.3507218746125549E-2</v>
      </c>
    </row>
    <row r="1260" spans="1:6" x14ac:dyDescent="0.3">
      <c r="A1260" s="24">
        <v>36138</v>
      </c>
      <c r="B1260" s="66">
        <v>347.94899999999996</v>
      </c>
      <c r="C1260" s="67"/>
      <c r="D1260" s="68">
        <v>0</v>
      </c>
      <c r="E1260" s="110">
        <f t="shared" si="20"/>
        <v>37193</v>
      </c>
      <c r="F1260" s="69">
        <v>3.3507218746125549E-2</v>
      </c>
    </row>
    <row r="1261" spans="1:6" x14ac:dyDescent="0.3">
      <c r="A1261" s="24">
        <v>36139</v>
      </c>
      <c r="B1261" s="66">
        <v>347.94899999999996</v>
      </c>
      <c r="C1261" s="67"/>
      <c r="D1261" s="68">
        <v>0</v>
      </c>
      <c r="E1261" s="110">
        <f t="shared" si="20"/>
        <v>37193</v>
      </c>
      <c r="F1261" s="69">
        <v>3.3507218746125549E-2</v>
      </c>
    </row>
    <row r="1262" spans="1:6" x14ac:dyDescent="0.3">
      <c r="A1262" s="24">
        <v>36140</v>
      </c>
      <c r="B1262" s="66">
        <v>347.94899999999996</v>
      </c>
      <c r="C1262" s="67"/>
      <c r="D1262" s="68">
        <v>0</v>
      </c>
      <c r="E1262" s="110">
        <f t="shared" si="20"/>
        <v>37193</v>
      </c>
      <c r="F1262" s="69">
        <v>3.3507218746125549E-2</v>
      </c>
    </row>
    <row r="1263" spans="1:6" x14ac:dyDescent="0.3">
      <c r="A1263" s="24">
        <v>36141</v>
      </c>
      <c r="B1263" s="66">
        <v>347.94899999999996</v>
      </c>
      <c r="C1263" s="67"/>
      <c r="D1263" s="68">
        <v>0</v>
      </c>
      <c r="E1263" s="110">
        <f t="shared" si="20"/>
        <v>37193</v>
      </c>
      <c r="F1263" s="69">
        <v>3.3507218746125549E-2</v>
      </c>
    </row>
    <row r="1264" spans="1:6" x14ac:dyDescent="0.3">
      <c r="A1264" s="24">
        <v>36142</v>
      </c>
      <c r="B1264" s="66">
        <v>347.94899999999996</v>
      </c>
      <c r="C1264" s="67"/>
      <c r="D1264" s="68">
        <v>0</v>
      </c>
      <c r="E1264" s="110">
        <f t="shared" si="20"/>
        <v>37193</v>
      </c>
      <c r="F1264" s="69">
        <v>3.3507218746125549E-2</v>
      </c>
    </row>
    <row r="1265" spans="1:6" x14ac:dyDescent="0.3">
      <c r="A1265" s="24">
        <v>36143</v>
      </c>
      <c r="B1265" s="66">
        <v>347.94899999999996</v>
      </c>
      <c r="C1265" s="67"/>
      <c r="D1265" s="68">
        <v>0</v>
      </c>
      <c r="E1265" s="110">
        <f t="shared" si="20"/>
        <v>37193</v>
      </c>
      <c r="F1265" s="69">
        <v>3.3507218746125549E-2</v>
      </c>
    </row>
    <row r="1266" spans="1:6" x14ac:dyDescent="0.3">
      <c r="A1266" s="24">
        <v>36144</v>
      </c>
      <c r="B1266" s="66">
        <v>347.94899999999996</v>
      </c>
      <c r="C1266" s="67"/>
      <c r="D1266" s="68">
        <v>0</v>
      </c>
      <c r="E1266" s="110">
        <f t="shared" si="20"/>
        <v>37193</v>
      </c>
      <c r="F1266" s="69">
        <v>3.3507218746125549E-2</v>
      </c>
    </row>
    <row r="1267" spans="1:6" x14ac:dyDescent="0.3">
      <c r="A1267" s="24">
        <v>36145</v>
      </c>
      <c r="B1267" s="66">
        <v>347.94899999999996</v>
      </c>
      <c r="C1267" s="67"/>
      <c r="D1267" s="68">
        <v>0</v>
      </c>
      <c r="E1267" s="110">
        <f t="shared" si="20"/>
        <v>37193</v>
      </c>
      <c r="F1267" s="69">
        <v>3.3507218746125549E-2</v>
      </c>
    </row>
    <row r="1268" spans="1:6" x14ac:dyDescent="0.3">
      <c r="A1268" s="24">
        <v>36146</v>
      </c>
      <c r="B1268" s="66">
        <v>347.94899999999996</v>
      </c>
      <c r="C1268" s="67"/>
      <c r="D1268" s="68">
        <v>0</v>
      </c>
      <c r="E1268" s="110">
        <f t="shared" si="20"/>
        <v>37193</v>
      </c>
      <c r="F1268" s="69">
        <v>3.3507218746125549E-2</v>
      </c>
    </row>
    <row r="1269" spans="1:6" x14ac:dyDescent="0.3">
      <c r="A1269" s="24">
        <v>36147</v>
      </c>
      <c r="B1269" s="66">
        <v>347.94899999999996</v>
      </c>
      <c r="C1269" s="67"/>
      <c r="D1269" s="68">
        <v>0</v>
      </c>
      <c r="E1269" s="110">
        <f t="shared" si="20"/>
        <v>37193</v>
      </c>
      <c r="F1269" s="69">
        <v>3.3507218746125549E-2</v>
      </c>
    </row>
    <row r="1270" spans="1:6" x14ac:dyDescent="0.3">
      <c r="A1270" s="24">
        <v>36148</v>
      </c>
      <c r="B1270" s="66">
        <v>347.94899999999996</v>
      </c>
      <c r="C1270" s="67"/>
      <c r="D1270" s="68">
        <v>0</v>
      </c>
      <c r="E1270" s="110">
        <f t="shared" si="20"/>
        <v>37193</v>
      </c>
      <c r="F1270" s="69">
        <v>3.3507218746125549E-2</v>
      </c>
    </row>
    <row r="1271" spans="1:6" x14ac:dyDescent="0.3">
      <c r="A1271" s="24">
        <v>36149</v>
      </c>
      <c r="B1271" s="66">
        <v>347.94899999999996</v>
      </c>
      <c r="C1271" s="67"/>
      <c r="D1271" s="68">
        <v>0</v>
      </c>
      <c r="E1271" s="110">
        <f t="shared" si="20"/>
        <v>37193</v>
      </c>
      <c r="F1271" s="69">
        <v>3.3507218746125549E-2</v>
      </c>
    </row>
    <row r="1272" spans="1:6" x14ac:dyDescent="0.3">
      <c r="A1272" s="24">
        <v>36150</v>
      </c>
      <c r="B1272" s="66">
        <v>347.94899999999996</v>
      </c>
      <c r="C1272" s="67"/>
      <c r="D1272" s="68">
        <v>0</v>
      </c>
      <c r="E1272" s="110">
        <f t="shared" si="20"/>
        <v>37193</v>
      </c>
      <c r="F1272" s="69">
        <v>3.3507218746125549E-2</v>
      </c>
    </row>
    <row r="1273" spans="1:6" x14ac:dyDescent="0.3">
      <c r="A1273" s="24">
        <v>36151</v>
      </c>
      <c r="B1273" s="66">
        <v>347.94899999999996</v>
      </c>
      <c r="C1273" s="67"/>
      <c r="D1273" s="68">
        <v>0</v>
      </c>
      <c r="E1273" s="110">
        <f t="shared" si="20"/>
        <v>37193</v>
      </c>
      <c r="F1273" s="69">
        <v>3.3507218746125549E-2</v>
      </c>
    </row>
    <row r="1274" spans="1:6" x14ac:dyDescent="0.3">
      <c r="A1274" s="24">
        <v>36152</v>
      </c>
      <c r="B1274" s="66">
        <v>347.94899999999996</v>
      </c>
      <c r="C1274" s="67"/>
      <c r="D1274" s="68">
        <v>0</v>
      </c>
      <c r="E1274" s="110">
        <f t="shared" si="20"/>
        <v>37193</v>
      </c>
      <c r="F1274" s="69">
        <v>3.3507218746125549E-2</v>
      </c>
    </row>
    <row r="1275" spans="1:6" x14ac:dyDescent="0.3">
      <c r="A1275" s="24">
        <v>36153</v>
      </c>
      <c r="B1275" s="66">
        <v>347.94899999999996</v>
      </c>
      <c r="C1275" s="67"/>
      <c r="D1275" s="68">
        <v>0</v>
      </c>
      <c r="E1275" s="110">
        <f t="shared" si="20"/>
        <v>37193</v>
      </c>
      <c r="F1275" s="69">
        <v>3.3507218746125549E-2</v>
      </c>
    </row>
    <row r="1276" spans="1:6" x14ac:dyDescent="0.3">
      <c r="A1276" s="24">
        <v>36154</v>
      </c>
      <c r="B1276" s="66">
        <v>347.94899999999996</v>
      </c>
      <c r="C1276" s="67"/>
      <c r="D1276" s="68">
        <v>0</v>
      </c>
      <c r="E1276" s="110">
        <f t="shared" si="20"/>
        <v>37193</v>
      </c>
      <c r="F1276" s="69">
        <v>3.3507218746125549E-2</v>
      </c>
    </row>
    <row r="1277" spans="1:6" x14ac:dyDescent="0.3">
      <c r="A1277" s="24">
        <v>36155</v>
      </c>
      <c r="B1277" s="66">
        <v>347.94899999999996</v>
      </c>
      <c r="C1277" s="67"/>
      <c r="D1277" s="68">
        <v>0</v>
      </c>
      <c r="E1277" s="110">
        <f t="shared" si="20"/>
        <v>37193</v>
      </c>
      <c r="F1277" s="69">
        <v>3.3507218746125549E-2</v>
      </c>
    </row>
    <row r="1278" spans="1:6" x14ac:dyDescent="0.3">
      <c r="A1278" s="24">
        <v>36156</v>
      </c>
      <c r="B1278" s="66">
        <v>347.94899999999996</v>
      </c>
      <c r="C1278" s="67"/>
      <c r="D1278" s="68">
        <v>0</v>
      </c>
      <c r="E1278" s="110">
        <f t="shared" si="20"/>
        <v>37193</v>
      </c>
      <c r="F1278" s="69">
        <v>3.3507218746125549E-2</v>
      </c>
    </row>
    <row r="1279" spans="1:6" x14ac:dyDescent="0.3">
      <c r="A1279" s="24">
        <v>36157</v>
      </c>
      <c r="B1279" s="66">
        <v>347.94899999999996</v>
      </c>
      <c r="C1279" s="67"/>
      <c r="D1279" s="68">
        <v>0</v>
      </c>
      <c r="E1279" s="110">
        <f t="shared" si="20"/>
        <v>37193</v>
      </c>
      <c r="F1279" s="69">
        <v>3.3507218746125549E-2</v>
      </c>
    </row>
    <row r="1280" spans="1:6" x14ac:dyDescent="0.3">
      <c r="A1280" s="24">
        <v>36158</v>
      </c>
      <c r="B1280" s="66">
        <v>347.94899999999996</v>
      </c>
      <c r="C1280" s="67"/>
      <c r="D1280" s="68">
        <v>0</v>
      </c>
      <c r="E1280" s="110">
        <f t="shared" si="20"/>
        <v>37193</v>
      </c>
      <c r="F1280" s="69">
        <v>3.3507218746125549E-2</v>
      </c>
    </row>
    <row r="1281" spans="1:6" x14ac:dyDescent="0.3">
      <c r="A1281" s="24">
        <v>36159</v>
      </c>
      <c r="B1281" s="66">
        <v>347.94899999999996</v>
      </c>
      <c r="C1281" s="67"/>
      <c r="D1281" s="68">
        <v>0</v>
      </c>
      <c r="E1281" s="110">
        <f t="shared" si="20"/>
        <v>37193</v>
      </c>
      <c r="F1281" s="69">
        <v>3.195956201175542E-2</v>
      </c>
    </row>
    <row r="1282" spans="1:6" x14ac:dyDescent="0.3">
      <c r="A1282" s="24">
        <v>36160</v>
      </c>
      <c r="B1282" s="66">
        <v>358.28300000000002</v>
      </c>
      <c r="C1282" s="67"/>
      <c r="D1282" s="68">
        <v>0</v>
      </c>
      <c r="E1282" s="110">
        <f t="shared" si="20"/>
        <v>37193</v>
      </c>
      <c r="F1282" s="69">
        <v>3.195956201175542E-2</v>
      </c>
    </row>
    <row r="1283" spans="1:6" x14ac:dyDescent="0.3">
      <c r="A1283" s="24">
        <v>36161</v>
      </c>
      <c r="B1283" s="66">
        <v>358.28300000000002</v>
      </c>
      <c r="C1283" s="67"/>
      <c r="D1283" s="68">
        <v>0</v>
      </c>
      <c r="E1283" s="110">
        <f t="shared" si="20"/>
        <v>37193</v>
      </c>
      <c r="F1283" s="69">
        <v>3.195956201175542E-2</v>
      </c>
    </row>
    <row r="1284" spans="1:6" x14ac:dyDescent="0.3">
      <c r="A1284" s="24">
        <v>36162</v>
      </c>
      <c r="B1284" s="66">
        <v>358.28300000000002</v>
      </c>
      <c r="C1284" s="67"/>
      <c r="D1284" s="68">
        <v>0</v>
      </c>
      <c r="E1284" s="110">
        <f t="shared" si="20"/>
        <v>37193</v>
      </c>
      <c r="F1284" s="69">
        <v>3.195956201175542E-2</v>
      </c>
    </row>
    <row r="1285" spans="1:6" x14ac:dyDescent="0.3">
      <c r="A1285" s="24">
        <v>36163</v>
      </c>
      <c r="B1285" s="66">
        <v>358.28300000000002</v>
      </c>
      <c r="C1285" s="67"/>
      <c r="D1285" s="68">
        <v>0</v>
      </c>
      <c r="E1285" s="110">
        <f t="shared" si="20"/>
        <v>37193</v>
      </c>
      <c r="F1285" s="69">
        <v>3.195956201175542E-2</v>
      </c>
    </row>
    <row r="1286" spans="1:6" x14ac:dyDescent="0.3">
      <c r="A1286" s="24">
        <v>36164</v>
      </c>
      <c r="B1286" s="66">
        <v>358.28300000000002</v>
      </c>
      <c r="C1286" s="67"/>
      <c r="D1286" s="68">
        <v>0</v>
      </c>
      <c r="E1286" s="110">
        <f t="shared" si="20"/>
        <v>37193</v>
      </c>
      <c r="F1286" s="69">
        <v>3.195956201175542E-2</v>
      </c>
    </row>
    <row r="1287" spans="1:6" x14ac:dyDescent="0.3">
      <c r="A1287" s="24">
        <v>36165</v>
      </c>
      <c r="B1287" s="66">
        <v>358.28300000000002</v>
      </c>
      <c r="C1287" s="67"/>
      <c r="D1287" s="68">
        <v>0</v>
      </c>
      <c r="E1287" s="110">
        <f t="shared" si="20"/>
        <v>37193</v>
      </c>
      <c r="F1287" s="69">
        <v>3.195956201175542E-2</v>
      </c>
    </row>
    <row r="1288" spans="1:6" x14ac:dyDescent="0.3">
      <c r="A1288" s="24">
        <v>36166</v>
      </c>
      <c r="B1288" s="66">
        <v>358.28300000000002</v>
      </c>
      <c r="C1288" s="67"/>
      <c r="D1288" s="68">
        <v>0</v>
      </c>
      <c r="E1288" s="110">
        <f t="shared" si="20"/>
        <v>37193</v>
      </c>
      <c r="F1288" s="69">
        <v>3.195956201175542E-2</v>
      </c>
    </row>
    <row r="1289" spans="1:6" x14ac:dyDescent="0.3">
      <c r="A1289" s="24">
        <v>36167</v>
      </c>
      <c r="B1289" s="66">
        <v>358.28300000000002</v>
      </c>
      <c r="C1289" s="67"/>
      <c r="D1289" s="68">
        <v>0</v>
      </c>
      <c r="E1289" s="110">
        <f t="shared" si="20"/>
        <v>37193</v>
      </c>
      <c r="F1289" s="69">
        <v>3.195956201175542E-2</v>
      </c>
    </row>
    <row r="1290" spans="1:6" x14ac:dyDescent="0.3">
      <c r="A1290" s="24">
        <v>36168</v>
      </c>
      <c r="B1290" s="66">
        <v>358.28300000000002</v>
      </c>
      <c r="C1290" s="67"/>
      <c r="D1290" s="68">
        <v>0</v>
      </c>
      <c r="E1290" s="110">
        <f t="shared" si="20"/>
        <v>37193</v>
      </c>
      <c r="F1290" s="69">
        <v>3.195956201175542E-2</v>
      </c>
    </row>
    <row r="1291" spans="1:6" x14ac:dyDescent="0.3">
      <c r="A1291" s="24">
        <v>36169</v>
      </c>
      <c r="B1291" s="66">
        <v>358.28300000000002</v>
      </c>
      <c r="C1291" s="67"/>
      <c r="D1291" s="68">
        <v>0</v>
      </c>
      <c r="E1291" s="110">
        <f t="shared" si="20"/>
        <v>37193</v>
      </c>
      <c r="F1291" s="69">
        <v>3.195956201175542E-2</v>
      </c>
    </row>
    <row r="1292" spans="1:6" x14ac:dyDescent="0.3">
      <c r="A1292" s="24">
        <v>36170</v>
      </c>
      <c r="B1292" s="66">
        <v>358.28300000000002</v>
      </c>
      <c r="C1292" s="67"/>
      <c r="D1292" s="68">
        <v>0</v>
      </c>
      <c r="E1292" s="110">
        <f t="shared" si="20"/>
        <v>37193</v>
      </c>
      <c r="F1292" s="69">
        <v>3.195956201175542E-2</v>
      </c>
    </row>
    <row r="1293" spans="1:6" x14ac:dyDescent="0.3">
      <c r="A1293" s="24">
        <v>36171</v>
      </c>
      <c r="B1293" s="66">
        <v>358.28300000000002</v>
      </c>
      <c r="C1293" s="67"/>
      <c r="D1293" s="68">
        <v>0</v>
      </c>
      <c r="E1293" s="110">
        <f t="shared" si="20"/>
        <v>37193</v>
      </c>
      <c r="F1293" s="69">
        <v>3.195956201175542E-2</v>
      </c>
    </row>
    <row r="1294" spans="1:6" x14ac:dyDescent="0.3">
      <c r="A1294" s="24">
        <v>36172</v>
      </c>
      <c r="B1294" s="66">
        <v>358.28300000000002</v>
      </c>
      <c r="C1294" s="67"/>
      <c r="D1294" s="68">
        <v>0</v>
      </c>
      <c r="E1294" s="110">
        <f t="shared" si="20"/>
        <v>37193</v>
      </c>
      <c r="F1294" s="69">
        <v>3.195956201175542E-2</v>
      </c>
    </row>
    <row r="1295" spans="1:6" x14ac:dyDescent="0.3">
      <c r="A1295" s="24">
        <v>36173</v>
      </c>
      <c r="B1295" s="66">
        <v>358.28300000000002</v>
      </c>
      <c r="C1295" s="67"/>
      <c r="D1295" s="68">
        <v>0</v>
      </c>
      <c r="E1295" s="110">
        <f t="shared" si="20"/>
        <v>37193</v>
      </c>
      <c r="F1295" s="69">
        <v>3.195956201175542E-2</v>
      </c>
    </row>
    <row r="1296" spans="1:6" x14ac:dyDescent="0.3">
      <c r="A1296" s="24">
        <v>36174</v>
      </c>
      <c r="B1296" s="66">
        <v>358.28300000000002</v>
      </c>
      <c r="C1296" s="67"/>
      <c r="D1296" s="68">
        <v>0</v>
      </c>
      <c r="E1296" s="110">
        <f t="shared" si="20"/>
        <v>37193</v>
      </c>
      <c r="F1296" s="69">
        <v>3.195956201175542E-2</v>
      </c>
    </row>
    <row r="1297" spans="1:6" x14ac:dyDescent="0.3">
      <c r="A1297" s="24">
        <v>36175</v>
      </c>
      <c r="B1297" s="66">
        <v>358.28300000000002</v>
      </c>
      <c r="C1297" s="67"/>
      <c r="D1297" s="68">
        <v>0</v>
      </c>
      <c r="E1297" s="110">
        <f t="shared" si="20"/>
        <v>37193</v>
      </c>
      <c r="F1297" s="69">
        <v>3.195956201175542E-2</v>
      </c>
    </row>
    <row r="1298" spans="1:6" x14ac:dyDescent="0.3">
      <c r="A1298" s="24">
        <v>36176</v>
      </c>
      <c r="B1298" s="66">
        <v>358.28300000000002</v>
      </c>
      <c r="C1298" s="67"/>
      <c r="D1298" s="68">
        <v>0</v>
      </c>
      <c r="E1298" s="110">
        <f t="shared" ref="E1298:E1361" si="21">+E1297</f>
        <v>37193</v>
      </c>
      <c r="F1298" s="69">
        <v>3.195956201175542E-2</v>
      </c>
    </row>
    <row r="1299" spans="1:6" x14ac:dyDescent="0.3">
      <c r="A1299" s="24">
        <v>36177</v>
      </c>
      <c r="B1299" s="66">
        <v>358.28300000000002</v>
      </c>
      <c r="C1299" s="67"/>
      <c r="D1299" s="68">
        <v>0</v>
      </c>
      <c r="E1299" s="110">
        <f t="shared" si="21"/>
        <v>37193</v>
      </c>
      <c r="F1299" s="69">
        <v>3.195956201175542E-2</v>
      </c>
    </row>
    <row r="1300" spans="1:6" x14ac:dyDescent="0.3">
      <c r="A1300" s="24">
        <v>36178</v>
      </c>
      <c r="B1300" s="66">
        <v>358.28300000000002</v>
      </c>
      <c r="C1300" s="67"/>
      <c r="D1300" s="68">
        <v>0</v>
      </c>
      <c r="E1300" s="110">
        <f t="shared" si="21"/>
        <v>37193</v>
      </c>
      <c r="F1300" s="69">
        <v>3.195956201175542E-2</v>
      </c>
    </row>
    <row r="1301" spans="1:6" x14ac:dyDescent="0.3">
      <c r="A1301" s="24">
        <v>36179</v>
      </c>
      <c r="B1301" s="66">
        <v>358.28300000000002</v>
      </c>
      <c r="C1301" s="67"/>
      <c r="D1301" s="68">
        <v>0</v>
      </c>
      <c r="E1301" s="110">
        <f t="shared" si="21"/>
        <v>37193</v>
      </c>
      <c r="F1301" s="69">
        <v>3.195956201175542E-2</v>
      </c>
    </row>
    <row r="1302" spans="1:6" x14ac:dyDescent="0.3">
      <c r="A1302" s="24">
        <v>36180</v>
      </c>
      <c r="B1302" s="66">
        <v>358.28300000000002</v>
      </c>
      <c r="C1302" s="67"/>
      <c r="D1302" s="68">
        <v>0</v>
      </c>
      <c r="E1302" s="110">
        <f t="shared" si="21"/>
        <v>37193</v>
      </c>
      <c r="F1302" s="69">
        <v>3.195956201175542E-2</v>
      </c>
    </row>
    <row r="1303" spans="1:6" x14ac:dyDescent="0.3">
      <c r="A1303" s="24">
        <v>36181</v>
      </c>
      <c r="B1303" s="66">
        <v>358.28300000000002</v>
      </c>
      <c r="C1303" s="67"/>
      <c r="D1303" s="68">
        <v>0</v>
      </c>
      <c r="E1303" s="110">
        <f t="shared" si="21"/>
        <v>37193</v>
      </c>
      <c r="F1303" s="69">
        <v>3.195956201175542E-2</v>
      </c>
    </row>
    <row r="1304" spans="1:6" x14ac:dyDescent="0.3">
      <c r="A1304" s="24">
        <v>36182</v>
      </c>
      <c r="B1304" s="66">
        <v>358.28300000000002</v>
      </c>
      <c r="C1304" s="67"/>
      <c r="D1304" s="68">
        <v>0</v>
      </c>
      <c r="E1304" s="110">
        <f t="shared" si="21"/>
        <v>37193</v>
      </c>
      <c r="F1304" s="69">
        <v>3.195956201175542E-2</v>
      </c>
    </row>
    <row r="1305" spans="1:6" x14ac:dyDescent="0.3">
      <c r="A1305" s="24">
        <v>36183</v>
      </c>
      <c r="B1305" s="66">
        <v>358.28300000000002</v>
      </c>
      <c r="C1305" s="67"/>
      <c r="D1305" s="68">
        <v>0</v>
      </c>
      <c r="E1305" s="110">
        <f t="shared" si="21"/>
        <v>37193</v>
      </c>
      <c r="F1305" s="69">
        <v>3.195956201175542E-2</v>
      </c>
    </row>
    <row r="1306" spans="1:6" x14ac:dyDescent="0.3">
      <c r="A1306" s="24">
        <v>36184</v>
      </c>
      <c r="B1306" s="66">
        <v>358.28300000000002</v>
      </c>
      <c r="C1306" s="67"/>
      <c r="D1306" s="68">
        <v>0</v>
      </c>
      <c r="E1306" s="110">
        <f t="shared" si="21"/>
        <v>37193</v>
      </c>
      <c r="F1306" s="69">
        <v>3.195956201175542E-2</v>
      </c>
    </row>
    <row r="1307" spans="1:6" x14ac:dyDescent="0.3">
      <c r="A1307" s="24">
        <v>36185</v>
      </c>
      <c r="B1307" s="66">
        <v>358.28300000000002</v>
      </c>
      <c r="C1307" s="67"/>
      <c r="D1307" s="68">
        <v>0</v>
      </c>
      <c r="E1307" s="110">
        <f t="shared" si="21"/>
        <v>37193</v>
      </c>
      <c r="F1307" s="69">
        <v>3.195956201175542E-2</v>
      </c>
    </row>
    <row r="1308" spans="1:6" x14ac:dyDescent="0.3">
      <c r="A1308" s="24">
        <v>36186</v>
      </c>
      <c r="B1308" s="66">
        <v>358.28300000000002</v>
      </c>
      <c r="C1308" s="67"/>
      <c r="D1308" s="68">
        <v>0</v>
      </c>
      <c r="E1308" s="110">
        <f t="shared" si="21"/>
        <v>37193</v>
      </c>
      <c r="F1308" s="69">
        <v>3.195956201175542E-2</v>
      </c>
    </row>
    <row r="1309" spans="1:6" x14ac:dyDescent="0.3">
      <c r="A1309" s="24">
        <v>36187</v>
      </c>
      <c r="B1309" s="66">
        <v>358.28300000000002</v>
      </c>
      <c r="C1309" s="67"/>
      <c r="D1309" s="68">
        <v>0</v>
      </c>
      <c r="E1309" s="110">
        <f t="shared" si="21"/>
        <v>37193</v>
      </c>
      <c r="F1309" s="69">
        <v>3.195956201175542E-2</v>
      </c>
    </row>
    <row r="1310" spans="1:6" x14ac:dyDescent="0.3">
      <c r="A1310" s="24">
        <v>36188</v>
      </c>
      <c r="B1310" s="66">
        <v>358.28300000000002</v>
      </c>
      <c r="C1310" s="67"/>
      <c r="D1310" s="68">
        <v>0</v>
      </c>
      <c r="E1310" s="110">
        <f t="shared" si="21"/>
        <v>37193</v>
      </c>
      <c r="F1310" s="69">
        <v>3.195956201175542E-2</v>
      </c>
    </row>
    <row r="1311" spans="1:6" x14ac:dyDescent="0.3">
      <c r="A1311" s="24">
        <v>36189</v>
      </c>
      <c r="B1311" s="66">
        <v>358.28300000000002</v>
      </c>
      <c r="C1311" s="67"/>
      <c r="D1311" s="68">
        <v>0</v>
      </c>
      <c r="E1311" s="110">
        <f t="shared" si="21"/>
        <v>37193</v>
      </c>
      <c r="F1311" s="69">
        <v>3.195956201175542E-2</v>
      </c>
    </row>
    <row r="1312" spans="1:6" x14ac:dyDescent="0.3">
      <c r="A1312" s="24">
        <v>36190</v>
      </c>
      <c r="B1312" s="66">
        <v>358.28300000000002</v>
      </c>
      <c r="C1312" s="67"/>
      <c r="D1312" s="68">
        <v>0</v>
      </c>
      <c r="E1312" s="110">
        <f t="shared" si="21"/>
        <v>37193</v>
      </c>
      <c r="F1312" s="69">
        <v>3.195956201175542E-2</v>
      </c>
    </row>
    <row r="1313" spans="1:6" x14ac:dyDescent="0.3">
      <c r="A1313" s="24">
        <v>36191</v>
      </c>
      <c r="B1313" s="66">
        <v>358.28300000000002</v>
      </c>
      <c r="C1313" s="67"/>
      <c r="D1313" s="68">
        <v>0</v>
      </c>
      <c r="E1313" s="110">
        <f t="shared" si="21"/>
        <v>37193</v>
      </c>
      <c r="F1313" s="69">
        <v>3.195956201175542E-2</v>
      </c>
    </row>
    <row r="1314" spans="1:6" x14ac:dyDescent="0.3">
      <c r="A1314" s="24">
        <v>36192</v>
      </c>
      <c r="B1314" s="66">
        <v>358.28300000000002</v>
      </c>
      <c r="C1314" s="67"/>
      <c r="D1314" s="68">
        <v>0</v>
      </c>
      <c r="E1314" s="110">
        <f t="shared" si="21"/>
        <v>37193</v>
      </c>
      <c r="F1314" s="69">
        <v>3.195956201175542E-2</v>
      </c>
    </row>
    <row r="1315" spans="1:6" x14ac:dyDescent="0.3">
      <c r="A1315" s="24">
        <v>36193</v>
      </c>
      <c r="B1315" s="66">
        <v>358.28300000000002</v>
      </c>
      <c r="C1315" s="67"/>
      <c r="D1315" s="68">
        <v>0</v>
      </c>
      <c r="E1315" s="110">
        <f t="shared" si="21"/>
        <v>37193</v>
      </c>
      <c r="F1315" s="69">
        <v>3.195956201175542E-2</v>
      </c>
    </row>
    <row r="1316" spans="1:6" x14ac:dyDescent="0.3">
      <c r="A1316" s="24">
        <v>36194</v>
      </c>
      <c r="B1316" s="66">
        <v>358.28300000000002</v>
      </c>
      <c r="C1316" s="67"/>
      <c r="D1316" s="68">
        <v>0</v>
      </c>
      <c r="E1316" s="110">
        <f t="shared" si="21"/>
        <v>37193</v>
      </c>
      <c r="F1316" s="69">
        <v>3.195956201175542E-2</v>
      </c>
    </row>
    <row r="1317" spans="1:6" x14ac:dyDescent="0.3">
      <c r="A1317" s="24">
        <v>36195</v>
      </c>
      <c r="B1317" s="66">
        <v>358.28300000000002</v>
      </c>
      <c r="C1317" s="67"/>
      <c r="D1317" s="68">
        <v>0</v>
      </c>
      <c r="E1317" s="110">
        <f t="shared" si="21"/>
        <v>37193</v>
      </c>
      <c r="F1317" s="69">
        <v>3.195956201175542E-2</v>
      </c>
    </row>
    <row r="1318" spans="1:6" x14ac:dyDescent="0.3">
      <c r="A1318" s="24">
        <v>36196</v>
      </c>
      <c r="B1318" s="66">
        <v>358.28300000000002</v>
      </c>
      <c r="C1318" s="67"/>
      <c r="D1318" s="68">
        <v>0</v>
      </c>
      <c r="E1318" s="110">
        <f t="shared" si="21"/>
        <v>37193</v>
      </c>
      <c r="F1318" s="69">
        <v>3.195956201175542E-2</v>
      </c>
    </row>
    <row r="1319" spans="1:6" x14ac:dyDescent="0.3">
      <c r="A1319" s="24">
        <v>36197</v>
      </c>
      <c r="B1319" s="66">
        <v>358.28300000000002</v>
      </c>
      <c r="C1319" s="67"/>
      <c r="D1319" s="68">
        <v>0</v>
      </c>
      <c r="E1319" s="110">
        <f t="shared" si="21"/>
        <v>37193</v>
      </c>
      <c r="F1319" s="69">
        <v>3.195956201175542E-2</v>
      </c>
    </row>
    <row r="1320" spans="1:6" x14ac:dyDescent="0.3">
      <c r="A1320" s="24">
        <v>36198</v>
      </c>
      <c r="B1320" s="66">
        <v>358.28300000000002</v>
      </c>
      <c r="C1320" s="67"/>
      <c r="D1320" s="68">
        <v>0</v>
      </c>
      <c r="E1320" s="110">
        <f t="shared" si="21"/>
        <v>37193</v>
      </c>
      <c r="F1320" s="69">
        <v>3.195956201175542E-2</v>
      </c>
    </row>
    <row r="1321" spans="1:6" x14ac:dyDescent="0.3">
      <c r="A1321" s="24">
        <v>36199</v>
      </c>
      <c r="B1321" s="66">
        <v>358.28300000000002</v>
      </c>
      <c r="C1321" s="67"/>
      <c r="D1321" s="68">
        <v>0</v>
      </c>
      <c r="E1321" s="110">
        <f t="shared" si="21"/>
        <v>37193</v>
      </c>
      <c r="F1321" s="69">
        <v>3.195956201175542E-2</v>
      </c>
    </row>
    <row r="1322" spans="1:6" x14ac:dyDescent="0.3">
      <c r="A1322" s="24">
        <v>36200</v>
      </c>
      <c r="B1322" s="66">
        <v>358.28300000000002</v>
      </c>
      <c r="C1322" s="67"/>
      <c r="D1322" s="68">
        <v>0</v>
      </c>
      <c r="E1322" s="110">
        <f t="shared" si="21"/>
        <v>37193</v>
      </c>
      <c r="F1322" s="69">
        <v>3.195956201175542E-2</v>
      </c>
    </row>
    <row r="1323" spans="1:6" x14ac:dyDescent="0.3">
      <c r="A1323" s="24">
        <v>36201</v>
      </c>
      <c r="B1323" s="66">
        <v>358.28300000000002</v>
      </c>
      <c r="C1323" s="67"/>
      <c r="D1323" s="68">
        <v>0</v>
      </c>
      <c r="E1323" s="110">
        <f t="shared" si="21"/>
        <v>37193</v>
      </c>
      <c r="F1323" s="69">
        <v>3.195956201175542E-2</v>
      </c>
    </row>
    <row r="1324" spans="1:6" x14ac:dyDescent="0.3">
      <c r="A1324" s="24">
        <v>36202</v>
      </c>
      <c r="B1324" s="66">
        <v>358.28300000000002</v>
      </c>
      <c r="C1324" s="67"/>
      <c r="D1324" s="68">
        <v>0</v>
      </c>
      <c r="E1324" s="110">
        <f t="shared" si="21"/>
        <v>37193</v>
      </c>
      <c r="F1324" s="69">
        <v>3.195956201175542E-2</v>
      </c>
    </row>
    <row r="1325" spans="1:6" x14ac:dyDescent="0.3">
      <c r="A1325" s="24">
        <v>36203</v>
      </c>
      <c r="B1325" s="66">
        <v>358.28300000000002</v>
      </c>
      <c r="C1325" s="67"/>
      <c r="D1325" s="68">
        <v>0</v>
      </c>
      <c r="E1325" s="110">
        <f t="shared" si="21"/>
        <v>37193</v>
      </c>
      <c r="F1325" s="69">
        <v>3.195956201175542E-2</v>
      </c>
    </row>
    <row r="1326" spans="1:6" x14ac:dyDescent="0.3">
      <c r="A1326" s="24">
        <v>36204</v>
      </c>
      <c r="B1326" s="66">
        <v>358.28300000000002</v>
      </c>
      <c r="C1326" s="67"/>
      <c r="D1326" s="68">
        <v>0</v>
      </c>
      <c r="E1326" s="110">
        <f t="shared" si="21"/>
        <v>37193</v>
      </c>
      <c r="F1326" s="69">
        <v>3.195956201175542E-2</v>
      </c>
    </row>
    <row r="1327" spans="1:6" x14ac:dyDescent="0.3">
      <c r="A1327" s="24">
        <v>36205</v>
      </c>
      <c r="B1327" s="66">
        <v>358.28300000000002</v>
      </c>
      <c r="C1327" s="67"/>
      <c r="D1327" s="68">
        <v>0</v>
      </c>
      <c r="E1327" s="110">
        <f t="shared" si="21"/>
        <v>37193</v>
      </c>
      <c r="F1327" s="69">
        <v>3.195956201175542E-2</v>
      </c>
    </row>
    <row r="1328" spans="1:6" x14ac:dyDescent="0.3">
      <c r="A1328" s="24">
        <v>36206</v>
      </c>
      <c r="B1328" s="66">
        <v>358.28300000000002</v>
      </c>
      <c r="C1328" s="67"/>
      <c r="D1328" s="68">
        <v>0</v>
      </c>
      <c r="E1328" s="110">
        <f t="shared" si="21"/>
        <v>37193</v>
      </c>
      <c r="F1328" s="69">
        <v>3.195956201175542E-2</v>
      </c>
    </row>
    <row r="1329" spans="1:6" x14ac:dyDescent="0.3">
      <c r="A1329" s="24">
        <v>36207</v>
      </c>
      <c r="B1329" s="66">
        <v>358.28300000000002</v>
      </c>
      <c r="C1329" s="67"/>
      <c r="D1329" s="68">
        <v>0</v>
      </c>
      <c r="E1329" s="110">
        <f t="shared" si="21"/>
        <v>37193</v>
      </c>
      <c r="F1329" s="69">
        <v>3.195956201175542E-2</v>
      </c>
    </row>
    <row r="1330" spans="1:6" x14ac:dyDescent="0.3">
      <c r="A1330" s="24">
        <v>36208</v>
      </c>
      <c r="B1330" s="66">
        <v>358.28300000000002</v>
      </c>
      <c r="C1330" s="67"/>
      <c r="D1330" s="68">
        <v>0</v>
      </c>
      <c r="E1330" s="110">
        <f t="shared" si="21"/>
        <v>37193</v>
      </c>
      <c r="F1330" s="69">
        <v>3.195956201175542E-2</v>
      </c>
    </row>
    <row r="1331" spans="1:6" x14ac:dyDescent="0.3">
      <c r="A1331" s="24">
        <v>36209</v>
      </c>
      <c r="B1331" s="66">
        <v>358.28300000000002</v>
      </c>
      <c r="C1331" s="67"/>
      <c r="D1331" s="68">
        <v>0</v>
      </c>
      <c r="E1331" s="110">
        <f t="shared" si="21"/>
        <v>37193</v>
      </c>
      <c r="F1331" s="69">
        <v>3.195956201175542E-2</v>
      </c>
    </row>
    <row r="1332" spans="1:6" x14ac:dyDescent="0.3">
      <c r="A1332" s="24">
        <v>36210</v>
      </c>
      <c r="B1332" s="66">
        <v>358.28300000000002</v>
      </c>
      <c r="C1332" s="67"/>
      <c r="D1332" s="68">
        <v>0</v>
      </c>
      <c r="E1332" s="110">
        <f t="shared" si="21"/>
        <v>37193</v>
      </c>
      <c r="F1332" s="69">
        <v>3.195956201175542E-2</v>
      </c>
    </row>
    <row r="1333" spans="1:6" x14ac:dyDescent="0.3">
      <c r="A1333" s="24">
        <v>36211</v>
      </c>
      <c r="B1333" s="66">
        <v>358.28300000000002</v>
      </c>
      <c r="C1333" s="67"/>
      <c r="D1333" s="68">
        <v>0</v>
      </c>
      <c r="E1333" s="110">
        <f t="shared" si="21"/>
        <v>37193</v>
      </c>
      <c r="F1333" s="69">
        <v>3.195956201175542E-2</v>
      </c>
    </row>
    <row r="1334" spans="1:6" x14ac:dyDescent="0.3">
      <c r="A1334" s="24">
        <v>36212</v>
      </c>
      <c r="B1334" s="66">
        <v>358.28300000000002</v>
      </c>
      <c r="C1334" s="67"/>
      <c r="D1334" s="68">
        <v>0</v>
      </c>
      <c r="E1334" s="110">
        <f t="shared" si="21"/>
        <v>37193</v>
      </c>
      <c r="F1334" s="69">
        <v>3.195956201175542E-2</v>
      </c>
    </row>
    <row r="1335" spans="1:6" x14ac:dyDescent="0.3">
      <c r="A1335" s="24">
        <v>36213</v>
      </c>
      <c r="B1335" s="66">
        <v>358.28300000000002</v>
      </c>
      <c r="C1335" s="67"/>
      <c r="D1335" s="68">
        <v>0</v>
      </c>
      <c r="E1335" s="110">
        <f t="shared" si="21"/>
        <v>37193</v>
      </c>
      <c r="F1335" s="69">
        <v>3.195956201175542E-2</v>
      </c>
    </row>
    <row r="1336" spans="1:6" x14ac:dyDescent="0.3">
      <c r="A1336" s="24">
        <v>36214</v>
      </c>
      <c r="B1336" s="66">
        <v>358.28300000000002</v>
      </c>
      <c r="C1336" s="67"/>
      <c r="D1336" s="68">
        <v>0</v>
      </c>
      <c r="E1336" s="110">
        <f t="shared" si="21"/>
        <v>37193</v>
      </c>
      <c r="F1336" s="69">
        <v>3.195956201175542E-2</v>
      </c>
    </row>
    <row r="1337" spans="1:6" x14ac:dyDescent="0.3">
      <c r="A1337" s="24">
        <v>36215</v>
      </c>
      <c r="B1337" s="66">
        <v>358.28300000000002</v>
      </c>
      <c r="C1337" s="67"/>
      <c r="D1337" s="68">
        <v>0</v>
      </c>
      <c r="E1337" s="110">
        <f t="shared" si="21"/>
        <v>37193</v>
      </c>
      <c r="F1337" s="69">
        <v>3.195956201175542E-2</v>
      </c>
    </row>
    <row r="1338" spans="1:6" x14ac:dyDescent="0.3">
      <c r="A1338" s="24">
        <v>36216</v>
      </c>
      <c r="B1338" s="66">
        <v>358.28300000000002</v>
      </c>
      <c r="C1338" s="67"/>
      <c r="D1338" s="68">
        <v>0</v>
      </c>
      <c r="E1338" s="110">
        <f t="shared" si="21"/>
        <v>37193</v>
      </c>
      <c r="F1338" s="69">
        <v>3.195956201175542E-2</v>
      </c>
    </row>
    <row r="1339" spans="1:6" x14ac:dyDescent="0.3">
      <c r="A1339" s="24">
        <v>36217</v>
      </c>
      <c r="B1339" s="66">
        <v>358.28300000000002</v>
      </c>
      <c r="C1339" s="67"/>
      <c r="D1339" s="68">
        <v>0</v>
      </c>
      <c r="E1339" s="110">
        <f t="shared" si="21"/>
        <v>37193</v>
      </c>
      <c r="F1339" s="69">
        <v>3.195956201175542E-2</v>
      </c>
    </row>
    <row r="1340" spans="1:6" x14ac:dyDescent="0.3">
      <c r="A1340" s="24">
        <v>36218</v>
      </c>
      <c r="B1340" s="66">
        <v>358.28300000000002</v>
      </c>
      <c r="C1340" s="67"/>
      <c r="D1340" s="68">
        <v>0</v>
      </c>
      <c r="E1340" s="110">
        <f t="shared" si="21"/>
        <v>37193</v>
      </c>
      <c r="F1340" s="69">
        <v>3.195956201175542E-2</v>
      </c>
    </row>
    <row r="1341" spans="1:6" x14ac:dyDescent="0.3">
      <c r="A1341" s="24">
        <v>36219</v>
      </c>
      <c r="B1341" s="66">
        <v>358.28300000000002</v>
      </c>
      <c r="C1341" s="67"/>
      <c r="D1341" s="68">
        <v>0</v>
      </c>
      <c r="E1341" s="110">
        <f t="shared" si="21"/>
        <v>37193</v>
      </c>
      <c r="F1341" s="69">
        <v>3.195956201175542E-2</v>
      </c>
    </row>
    <row r="1342" spans="1:6" x14ac:dyDescent="0.3">
      <c r="A1342" s="24">
        <v>36220</v>
      </c>
      <c r="B1342" s="66">
        <v>358.28300000000002</v>
      </c>
      <c r="C1342" s="67"/>
      <c r="D1342" s="68">
        <v>0</v>
      </c>
      <c r="E1342" s="110">
        <f t="shared" si="21"/>
        <v>37193</v>
      </c>
      <c r="F1342" s="69">
        <v>3.195956201175542E-2</v>
      </c>
    </row>
    <row r="1343" spans="1:6" x14ac:dyDescent="0.3">
      <c r="A1343" s="24">
        <v>36221</v>
      </c>
      <c r="B1343" s="66">
        <v>358.28300000000002</v>
      </c>
      <c r="C1343" s="67"/>
      <c r="D1343" s="68">
        <v>0</v>
      </c>
      <c r="E1343" s="110">
        <f t="shared" si="21"/>
        <v>37193</v>
      </c>
      <c r="F1343" s="69">
        <v>3.195956201175542E-2</v>
      </c>
    </row>
    <row r="1344" spans="1:6" x14ac:dyDescent="0.3">
      <c r="A1344" s="24">
        <v>36222</v>
      </c>
      <c r="B1344" s="66">
        <v>358.28300000000002</v>
      </c>
      <c r="C1344" s="67"/>
      <c r="D1344" s="68">
        <v>0</v>
      </c>
      <c r="E1344" s="110">
        <f t="shared" si="21"/>
        <v>37193</v>
      </c>
      <c r="F1344" s="69">
        <v>3.195956201175542E-2</v>
      </c>
    </row>
    <row r="1345" spans="1:6" x14ac:dyDescent="0.3">
      <c r="A1345" s="24">
        <v>36223</v>
      </c>
      <c r="B1345" s="66">
        <v>358.28300000000002</v>
      </c>
      <c r="C1345" s="67"/>
      <c r="D1345" s="68">
        <v>0</v>
      </c>
      <c r="E1345" s="110">
        <f t="shared" si="21"/>
        <v>37193</v>
      </c>
      <c r="F1345" s="69">
        <v>3.195956201175542E-2</v>
      </c>
    </row>
    <row r="1346" spans="1:6" x14ac:dyDescent="0.3">
      <c r="A1346" s="24">
        <v>36224</v>
      </c>
      <c r="B1346" s="66">
        <v>358.28300000000002</v>
      </c>
      <c r="C1346" s="67"/>
      <c r="D1346" s="68">
        <v>0</v>
      </c>
      <c r="E1346" s="110">
        <f t="shared" si="21"/>
        <v>37193</v>
      </c>
      <c r="F1346" s="69">
        <v>3.195956201175542E-2</v>
      </c>
    </row>
    <row r="1347" spans="1:6" x14ac:dyDescent="0.3">
      <c r="A1347" s="24">
        <v>36225</v>
      </c>
      <c r="B1347" s="66">
        <v>358.28300000000002</v>
      </c>
      <c r="C1347" s="67"/>
      <c r="D1347" s="68">
        <v>0</v>
      </c>
      <c r="E1347" s="110">
        <f t="shared" si="21"/>
        <v>37193</v>
      </c>
      <c r="F1347" s="69">
        <v>3.195956201175542E-2</v>
      </c>
    </row>
    <row r="1348" spans="1:6" x14ac:dyDescent="0.3">
      <c r="A1348" s="24">
        <v>36226</v>
      </c>
      <c r="B1348" s="66">
        <v>358.28300000000002</v>
      </c>
      <c r="C1348" s="67"/>
      <c r="D1348" s="68">
        <v>0</v>
      </c>
      <c r="E1348" s="110">
        <f t="shared" si="21"/>
        <v>37193</v>
      </c>
      <c r="F1348" s="69">
        <v>3.195956201175542E-2</v>
      </c>
    </row>
    <row r="1349" spans="1:6" x14ac:dyDescent="0.3">
      <c r="A1349" s="24">
        <v>36227</v>
      </c>
      <c r="B1349" s="66">
        <v>358.28300000000002</v>
      </c>
      <c r="C1349" s="67"/>
      <c r="D1349" s="68">
        <v>0</v>
      </c>
      <c r="E1349" s="110">
        <f t="shared" si="21"/>
        <v>37193</v>
      </c>
      <c r="F1349" s="69">
        <v>3.195956201175542E-2</v>
      </c>
    </row>
    <row r="1350" spans="1:6" x14ac:dyDescent="0.3">
      <c r="A1350" s="24">
        <v>36228</v>
      </c>
      <c r="B1350" s="66">
        <v>358.28300000000002</v>
      </c>
      <c r="C1350" s="67"/>
      <c r="D1350" s="68">
        <v>0</v>
      </c>
      <c r="E1350" s="110">
        <f t="shared" si="21"/>
        <v>37193</v>
      </c>
      <c r="F1350" s="69">
        <v>3.195956201175542E-2</v>
      </c>
    </row>
    <row r="1351" spans="1:6" x14ac:dyDescent="0.3">
      <c r="A1351" s="24">
        <v>36229</v>
      </c>
      <c r="B1351" s="66">
        <v>358.28300000000002</v>
      </c>
      <c r="C1351" s="67"/>
      <c r="D1351" s="68">
        <v>0</v>
      </c>
      <c r="E1351" s="110">
        <f t="shared" si="21"/>
        <v>37193</v>
      </c>
      <c r="F1351" s="69">
        <v>3.195956201175542E-2</v>
      </c>
    </row>
    <row r="1352" spans="1:6" x14ac:dyDescent="0.3">
      <c r="A1352" s="24">
        <v>36230</v>
      </c>
      <c r="B1352" s="66">
        <v>358.28300000000002</v>
      </c>
      <c r="C1352" s="67"/>
      <c r="D1352" s="68">
        <v>0</v>
      </c>
      <c r="E1352" s="110">
        <f t="shared" si="21"/>
        <v>37193</v>
      </c>
      <c r="F1352" s="69">
        <v>3.195956201175542E-2</v>
      </c>
    </row>
    <row r="1353" spans="1:6" x14ac:dyDescent="0.3">
      <c r="A1353" s="24">
        <v>36231</v>
      </c>
      <c r="B1353" s="66">
        <v>358.28300000000002</v>
      </c>
      <c r="C1353" s="67"/>
      <c r="D1353" s="68">
        <v>0</v>
      </c>
      <c r="E1353" s="110">
        <f t="shared" si="21"/>
        <v>37193</v>
      </c>
      <c r="F1353" s="69">
        <v>3.195956201175542E-2</v>
      </c>
    </row>
    <row r="1354" spans="1:6" x14ac:dyDescent="0.3">
      <c r="A1354" s="24">
        <v>36232</v>
      </c>
      <c r="B1354" s="66">
        <v>358.28300000000002</v>
      </c>
      <c r="C1354" s="67"/>
      <c r="D1354" s="68">
        <v>0</v>
      </c>
      <c r="E1354" s="110">
        <f t="shared" si="21"/>
        <v>37193</v>
      </c>
      <c r="F1354" s="69">
        <v>3.195956201175542E-2</v>
      </c>
    </row>
    <row r="1355" spans="1:6" x14ac:dyDescent="0.3">
      <c r="A1355" s="24">
        <v>36233</v>
      </c>
      <c r="B1355" s="66">
        <v>358.28300000000002</v>
      </c>
      <c r="C1355" s="67"/>
      <c r="D1355" s="68">
        <v>0</v>
      </c>
      <c r="E1355" s="110">
        <f t="shared" si="21"/>
        <v>37193</v>
      </c>
      <c r="F1355" s="69">
        <v>3.195956201175542E-2</v>
      </c>
    </row>
    <row r="1356" spans="1:6" x14ac:dyDescent="0.3">
      <c r="A1356" s="24">
        <v>36234</v>
      </c>
      <c r="B1356" s="66">
        <v>358.28300000000002</v>
      </c>
      <c r="C1356" s="67"/>
      <c r="D1356" s="68">
        <v>0</v>
      </c>
      <c r="E1356" s="110">
        <f t="shared" si="21"/>
        <v>37193</v>
      </c>
      <c r="F1356" s="69">
        <v>3.195956201175542E-2</v>
      </c>
    </row>
    <row r="1357" spans="1:6" x14ac:dyDescent="0.3">
      <c r="A1357" s="24">
        <v>36235</v>
      </c>
      <c r="B1357" s="66">
        <v>358.28300000000002</v>
      </c>
      <c r="C1357" s="67"/>
      <c r="D1357" s="68">
        <v>0</v>
      </c>
      <c r="E1357" s="110">
        <f t="shared" si="21"/>
        <v>37193</v>
      </c>
      <c r="F1357" s="69">
        <v>3.195956201175542E-2</v>
      </c>
    </row>
    <row r="1358" spans="1:6" x14ac:dyDescent="0.3">
      <c r="A1358" s="24">
        <v>36236</v>
      </c>
      <c r="B1358" s="66">
        <v>358.28300000000002</v>
      </c>
      <c r="C1358" s="67"/>
      <c r="D1358" s="68">
        <v>0</v>
      </c>
      <c r="E1358" s="110">
        <f t="shared" si="21"/>
        <v>37193</v>
      </c>
      <c r="F1358" s="69">
        <v>3.195956201175542E-2</v>
      </c>
    </row>
    <row r="1359" spans="1:6" x14ac:dyDescent="0.3">
      <c r="A1359" s="24">
        <v>36237</v>
      </c>
      <c r="B1359" s="66">
        <v>358.28300000000002</v>
      </c>
      <c r="C1359" s="67"/>
      <c r="D1359" s="68">
        <v>0</v>
      </c>
      <c r="E1359" s="110">
        <f t="shared" si="21"/>
        <v>37193</v>
      </c>
      <c r="F1359" s="69">
        <v>3.195956201175542E-2</v>
      </c>
    </row>
    <row r="1360" spans="1:6" x14ac:dyDescent="0.3">
      <c r="A1360" s="24">
        <v>36238</v>
      </c>
      <c r="B1360" s="66">
        <v>358.28300000000002</v>
      </c>
      <c r="C1360" s="67"/>
      <c r="D1360" s="68">
        <v>0</v>
      </c>
      <c r="E1360" s="110">
        <f t="shared" si="21"/>
        <v>37193</v>
      </c>
      <c r="F1360" s="69">
        <v>3.195956201175542E-2</v>
      </c>
    </row>
    <row r="1361" spans="1:6" x14ac:dyDescent="0.3">
      <c r="A1361" s="24">
        <v>36239</v>
      </c>
      <c r="B1361" s="66">
        <v>358.28300000000002</v>
      </c>
      <c r="C1361" s="67"/>
      <c r="D1361" s="68">
        <v>0</v>
      </c>
      <c r="E1361" s="110">
        <f t="shared" si="21"/>
        <v>37193</v>
      </c>
      <c r="F1361" s="69">
        <v>3.195956201175542E-2</v>
      </c>
    </row>
    <row r="1362" spans="1:6" x14ac:dyDescent="0.3">
      <c r="A1362" s="24">
        <v>36240</v>
      </c>
      <c r="B1362" s="66">
        <v>358.28300000000002</v>
      </c>
      <c r="C1362" s="67"/>
      <c r="D1362" s="68">
        <v>0</v>
      </c>
      <c r="E1362" s="110">
        <f t="shared" ref="E1362:E1425" si="22">+E1361</f>
        <v>37193</v>
      </c>
      <c r="F1362" s="69">
        <v>3.195956201175542E-2</v>
      </c>
    </row>
    <row r="1363" spans="1:6" x14ac:dyDescent="0.3">
      <c r="A1363" s="24">
        <v>36241</v>
      </c>
      <c r="B1363" s="66">
        <v>358.28300000000002</v>
      </c>
      <c r="C1363" s="67"/>
      <c r="D1363" s="68">
        <v>0</v>
      </c>
      <c r="E1363" s="110">
        <f t="shared" si="22"/>
        <v>37193</v>
      </c>
      <c r="F1363" s="69">
        <v>3.195956201175542E-2</v>
      </c>
    </row>
    <row r="1364" spans="1:6" x14ac:dyDescent="0.3">
      <c r="A1364" s="24">
        <v>36242</v>
      </c>
      <c r="B1364" s="66">
        <v>358.28300000000002</v>
      </c>
      <c r="C1364" s="67"/>
      <c r="D1364" s="68">
        <v>0</v>
      </c>
      <c r="E1364" s="110">
        <f t="shared" si="22"/>
        <v>37193</v>
      </c>
      <c r="F1364" s="69">
        <v>3.195956201175542E-2</v>
      </c>
    </row>
    <row r="1365" spans="1:6" x14ac:dyDescent="0.3">
      <c r="A1365" s="24">
        <v>36243</v>
      </c>
      <c r="B1365" s="66">
        <v>358.28300000000002</v>
      </c>
      <c r="C1365" s="67"/>
      <c r="D1365" s="68">
        <v>0</v>
      </c>
      <c r="E1365" s="110">
        <f t="shared" si="22"/>
        <v>37193</v>
      </c>
      <c r="F1365" s="69">
        <v>3.195956201175542E-2</v>
      </c>
    </row>
    <row r="1366" spans="1:6" x14ac:dyDescent="0.3">
      <c r="A1366" s="24">
        <v>36244</v>
      </c>
      <c r="B1366" s="66">
        <v>358.28300000000002</v>
      </c>
      <c r="C1366" s="67"/>
      <c r="D1366" s="68">
        <v>0</v>
      </c>
      <c r="E1366" s="110">
        <f t="shared" si="22"/>
        <v>37193</v>
      </c>
      <c r="F1366" s="69">
        <v>3.195956201175542E-2</v>
      </c>
    </row>
    <row r="1367" spans="1:6" x14ac:dyDescent="0.3">
      <c r="A1367" s="24">
        <v>36245</v>
      </c>
      <c r="B1367" s="66">
        <v>358.28300000000002</v>
      </c>
      <c r="C1367" s="67"/>
      <c r="D1367" s="68">
        <v>0</v>
      </c>
      <c r="E1367" s="110">
        <f t="shared" si="22"/>
        <v>37193</v>
      </c>
      <c r="F1367" s="69">
        <v>3.195956201175542E-2</v>
      </c>
    </row>
    <row r="1368" spans="1:6" x14ac:dyDescent="0.3">
      <c r="A1368" s="24">
        <v>36246</v>
      </c>
      <c r="B1368" s="66">
        <v>358.28300000000002</v>
      </c>
      <c r="C1368" s="67"/>
      <c r="D1368" s="68">
        <v>0</v>
      </c>
      <c r="E1368" s="110">
        <f t="shared" si="22"/>
        <v>37193</v>
      </c>
      <c r="F1368" s="69">
        <v>3.195956201175542E-2</v>
      </c>
    </row>
    <row r="1369" spans="1:6" x14ac:dyDescent="0.3">
      <c r="A1369" s="24">
        <v>36247</v>
      </c>
      <c r="B1369" s="66">
        <v>358.28300000000002</v>
      </c>
      <c r="C1369" s="67"/>
      <c r="D1369" s="68">
        <v>0</v>
      </c>
      <c r="E1369" s="110">
        <f t="shared" si="22"/>
        <v>37193</v>
      </c>
      <c r="F1369" s="69">
        <v>3.195956201175542E-2</v>
      </c>
    </row>
    <row r="1370" spans="1:6" x14ac:dyDescent="0.3">
      <c r="A1370" s="24">
        <v>36248</v>
      </c>
      <c r="B1370" s="66">
        <v>358.28300000000002</v>
      </c>
      <c r="C1370" s="67"/>
      <c r="D1370" s="68">
        <v>0</v>
      </c>
      <c r="E1370" s="110">
        <f t="shared" si="22"/>
        <v>37193</v>
      </c>
      <c r="F1370" s="69">
        <v>3.195956201175542E-2</v>
      </c>
    </row>
    <row r="1371" spans="1:6" x14ac:dyDescent="0.3">
      <c r="A1371" s="24">
        <v>36249</v>
      </c>
      <c r="B1371" s="66">
        <v>358.28300000000002</v>
      </c>
      <c r="C1371" s="67"/>
      <c r="D1371" s="68">
        <v>0</v>
      </c>
      <c r="E1371" s="110">
        <f t="shared" si="22"/>
        <v>37193</v>
      </c>
      <c r="F1371" s="69">
        <v>3.1368356732543186E-2</v>
      </c>
    </row>
    <row r="1372" spans="1:6" x14ac:dyDescent="0.3">
      <c r="A1372" s="24">
        <v>36250</v>
      </c>
      <c r="B1372" s="66">
        <v>363.81700000000001</v>
      </c>
      <c r="C1372" s="67"/>
      <c r="D1372" s="68">
        <v>0</v>
      </c>
      <c r="E1372" s="110">
        <f t="shared" si="22"/>
        <v>37193</v>
      </c>
      <c r="F1372" s="69">
        <v>3.1368356732543186E-2</v>
      </c>
    </row>
    <row r="1373" spans="1:6" x14ac:dyDescent="0.3">
      <c r="A1373" s="24">
        <v>36251</v>
      </c>
      <c r="B1373" s="66">
        <v>363.81700000000001</v>
      </c>
      <c r="C1373" s="67"/>
      <c r="D1373" s="68">
        <v>0</v>
      </c>
      <c r="E1373" s="110">
        <f t="shared" si="22"/>
        <v>37193</v>
      </c>
      <c r="F1373" s="69">
        <v>3.1368356732543186E-2</v>
      </c>
    </row>
    <row r="1374" spans="1:6" x14ac:dyDescent="0.3">
      <c r="A1374" s="24">
        <v>36252</v>
      </c>
      <c r="B1374" s="66">
        <v>363.81700000000001</v>
      </c>
      <c r="C1374" s="67"/>
      <c r="D1374" s="68">
        <v>0</v>
      </c>
      <c r="E1374" s="110">
        <f t="shared" si="22"/>
        <v>37193</v>
      </c>
      <c r="F1374" s="69">
        <v>3.1368356732543186E-2</v>
      </c>
    </row>
    <row r="1375" spans="1:6" x14ac:dyDescent="0.3">
      <c r="A1375" s="24">
        <v>36253</v>
      </c>
      <c r="B1375" s="66">
        <v>363.81700000000001</v>
      </c>
      <c r="C1375" s="67"/>
      <c r="D1375" s="68">
        <v>0</v>
      </c>
      <c r="E1375" s="110">
        <f t="shared" si="22"/>
        <v>37193</v>
      </c>
      <c r="F1375" s="69">
        <v>3.1368356732543186E-2</v>
      </c>
    </row>
    <row r="1376" spans="1:6" x14ac:dyDescent="0.3">
      <c r="A1376" s="24">
        <v>36254</v>
      </c>
      <c r="B1376" s="66">
        <v>363.81700000000001</v>
      </c>
      <c r="C1376" s="67"/>
      <c r="D1376" s="68">
        <v>0</v>
      </c>
      <c r="E1376" s="110">
        <f t="shared" si="22"/>
        <v>37193</v>
      </c>
      <c r="F1376" s="69">
        <v>3.1368356732543186E-2</v>
      </c>
    </row>
    <row r="1377" spans="1:6" x14ac:dyDescent="0.3">
      <c r="A1377" s="24">
        <v>36255</v>
      </c>
      <c r="B1377" s="66">
        <v>363.81700000000001</v>
      </c>
      <c r="C1377" s="67"/>
      <c r="D1377" s="68">
        <v>0</v>
      </c>
      <c r="E1377" s="110">
        <f t="shared" si="22"/>
        <v>37193</v>
      </c>
      <c r="F1377" s="69">
        <v>3.1368356732543186E-2</v>
      </c>
    </row>
    <row r="1378" spans="1:6" x14ac:dyDescent="0.3">
      <c r="A1378" s="24">
        <v>36256</v>
      </c>
      <c r="B1378" s="66">
        <v>363.81700000000001</v>
      </c>
      <c r="C1378" s="67"/>
      <c r="D1378" s="68">
        <v>0</v>
      </c>
      <c r="E1378" s="110">
        <f t="shared" si="22"/>
        <v>37193</v>
      </c>
      <c r="F1378" s="69">
        <v>3.1368356732543186E-2</v>
      </c>
    </row>
    <row r="1379" spans="1:6" x14ac:dyDescent="0.3">
      <c r="A1379" s="24">
        <v>36257</v>
      </c>
      <c r="B1379" s="66">
        <v>363.81700000000001</v>
      </c>
      <c r="C1379" s="67"/>
      <c r="D1379" s="68">
        <v>0</v>
      </c>
      <c r="E1379" s="110">
        <f t="shared" si="22"/>
        <v>37193</v>
      </c>
      <c r="F1379" s="69">
        <v>3.1368356732543186E-2</v>
      </c>
    </row>
    <row r="1380" spans="1:6" x14ac:dyDescent="0.3">
      <c r="A1380" s="24">
        <v>36258</v>
      </c>
      <c r="B1380" s="66">
        <v>363.81700000000001</v>
      </c>
      <c r="C1380" s="67"/>
      <c r="D1380" s="68">
        <v>0</v>
      </c>
      <c r="E1380" s="110">
        <f t="shared" si="22"/>
        <v>37193</v>
      </c>
      <c r="F1380" s="69">
        <v>3.1368356732543186E-2</v>
      </c>
    </row>
    <row r="1381" spans="1:6" x14ac:dyDescent="0.3">
      <c r="A1381" s="24">
        <v>36259</v>
      </c>
      <c r="B1381" s="66">
        <v>363.81700000000001</v>
      </c>
      <c r="C1381" s="67"/>
      <c r="D1381" s="68">
        <v>0</v>
      </c>
      <c r="E1381" s="110">
        <f t="shared" si="22"/>
        <v>37193</v>
      </c>
      <c r="F1381" s="69">
        <v>3.1368356732543186E-2</v>
      </c>
    </row>
    <row r="1382" spans="1:6" x14ac:dyDescent="0.3">
      <c r="A1382" s="24">
        <v>36260</v>
      </c>
      <c r="B1382" s="66">
        <v>363.81700000000001</v>
      </c>
      <c r="C1382" s="67"/>
      <c r="D1382" s="68">
        <v>0</v>
      </c>
      <c r="E1382" s="110">
        <f t="shared" si="22"/>
        <v>37193</v>
      </c>
      <c r="F1382" s="69">
        <v>3.1368356732543186E-2</v>
      </c>
    </row>
    <row r="1383" spans="1:6" x14ac:dyDescent="0.3">
      <c r="A1383" s="24">
        <v>36261</v>
      </c>
      <c r="B1383" s="66">
        <v>363.81700000000001</v>
      </c>
      <c r="C1383" s="67"/>
      <c r="D1383" s="68">
        <v>0</v>
      </c>
      <c r="E1383" s="110">
        <f t="shared" si="22"/>
        <v>37193</v>
      </c>
      <c r="F1383" s="69">
        <v>3.1368356732543186E-2</v>
      </c>
    </row>
    <row r="1384" spans="1:6" x14ac:dyDescent="0.3">
      <c r="A1384" s="24">
        <v>36262</v>
      </c>
      <c r="B1384" s="66">
        <v>363.81700000000001</v>
      </c>
      <c r="C1384" s="67"/>
      <c r="D1384" s="68">
        <v>0</v>
      </c>
      <c r="E1384" s="110">
        <f t="shared" si="22"/>
        <v>37193</v>
      </c>
      <c r="F1384" s="69">
        <v>3.1368356732543186E-2</v>
      </c>
    </row>
    <row r="1385" spans="1:6" x14ac:dyDescent="0.3">
      <c r="A1385" s="24">
        <v>36263</v>
      </c>
      <c r="B1385" s="66">
        <v>363.81700000000001</v>
      </c>
      <c r="C1385" s="67"/>
      <c r="D1385" s="68">
        <v>0</v>
      </c>
      <c r="E1385" s="110">
        <f t="shared" si="22"/>
        <v>37193</v>
      </c>
      <c r="F1385" s="69">
        <v>3.1368356732543186E-2</v>
      </c>
    </row>
    <row r="1386" spans="1:6" x14ac:dyDescent="0.3">
      <c r="A1386" s="24">
        <v>36264</v>
      </c>
      <c r="B1386" s="66">
        <v>363.81700000000001</v>
      </c>
      <c r="C1386" s="67"/>
      <c r="D1386" s="68">
        <v>0</v>
      </c>
      <c r="E1386" s="110">
        <f t="shared" si="22"/>
        <v>37193</v>
      </c>
      <c r="F1386" s="69">
        <v>3.1368356732543186E-2</v>
      </c>
    </row>
    <row r="1387" spans="1:6" x14ac:dyDescent="0.3">
      <c r="A1387" s="24">
        <v>36265</v>
      </c>
      <c r="B1387" s="66">
        <v>363.81700000000001</v>
      </c>
      <c r="C1387" s="67"/>
      <c r="D1387" s="68">
        <v>0</v>
      </c>
      <c r="E1387" s="110">
        <f t="shared" si="22"/>
        <v>37193</v>
      </c>
      <c r="F1387" s="69">
        <v>3.1368356732543186E-2</v>
      </c>
    </row>
    <row r="1388" spans="1:6" x14ac:dyDescent="0.3">
      <c r="A1388" s="24">
        <v>36266</v>
      </c>
      <c r="B1388" s="66">
        <v>363.81700000000001</v>
      </c>
      <c r="C1388" s="67"/>
      <c r="D1388" s="68">
        <v>0</v>
      </c>
      <c r="E1388" s="110">
        <f t="shared" si="22"/>
        <v>37193</v>
      </c>
      <c r="F1388" s="69">
        <v>3.1368356732543186E-2</v>
      </c>
    </row>
    <row r="1389" spans="1:6" x14ac:dyDescent="0.3">
      <c r="A1389" s="24">
        <v>36267</v>
      </c>
      <c r="B1389" s="66">
        <v>363.81700000000001</v>
      </c>
      <c r="C1389" s="67"/>
      <c r="D1389" s="68">
        <v>0</v>
      </c>
      <c r="E1389" s="110">
        <f t="shared" si="22"/>
        <v>37193</v>
      </c>
      <c r="F1389" s="69">
        <v>3.1368356732543186E-2</v>
      </c>
    </row>
    <row r="1390" spans="1:6" x14ac:dyDescent="0.3">
      <c r="A1390" s="24">
        <v>36268</v>
      </c>
      <c r="B1390" s="66">
        <v>363.81700000000001</v>
      </c>
      <c r="C1390" s="67"/>
      <c r="D1390" s="68">
        <v>0</v>
      </c>
      <c r="E1390" s="110">
        <f t="shared" si="22"/>
        <v>37193</v>
      </c>
      <c r="F1390" s="69">
        <v>3.1368356732543186E-2</v>
      </c>
    </row>
    <row r="1391" spans="1:6" x14ac:dyDescent="0.3">
      <c r="A1391" s="24">
        <v>36269</v>
      </c>
      <c r="B1391" s="66">
        <v>363.81700000000001</v>
      </c>
      <c r="C1391" s="67"/>
      <c r="D1391" s="68">
        <v>0</v>
      </c>
      <c r="E1391" s="110">
        <f t="shared" si="22"/>
        <v>37193</v>
      </c>
      <c r="F1391" s="69">
        <v>3.1368356732543186E-2</v>
      </c>
    </row>
    <row r="1392" spans="1:6" x14ac:dyDescent="0.3">
      <c r="A1392" s="24">
        <v>36270</v>
      </c>
      <c r="B1392" s="66">
        <v>363.81700000000001</v>
      </c>
      <c r="C1392" s="67"/>
      <c r="D1392" s="68">
        <v>0</v>
      </c>
      <c r="E1392" s="110">
        <f t="shared" si="22"/>
        <v>37193</v>
      </c>
      <c r="F1392" s="69">
        <v>3.1368356732543186E-2</v>
      </c>
    </row>
    <row r="1393" spans="1:6" x14ac:dyDescent="0.3">
      <c r="A1393" s="24">
        <v>36271</v>
      </c>
      <c r="B1393" s="66">
        <v>363.81700000000001</v>
      </c>
      <c r="C1393" s="67"/>
      <c r="D1393" s="68">
        <v>0</v>
      </c>
      <c r="E1393" s="110">
        <f t="shared" si="22"/>
        <v>37193</v>
      </c>
      <c r="F1393" s="69">
        <v>3.1368356732543186E-2</v>
      </c>
    </row>
    <row r="1394" spans="1:6" x14ac:dyDescent="0.3">
      <c r="A1394" s="24">
        <v>36272</v>
      </c>
      <c r="B1394" s="66">
        <v>363.81700000000001</v>
      </c>
      <c r="C1394" s="67"/>
      <c r="D1394" s="68">
        <v>0</v>
      </c>
      <c r="E1394" s="110">
        <f t="shared" si="22"/>
        <v>37193</v>
      </c>
      <c r="F1394" s="69">
        <v>3.1368356732543186E-2</v>
      </c>
    </row>
    <row r="1395" spans="1:6" x14ac:dyDescent="0.3">
      <c r="A1395" s="24">
        <v>36273</v>
      </c>
      <c r="B1395" s="66">
        <v>363.81700000000001</v>
      </c>
      <c r="C1395" s="67"/>
      <c r="D1395" s="68">
        <v>0</v>
      </c>
      <c r="E1395" s="110">
        <f t="shared" si="22"/>
        <v>37193</v>
      </c>
      <c r="F1395" s="69">
        <v>3.1368356732543186E-2</v>
      </c>
    </row>
    <row r="1396" spans="1:6" x14ac:dyDescent="0.3">
      <c r="A1396" s="24">
        <v>36274</v>
      </c>
      <c r="B1396" s="66">
        <v>363.81700000000001</v>
      </c>
      <c r="C1396" s="67"/>
      <c r="D1396" s="68">
        <v>0</v>
      </c>
      <c r="E1396" s="110">
        <f t="shared" si="22"/>
        <v>37193</v>
      </c>
      <c r="F1396" s="69">
        <v>3.1368356732543186E-2</v>
      </c>
    </row>
    <row r="1397" spans="1:6" x14ac:dyDescent="0.3">
      <c r="A1397" s="24">
        <v>36275</v>
      </c>
      <c r="B1397" s="66">
        <v>363.81700000000001</v>
      </c>
      <c r="C1397" s="67"/>
      <c r="D1397" s="68">
        <v>0</v>
      </c>
      <c r="E1397" s="110">
        <f t="shared" si="22"/>
        <v>37193</v>
      </c>
      <c r="F1397" s="69">
        <v>3.1368356732543186E-2</v>
      </c>
    </row>
    <row r="1398" spans="1:6" x14ac:dyDescent="0.3">
      <c r="A1398" s="24">
        <v>36276</v>
      </c>
      <c r="B1398" s="66">
        <v>363.81700000000001</v>
      </c>
      <c r="C1398" s="67"/>
      <c r="D1398" s="68">
        <v>0</v>
      </c>
      <c r="E1398" s="110">
        <f t="shared" si="22"/>
        <v>37193</v>
      </c>
      <c r="F1398" s="69">
        <v>3.1368356732543186E-2</v>
      </c>
    </row>
    <row r="1399" spans="1:6" x14ac:dyDescent="0.3">
      <c r="A1399" s="24">
        <v>36277</v>
      </c>
      <c r="B1399" s="66">
        <v>363.81700000000001</v>
      </c>
      <c r="C1399" s="67"/>
      <c r="D1399" s="68">
        <v>0</v>
      </c>
      <c r="E1399" s="110">
        <f t="shared" si="22"/>
        <v>37193</v>
      </c>
      <c r="F1399" s="69">
        <v>3.1368356732543186E-2</v>
      </c>
    </row>
    <row r="1400" spans="1:6" x14ac:dyDescent="0.3">
      <c r="A1400" s="24">
        <v>36278</v>
      </c>
      <c r="B1400" s="66">
        <v>363.81700000000001</v>
      </c>
      <c r="C1400" s="67"/>
      <c r="D1400" s="68">
        <v>0</v>
      </c>
      <c r="E1400" s="110">
        <f t="shared" si="22"/>
        <v>37193</v>
      </c>
      <c r="F1400" s="69">
        <v>3.1368356732543186E-2</v>
      </c>
    </row>
    <row r="1401" spans="1:6" x14ac:dyDescent="0.3">
      <c r="A1401" s="24">
        <v>36279</v>
      </c>
      <c r="B1401" s="66">
        <v>363.81700000000001</v>
      </c>
      <c r="C1401" s="67"/>
      <c r="D1401" s="68">
        <v>0</v>
      </c>
      <c r="E1401" s="110">
        <f t="shared" si="22"/>
        <v>37193</v>
      </c>
      <c r="F1401" s="69">
        <v>3.1368356732543186E-2</v>
      </c>
    </row>
    <row r="1402" spans="1:6" x14ac:dyDescent="0.3">
      <c r="A1402" s="24">
        <v>36280</v>
      </c>
      <c r="B1402" s="66">
        <v>363.81700000000001</v>
      </c>
      <c r="C1402" s="67"/>
      <c r="D1402" s="68">
        <v>0</v>
      </c>
      <c r="E1402" s="110">
        <f t="shared" si="22"/>
        <v>37193</v>
      </c>
      <c r="F1402" s="69">
        <v>3.1368356732543186E-2</v>
      </c>
    </row>
    <row r="1403" spans="1:6" x14ac:dyDescent="0.3">
      <c r="A1403" s="24">
        <v>36281</v>
      </c>
      <c r="B1403" s="66">
        <v>363.81700000000001</v>
      </c>
      <c r="C1403" s="67"/>
      <c r="D1403" s="68">
        <v>0</v>
      </c>
      <c r="E1403" s="110">
        <f t="shared" si="22"/>
        <v>37193</v>
      </c>
      <c r="F1403" s="69">
        <v>3.1368356732543186E-2</v>
      </c>
    </row>
    <row r="1404" spans="1:6" x14ac:dyDescent="0.3">
      <c r="A1404" s="24">
        <v>36282</v>
      </c>
      <c r="B1404" s="66">
        <v>363.81700000000001</v>
      </c>
      <c r="C1404" s="67"/>
      <c r="D1404" s="68">
        <v>0</v>
      </c>
      <c r="E1404" s="110">
        <f t="shared" si="22"/>
        <v>37193</v>
      </c>
      <c r="F1404" s="69">
        <v>3.1368356732543186E-2</v>
      </c>
    </row>
    <row r="1405" spans="1:6" x14ac:dyDescent="0.3">
      <c r="A1405" s="24">
        <v>36283</v>
      </c>
      <c r="B1405" s="66">
        <v>363.81700000000001</v>
      </c>
      <c r="C1405" s="67"/>
      <c r="D1405" s="68">
        <v>0</v>
      </c>
      <c r="E1405" s="110">
        <f t="shared" si="22"/>
        <v>37193</v>
      </c>
      <c r="F1405" s="69">
        <v>3.1368356732543186E-2</v>
      </c>
    </row>
    <row r="1406" spans="1:6" x14ac:dyDescent="0.3">
      <c r="A1406" s="24">
        <v>36284</v>
      </c>
      <c r="B1406" s="66">
        <v>363.81700000000001</v>
      </c>
      <c r="C1406" s="67"/>
      <c r="D1406" s="68">
        <v>0</v>
      </c>
      <c r="E1406" s="110">
        <f t="shared" si="22"/>
        <v>37193</v>
      </c>
      <c r="F1406" s="69">
        <v>3.1368356732543186E-2</v>
      </c>
    </row>
    <row r="1407" spans="1:6" x14ac:dyDescent="0.3">
      <c r="A1407" s="24">
        <v>36285</v>
      </c>
      <c r="B1407" s="66">
        <v>363.81700000000001</v>
      </c>
      <c r="C1407" s="67"/>
      <c r="D1407" s="68">
        <v>0</v>
      </c>
      <c r="E1407" s="110">
        <f t="shared" si="22"/>
        <v>37193</v>
      </c>
      <c r="F1407" s="69">
        <v>3.1368356732543186E-2</v>
      </c>
    </row>
    <row r="1408" spans="1:6" x14ac:dyDescent="0.3">
      <c r="A1408" s="24">
        <v>36286</v>
      </c>
      <c r="B1408" s="66">
        <v>363.81700000000001</v>
      </c>
      <c r="C1408" s="67"/>
      <c r="D1408" s="68">
        <v>0</v>
      </c>
      <c r="E1408" s="110">
        <f t="shared" si="22"/>
        <v>37193</v>
      </c>
      <c r="F1408" s="69">
        <v>3.1368356732543186E-2</v>
      </c>
    </row>
    <row r="1409" spans="1:6" x14ac:dyDescent="0.3">
      <c r="A1409" s="24">
        <v>36287</v>
      </c>
      <c r="B1409" s="66">
        <v>363.81700000000001</v>
      </c>
      <c r="C1409" s="67"/>
      <c r="D1409" s="68">
        <v>0</v>
      </c>
      <c r="E1409" s="110">
        <f t="shared" si="22"/>
        <v>37193</v>
      </c>
      <c r="F1409" s="69">
        <v>3.1368356732543186E-2</v>
      </c>
    </row>
    <row r="1410" spans="1:6" x14ac:dyDescent="0.3">
      <c r="A1410" s="24">
        <v>36288</v>
      </c>
      <c r="B1410" s="66">
        <v>363.81700000000001</v>
      </c>
      <c r="C1410" s="67"/>
      <c r="D1410" s="68">
        <v>0</v>
      </c>
      <c r="E1410" s="110">
        <f t="shared" si="22"/>
        <v>37193</v>
      </c>
      <c r="F1410" s="69">
        <v>3.1368356732543186E-2</v>
      </c>
    </row>
    <row r="1411" spans="1:6" x14ac:dyDescent="0.3">
      <c r="A1411" s="24">
        <v>36289</v>
      </c>
      <c r="B1411" s="66">
        <v>363.81700000000001</v>
      </c>
      <c r="C1411" s="67"/>
      <c r="D1411" s="68">
        <v>0</v>
      </c>
      <c r="E1411" s="110">
        <f t="shared" si="22"/>
        <v>37193</v>
      </c>
      <c r="F1411" s="69">
        <v>3.1368356732543186E-2</v>
      </c>
    </row>
    <row r="1412" spans="1:6" x14ac:dyDescent="0.3">
      <c r="A1412" s="24">
        <v>36290</v>
      </c>
      <c r="B1412" s="66">
        <v>363.81700000000001</v>
      </c>
      <c r="C1412" s="67"/>
      <c r="D1412" s="68">
        <v>0</v>
      </c>
      <c r="E1412" s="110">
        <f t="shared" si="22"/>
        <v>37193</v>
      </c>
      <c r="F1412" s="69">
        <v>3.1368356732543186E-2</v>
      </c>
    </row>
    <row r="1413" spans="1:6" x14ac:dyDescent="0.3">
      <c r="A1413" s="24">
        <v>36291</v>
      </c>
      <c r="B1413" s="66">
        <v>363.81700000000001</v>
      </c>
      <c r="C1413" s="67"/>
      <c r="D1413" s="68">
        <v>0</v>
      </c>
      <c r="E1413" s="110">
        <f t="shared" si="22"/>
        <v>37193</v>
      </c>
      <c r="F1413" s="69">
        <v>3.1368356732543186E-2</v>
      </c>
    </row>
    <row r="1414" spans="1:6" x14ac:dyDescent="0.3">
      <c r="A1414" s="24">
        <v>36292</v>
      </c>
      <c r="B1414" s="66">
        <v>363.81700000000001</v>
      </c>
      <c r="C1414" s="67"/>
      <c r="D1414" s="68">
        <v>0</v>
      </c>
      <c r="E1414" s="110">
        <f t="shared" si="22"/>
        <v>37193</v>
      </c>
      <c r="F1414" s="69">
        <v>3.1368356732543186E-2</v>
      </c>
    </row>
    <row r="1415" spans="1:6" x14ac:dyDescent="0.3">
      <c r="A1415" s="24">
        <v>36293</v>
      </c>
      <c r="B1415" s="66">
        <v>363.81700000000001</v>
      </c>
      <c r="C1415" s="67"/>
      <c r="D1415" s="68">
        <v>0</v>
      </c>
      <c r="E1415" s="110">
        <f t="shared" si="22"/>
        <v>37193</v>
      </c>
      <c r="F1415" s="69">
        <v>3.1368356732543186E-2</v>
      </c>
    </row>
    <row r="1416" spans="1:6" x14ac:dyDescent="0.3">
      <c r="A1416" s="24">
        <v>36294</v>
      </c>
      <c r="B1416" s="66">
        <v>363.81700000000001</v>
      </c>
      <c r="C1416" s="67"/>
      <c r="D1416" s="68">
        <v>4.3536698976652897</v>
      </c>
      <c r="E1416" s="110">
        <f t="shared" si="22"/>
        <v>37193</v>
      </c>
      <c r="F1416" s="69">
        <v>1.2625261420334445E-2</v>
      </c>
    </row>
    <row r="1417" spans="1:6" x14ac:dyDescent="0.3">
      <c r="A1417" s="24">
        <v>36295</v>
      </c>
      <c r="B1417" s="66">
        <v>363.81700000000001</v>
      </c>
      <c r="C1417" s="67"/>
      <c r="D1417" s="68">
        <v>0</v>
      </c>
      <c r="E1417" s="110">
        <f t="shared" si="22"/>
        <v>37193</v>
      </c>
      <c r="F1417" s="69">
        <v>1.2625261420334445E-2</v>
      </c>
    </row>
    <row r="1418" spans="1:6" x14ac:dyDescent="0.3">
      <c r="A1418" s="24">
        <v>36296</v>
      </c>
      <c r="B1418" s="66">
        <v>363.81700000000001</v>
      </c>
      <c r="C1418" s="67"/>
      <c r="D1418" s="68">
        <v>0</v>
      </c>
      <c r="E1418" s="110">
        <f t="shared" si="22"/>
        <v>37193</v>
      </c>
      <c r="F1418" s="69">
        <v>1.2625261420334445E-2</v>
      </c>
    </row>
    <row r="1419" spans="1:6" x14ac:dyDescent="0.3">
      <c r="A1419" s="24">
        <v>36297</v>
      </c>
      <c r="B1419" s="66">
        <v>363.81700000000001</v>
      </c>
      <c r="C1419" s="67"/>
      <c r="D1419" s="68">
        <v>0</v>
      </c>
      <c r="E1419" s="110">
        <f t="shared" si="22"/>
        <v>37193</v>
      </c>
      <c r="F1419" s="69">
        <v>1.2625261420334445E-2</v>
      </c>
    </row>
    <row r="1420" spans="1:6" x14ac:dyDescent="0.3">
      <c r="A1420" s="24">
        <v>36298</v>
      </c>
      <c r="B1420" s="66">
        <v>363.81700000000001</v>
      </c>
      <c r="C1420" s="67"/>
      <c r="D1420" s="68">
        <v>0</v>
      </c>
      <c r="E1420" s="110">
        <f t="shared" si="22"/>
        <v>37193</v>
      </c>
      <c r="F1420" s="69">
        <v>1.2625261420334445E-2</v>
      </c>
    </row>
    <row r="1421" spans="1:6" x14ac:dyDescent="0.3">
      <c r="A1421" s="24">
        <v>36299</v>
      </c>
      <c r="B1421" s="66">
        <v>363.81700000000001</v>
      </c>
      <c r="C1421" s="67"/>
      <c r="D1421" s="68">
        <v>0</v>
      </c>
      <c r="E1421" s="110">
        <f t="shared" si="22"/>
        <v>37193</v>
      </c>
      <c r="F1421" s="69">
        <v>1.2625261420334445E-2</v>
      </c>
    </row>
    <row r="1422" spans="1:6" x14ac:dyDescent="0.3">
      <c r="A1422" s="24">
        <v>36300</v>
      </c>
      <c r="B1422" s="66">
        <v>363.81700000000001</v>
      </c>
      <c r="C1422" s="67"/>
      <c r="D1422" s="68">
        <v>0</v>
      </c>
      <c r="E1422" s="110">
        <f t="shared" si="22"/>
        <v>37193</v>
      </c>
      <c r="F1422" s="69">
        <v>1.2625261420334445E-2</v>
      </c>
    </row>
    <row r="1423" spans="1:6" x14ac:dyDescent="0.3">
      <c r="A1423" s="24">
        <v>36301</v>
      </c>
      <c r="B1423" s="66">
        <v>363.81700000000001</v>
      </c>
      <c r="C1423" s="67"/>
      <c r="D1423" s="68">
        <v>0</v>
      </c>
      <c r="E1423" s="110">
        <f t="shared" si="22"/>
        <v>37193</v>
      </c>
      <c r="F1423" s="69">
        <v>1.2625261420334445E-2</v>
      </c>
    </row>
    <row r="1424" spans="1:6" x14ac:dyDescent="0.3">
      <c r="A1424" s="24">
        <v>36302</v>
      </c>
      <c r="B1424" s="66">
        <v>363.81700000000001</v>
      </c>
      <c r="C1424" s="67"/>
      <c r="D1424" s="68">
        <v>0</v>
      </c>
      <c r="E1424" s="110">
        <f t="shared" si="22"/>
        <v>37193</v>
      </c>
      <c r="F1424" s="69">
        <v>1.2625261420334445E-2</v>
      </c>
    </row>
    <row r="1425" spans="1:6" x14ac:dyDescent="0.3">
      <c r="A1425" s="24">
        <v>36303</v>
      </c>
      <c r="B1425" s="66">
        <v>363.81700000000001</v>
      </c>
      <c r="C1425" s="67"/>
      <c r="D1425" s="68">
        <v>0</v>
      </c>
      <c r="E1425" s="110">
        <f t="shared" si="22"/>
        <v>37193</v>
      </c>
      <c r="F1425" s="69">
        <v>1.2625261420334445E-2</v>
      </c>
    </row>
    <row r="1426" spans="1:6" x14ac:dyDescent="0.3">
      <c r="A1426" s="24">
        <v>36304</v>
      </c>
      <c r="B1426" s="66">
        <v>363.81700000000001</v>
      </c>
      <c r="C1426" s="67"/>
      <c r="D1426" s="68">
        <v>0</v>
      </c>
      <c r="E1426" s="110">
        <f t="shared" ref="E1426:E1489" si="23">+E1425</f>
        <v>37193</v>
      </c>
      <c r="F1426" s="69">
        <v>1.2625261420334445E-2</v>
      </c>
    </row>
    <row r="1427" spans="1:6" x14ac:dyDescent="0.3">
      <c r="A1427" s="24">
        <v>36305</v>
      </c>
      <c r="B1427" s="66">
        <v>363.81700000000001</v>
      </c>
      <c r="C1427" s="67"/>
      <c r="D1427" s="68">
        <v>0</v>
      </c>
      <c r="E1427" s="110">
        <f t="shared" si="23"/>
        <v>37193</v>
      </c>
      <c r="F1427" s="69">
        <v>1.2625261420334445E-2</v>
      </c>
    </row>
    <row r="1428" spans="1:6" x14ac:dyDescent="0.3">
      <c r="A1428" s="24">
        <v>36306</v>
      </c>
      <c r="B1428" s="66">
        <v>363.81700000000001</v>
      </c>
      <c r="C1428" s="67"/>
      <c r="D1428" s="68">
        <v>0</v>
      </c>
      <c r="E1428" s="110">
        <f t="shared" si="23"/>
        <v>37193</v>
      </c>
      <c r="F1428" s="69">
        <v>1.2625261420334445E-2</v>
      </c>
    </row>
    <row r="1429" spans="1:6" x14ac:dyDescent="0.3">
      <c r="A1429" s="24">
        <v>36307</v>
      </c>
      <c r="B1429" s="66">
        <v>363.81700000000001</v>
      </c>
      <c r="C1429" s="67"/>
      <c r="D1429" s="68">
        <v>0</v>
      </c>
      <c r="E1429" s="110">
        <f t="shared" si="23"/>
        <v>37193</v>
      </c>
      <c r="F1429" s="69">
        <v>1.2625261420334445E-2</v>
      </c>
    </row>
    <row r="1430" spans="1:6" x14ac:dyDescent="0.3">
      <c r="A1430" s="24">
        <v>36308</v>
      </c>
      <c r="B1430" s="66">
        <v>363.81700000000001</v>
      </c>
      <c r="C1430" s="67"/>
      <c r="D1430" s="68">
        <v>0</v>
      </c>
      <c r="E1430" s="110">
        <f t="shared" si="23"/>
        <v>37193</v>
      </c>
      <c r="F1430" s="69">
        <v>1.2625261420334445E-2</v>
      </c>
    </row>
    <row r="1431" spans="1:6" x14ac:dyDescent="0.3">
      <c r="A1431" s="24">
        <v>36309</v>
      </c>
      <c r="B1431" s="66">
        <v>363.81700000000001</v>
      </c>
      <c r="C1431" s="67"/>
      <c r="D1431" s="68">
        <v>0</v>
      </c>
      <c r="E1431" s="110">
        <f t="shared" si="23"/>
        <v>37193</v>
      </c>
      <c r="F1431" s="69">
        <v>1.2625261420334445E-2</v>
      </c>
    </row>
    <row r="1432" spans="1:6" x14ac:dyDescent="0.3">
      <c r="A1432" s="24">
        <v>36310</v>
      </c>
      <c r="B1432" s="66">
        <v>363.81700000000001</v>
      </c>
      <c r="C1432" s="67"/>
      <c r="D1432" s="68">
        <v>0</v>
      </c>
      <c r="E1432" s="110">
        <f t="shared" si="23"/>
        <v>37193</v>
      </c>
      <c r="F1432" s="69">
        <v>1.2625261420334445E-2</v>
      </c>
    </row>
    <row r="1433" spans="1:6" x14ac:dyDescent="0.3">
      <c r="A1433" s="24">
        <v>36311</v>
      </c>
      <c r="B1433" s="66">
        <v>363.81700000000001</v>
      </c>
      <c r="C1433" s="67"/>
      <c r="D1433" s="68">
        <v>0</v>
      </c>
      <c r="E1433" s="110">
        <f t="shared" si="23"/>
        <v>37193</v>
      </c>
      <c r="F1433" s="69">
        <v>1.2625261420334445E-2</v>
      </c>
    </row>
    <row r="1434" spans="1:6" x14ac:dyDescent="0.3">
      <c r="A1434" s="24">
        <v>36312</v>
      </c>
      <c r="B1434" s="66">
        <v>363.81700000000001</v>
      </c>
      <c r="C1434" s="67"/>
      <c r="D1434" s="68">
        <v>0</v>
      </c>
      <c r="E1434" s="110">
        <f t="shared" si="23"/>
        <v>37193</v>
      </c>
      <c r="F1434" s="69">
        <v>1.2625261420334445E-2</v>
      </c>
    </row>
    <row r="1435" spans="1:6" x14ac:dyDescent="0.3">
      <c r="A1435" s="24">
        <v>36313</v>
      </c>
      <c r="B1435" s="66">
        <v>363.81700000000001</v>
      </c>
      <c r="C1435" s="67"/>
      <c r="D1435" s="68">
        <v>0</v>
      </c>
      <c r="E1435" s="110">
        <f t="shared" si="23"/>
        <v>37193</v>
      </c>
      <c r="F1435" s="69">
        <v>1.2625261420334445E-2</v>
      </c>
    </row>
    <row r="1436" spans="1:6" x14ac:dyDescent="0.3">
      <c r="A1436" s="24">
        <v>36314</v>
      </c>
      <c r="B1436" s="66">
        <v>363.81700000000001</v>
      </c>
      <c r="C1436" s="67"/>
      <c r="D1436" s="68">
        <v>0</v>
      </c>
      <c r="E1436" s="110">
        <f t="shared" si="23"/>
        <v>37193</v>
      </c>
      <c r="F1436" s="69">
        <v>1.2625261420334445E-2</v>
      </c>
    </row>
    <row r="1437" spans="1:6" x14ac:dyDescent="0.3">
      <c r="A1437" s="24">
        <v>36315</v>
      </c>
      <c r="B1437" s="66">
        <v>363.81700000000001</v>
      </c>
      <c r="C1437" s="67"/>
      <c r="D1437" s="68">
        <v>0</v>
      </c>
      <c r="E1437" s="110">
        <f t="shared" si="23"/>
        <v>37193</v>
      </c>
      <c r="F1437" s="69">
        <v>1.2625261420334445E-2</v>
      </c>
    </row>
    <row r="1438" spans="1:6" x14ac:dyDescent="0.3">
      <c r="A1438" s="24">
        <v>36316</v>
      </c>
      <c r="B1438" s="66">
        <v>363.81700000000001</v>
      </c>
      <c r="C1438" s="67"/>
      <c r="D1438" s="68">
        <v>0</v>
      </c>
      <c r="E1438" s="110">
        <f t="shared" si="23"/>
        <v>37193</v>
      </c>
      <c r="F1438" s="69">
        <v>1.2625261420334445E-2</v>
      </c>
    </row>
    <row r="1439" spans="1:6" x14ac:dyDescent="0.3">
      <c r="A1439" s="24">
        <v>36317</v>
      </c>
      <c r="B1439" s="66">
        <v>363.81700000000001</v>
      </c>
      <c r="C1439" s="67"/>
      <c r="D1439" s="68">
        <v>0</v>
      </c>
      <c r="E1439" s="110">
        <f t="shared" si="23"/>
        <v>37193</v>
      </c>
      <c r="F1439" s="69">
        <v>1.2625261420334445E-2</v>
      </c>
    </row>
    <row r="1440" spans="1:6" x14ac:dyDescent="0.3">
      <c r="A1440" s="24">
        <v>36318</v>
      </c>
      <c r="B1440" s="66">
        <v>363.81700000000001</v>
      </c>
      <c r="C1440" s="67"/>
      <c r="D1440" s="68">
        <v>0</v>
      </c>
      <c r="E1440" s="110">
        <f t="shared" si="23"/>
        <v>37193</v>
      </c>
      <c r="F1440" s="69">
        <v>1.2625261420334445E-2</v>
      </c>
    </row>
    <row r="1441" spans="1:6" x14ac:dyDescent="0.3">
      <c r="A1441" s="24">
        <v>36319</v>
      </c>
      <c r="B1441" s="66">
        <v>363.81700000000001</v>
      </c>
      <c r="C1441" s="67"/>
      <c r="D1441" s="68">
        <v>0</v>
      </c>
      <c r="E1441" s="110">
        <f t="shared" si="23"/>
        <v>37193</v>
      </c>
      <c r="F1441" s="69">
        <v>1.2625261420334445E-2</v>
      </c>
    </row>
    <row r="1442" spans="1:6" x14ac:dyDescent="0.3">
      <c r="A1442" s="24">
        <v>36320</v>
      </c>
      <c r="B1442" s="66">
        <v>363.81700000000001</v>
      </c>
      <c r="C1442" s="67"/>
      <c r="D1442" s="68">
        <v>0</v>
      </c>
      <c r="E1442" s="110">
        <f t="shared" si="23"/>
        <v>37193</v>
      </c>
      <c r="F1442" s="69">
        <v>1.2625261420334445E-2</v>
      </c>
    </row>
    <row r="1443" spans="1:6" x14ac:dyDescent="0.3">
      <c r="A1443" s="24">
        <v>36321</v>
      </c>
      <c r="B1443" s="66">
        <v>363.81700000000001</v>
      </c>
      <c r="C1443" s="67"/>
      <c r="D1443" s="68">
        <v>0</v>
      </c>
      <c r="E1443" s="110">
        <f t="shared" si="23"/>
        <v>37193</v>
      </c>
      <c r="F1443" s="69">
        <v>1.2625261420334445E-2</v>
      </c>
    </row>
    <row r="1444" spans="1:6" x14ac:dyDescent="0.3">
      <c r="A1444" s="24">
        <v>36322</v>
      </c>
      <c r="B1444" s="66">
        <v>363.81700000000001</v>
      </c>
      <c r="C1444" s="67"/>
      <c r="D1444" s="68">
        <v>0</v>
      </c>
      <c r="E1444" s="110">
        <f t="shared" si="23"/>
        <v>37193</v>
      </c>
      <c r="F1444" s="69">
        <v>1.2625261420334445E-2</v>
      </c>
    </row>
    <row r="1445" spans="1:6" x14ac:dyDescent="0.3">
      <c r="A1445" s="24">
        <v>36323</v>
      </c>
      <c r="B1445" s="66">
        <v>363.81700000000001</v>
      </c>
      <c r="C1445" s="67"/>
      <c r="D1445" s="68">
        <v>0</v>
      </c>
      <c r="E1445" s="110">
        <f t="shared" si="23"/>
        <v>37193</v>
      </c>
      <c r="F1445" s="69">
        <v>1.2625261420334445E-2</v>
      </c>
    </row>
    <row r="1446" spans="1:6" x14ac:dyDescent="0.3">
      <c r="A1446" s="24">
        <v>36324</v>
      </c>
      <c r="B1446" s="66">
        <v>363.81700000000001</v>
      </c>
      <c r="C1446" s="67"/>
      <c r="D1446" s="68">
        <v>0</v>
      </c>
      <c r="E1446" s="110">
        <f t="shared" si="23"/>
        <v>37193</v>
      </c>
      <c r="F1446" s="69">
        <v>1.2625261420334445E-2</v>
      </c>
    </row>
    <row r="1447" spans="1:6" x14ac:dyDescent="0.3">
      <c r="A1447" s="24">
        <v>36325</v>
      </c>
      <c r="B1447" s="66">
        <v>363.81700000000001</v>
      </c>
      <c r="C1447" s="67"/>
      <c r="D1447" s="68">
        <v>0</v>
      </c>
      <c r="E1447" s="110">
        <f t="shared" si="23"/>
        <v>37193</v>
      </c>
      <c r="F1447" s="69">
        <v>1.2625261420334445E-2</v>
      </c>
    </row>
    <row r="1448" spans="1:6" x14ac:dyDescent="0.3">
      <c r="A1448" s="24">
        <v>36326</v>
      </c>
      <c r="B1448" s="66">
        <v>363.81700000000001</v>
      </c>
      <c r="C1448" s="67"/>
      <c r="D1448" s="68">
        <v>0</v>
      </c>
      <c r="E1448" s="110">
        <f t="shared" si="23"/>
        <v>37193</v>
      </c>
      <c r="F1448" s="69">
        <v>1.2625261420334445E-2</v>
      </c>
    </row>
    <row r="1449" spans="1:6" x14ac:dyDescent="0.3">
      <c r="A1449" s="24">
        <v>36327</v>
      </c>
      <c r="B1449" s="66">
        <v>363.81700000000001</v>
      </c>
      <c r="C1449" s="67"/>
      <c r="D1449" s="68">
        <v>0</v>
      </c>
      <c r="E1449" s="110">
        <f t="shared" si="23"/>
        <v>37193</v>
      </c>
      <c r="F1449" s="69">
        <v>1.2625261420334445E-2</v>
      </c>
    </row>
    <row r="1450" spans="1:6" x14ac:dyDescent="0.3">
      <c r="A1450" s="24">
        <v>36328</v>
      </c>
      <c r="B1450" s="66">
        <v>363.81700000000001</v>
      </c>
      <c r="C1450" s="67"/>
      <c r="D1450" s="68">
        <v>0</v>
      </c>
      <c r="E1450" s="110">
        <f t="shared" si="23"/>
        <v>37193</v>
      </c>
      <c r="F1450" s="69">
        <v>1.2625261420334445E-2</v>
      </c>
    </row>
    <row r="1451" spans="1:6" x14ac:dyDescent="0.3">
      <c r="A1451" s="24">
        <v>36329</v>
      </c>
      <c r="B1451" s="66">
        <v>363.81700000000001</v>
      </c>
      <c r="C1451" s="67"/>
      <c r="D1451" s="68">
        <v>0</v>
      </c>
      <c r="E1451" s="110">
        <f t="shared" si="23"/>
        <v>37193</v>
      </c>
      <c r="F1451" s="69">
        <v>1.2625261420334445E-2</v>
      </c>
    </row>
    <row r="1452" spans="1:6" x14ac:dyDescent="0.3">
      <c r="A1452" s="24">
        <v>36330</v>
      </c>
      <c r="B1452" s="66">
        <v>363.81700000000001</v>
      </c>
      <c r="C1452" s="67"/>
      <c r="D1452" s="68">
        <v>0</v>
      </c>
      <c r="E1452" s="110">
        <f t="shared" si="23"/>
        <v>37193</v>
      </c>
      <c r="F1452" s="69">
        <v>1.2625261420334445E-2</v>
      </c>
    </row>
    <row r="1453" spans="1:6" x14ac:dyDescent="0.3">
      <c r="A1453" s="24">
        <v>36331</v>
      </c>
      <c r="B1453" s="66">
        <v>363.81700000000001</v>
      </c>
      <c r="C1453" s="67"/>
      <c r="D1453" s="68">
        <v>0</v>
      </c>
      <c r="E1453" s="110">
        <f t="shared" si="23"/>
        <v>37193</v>
      </c>
      <c r="F1453" s="69">
        <v>1.2625261420334445E-2</v>
      </c>
    </row>
    <row r="1454" spans="1:6" x14ac:dyDescent="0.3">
      <c r="A1454" s="24">
        <v>36332</v>
      </c>
      <c r="B1454" s="66">
        <v>363.81700000000001</v>
      </c>
      <c r="C1454" s="67"/>
      <c r="D1454" s="68">
        <v>0</v>
      </c>
      <c r="E1454" s="110">
        <f t="shared" si="23"/>
        <v>37193</v>
      </c>
      <c r="F1454" s="69">
        <v>1.2625261420334445E-2</v>
      </c>
    </row>
    <row r="1455" spans="1:6" x14ac:dyDescent="0.3">
      <c r="A1455" s="24">
        <v>36333</v>
      </c>
      <c r="B1455" s="66">
        <v>363.81700000000001</v>
      </c>
      <c r="C1455" s="67"/>
      <c r="D1455" s="68">
        <v>0</v>
      </c>
      <c r="E1455" s="110">
        <f t="shared" si="23"/>
        <v>37193</v>
      </c>
      <c r="F1455" s="69">
        <v>1.2625261420334445E-2</v>
      </c>
    </row>
    <row r="1456" spans="1:6" x14ac:dyDescent="0.3">
      <c r="A1456" s="24">
        <v>36334</v>
      </c>
      <c r="B1456" s="66">
        <v>363.81700000000001</v>
      </c>
      <c r="C1456" s="67"/>
      <c r="D1456" s="68">
        <v>0</v>
      </c>
      <c r="E1456" s="110">
        <f t="shared" si="23"/>
        <v>37193</v>
      </c>
      <c r="F1456" s="69">
        <v>1.2625261420334445E-2</v>
      </c>
    </row>
    <row r="1457" spans="1:6" x14ac:dyDescent="0.3">
      <c r="A1457" s="24">
        <v>36335</v>
      </c>
      <c r="B1457" s="66">
        <v>363.81700000000001</v>
      </c>
      <c r="C1457" s="67"/>
      <c r="D1457" s="68">
        <v>0</v>
      </c>
      <c r="E1457" s="110">
        <f t="shared" si="23"/>
        <v>37193</v>
      </c>
      <c r="F1457" s="69">
        <v>1.2625261420334445E-2</v>
      </c>
    </row>
    <row r="1458" spans="1:6" x14ac:dyDescent="0.3">
      <c r="A1458" s="24">
        <v>36336</v>
      </c>
      <c r="B1458" s="66">
        <v>363.81700000000001</v>
      </c>
      <c r="C1458" s="67"/>
      <c r="D1458" s="68">
        <v>0</v>
      </c>
      <c r="E1458" s="110">
        <f t="shared" si="23"/>
        <v>37193</v>
      </c>
      <c r="F1458" s="69">
        <v>1.2625261420334445E-2</v>
      </c>
    </row>
    <row r="1459" spans="1:6" x14ac:dyDescent="0.3">
      <c r="A1459" s="24">
        <v>36337</v>
      </c>
      <c r="B1459" s="66">
        <v>363.81700000000001</v>
      </c>
      <c r="C1459" s="67"/>
      <c r="D1459" s="68">
        <v>0</v>
      </c>
      <c r="E1459" s="110">
        <f t="shared" si="23"/>
        <v>37193</v>
      </c>
      <c r="F1459" s="69">
        <v>1.2625261420334445E-2</v>
      </c>
    </row>
    <row r="1460" spans="1:6" x14ac:dyDescent="0.3">
      <c r="A1460" s="24">
        <v>36338</v>
      </c>
      <c r="B1460" s="66">
        <v>363.81700000000001</v>
      </c>
      <c r="C1460" s="67"/>
      <c r="D1460" s="68">
        <v>0</v>
      </c>
      <c r="E1460" s="110">
        <f t="shared" si="23"/>
        <v>37193</v>
      </c>
      <c r="F1460" s="69">
        <v>1.2625261420334445E-2</v>
      </c>
    </row>
    <row r="1461" spans="1:6" x14ac:dyDescent="0.3">
      <c r="A1461" s="24">
        <v>36339</v>
      </c>
      <c r="B1461" s="66">
        <v>363.81700000000001</v>
      </c>
      <c r="C1461" s="67"/>
      <c r="D1461" s="68">
        <v>0</v>
      </c>
      <c r="E1461" s="110">
        <f t="shared" si="23"/>
        <v>37193</v>
      </c>
      <c r="F1461" s="69">
        <v>1.2625261420334445E-2</v>
      </c>
    </row>
    <row r="1462" spans="1:6" x14ac:dyDescent="0.3">
      <c r="A1462" s="24">
        <v>36340</v>
      </c>
      <c r="B1462" s="66">
        <v>363.81700000000001</v>
      </c>
      <c r="C1462" s="67"/>
      <c r="D1462" s="68">
        <v>0</v>
      </c>
      <c r="E1462" s="110">
        <f t="shared" si="23"/>
        <v>37193</v>
      </c>
      <c r="F1462" s="69">
        <v>1.279351018846525E-2</v>
      </c>
    </row>
    <row r="1463" spans="1:6" x14ac:dyDescent="0.3">
      <c r="A1463" s="24">
        <v>36341</v>
      </c>
      <c r="B1463" s="66">
        <v>366.38499999999999</v>
      </c>
      <c r="C1463" s="67"/>
      <c r="D1463" s="68">
        <v>0</v>
      </c>
      <c r="E1463" s="110">
        <f t="shared" si="23"/>
        <v>37193</v>
      </c>
      <c r="F1463" s="69">
        <v>1.279351018846525E-2</v>
      </c>
    </row>
    <row r="1464" spans="1:6" x14ac:dyDescent="0.3">
      <c r="A1464" s="24">
        <v>36342</v>
      </c>
      <c r="B1464" s="66">
        <v>366.38499999999999</v>
      </c>
      <c r="C1464" s="67"/>
      <c r="D1464" s="68">
        <v>0</v>
      </c>
      <c r="E1464" s="110">
        <f t="shared" si="23"/>
        <v>37193</v>
      </c>
      <c r="F1464" s="69">
        <v>1.279351018846525E-2</v>
      </c>
    </row>
    <row r="1465" spans="1:6" x14ac:dyDescent="0.3">
      <c r="A1465" s="24">
        <v>36343</v>
      </c>
      <c r="B1465" s="66">
        <v>366.38499999999999</v>
      </c>
      <c r="C1465" s="67"/>
      <c r="D1465" s="68">
        <v>0</v>
      </c>
      <c r="E1465" s="110">
        <f t="shared" si="23"/>
        <v>37193</v>
      </c>
      <c r="F1465" s="69">
        <v>1.279351018846525E-2</v>
      </c>
    </row>
    <row r="1466" spans="1:6" x14ac:dyDescent="0.3">
      <c r="A1466" s="24">
        <v>36344</v>
      </c>
      <c r="B1466" s="66">
        <v>366.38499999999999</v>
      </c>
      <c r="C1466" s="67"/>
      <c r="D1466" s="68">
        <v>0</v>
      </c>
      <c r="E1466" s="110">
        <f t="shared" si="23"/>
        <v>37193</v>
      </c>
      <c r="F1466" s="69">
        <v>1.279351018846525E-2</v>
      </c>
    </row>
    <row r="1467" spans="1:6" x14ac:dyDescent="0.3">
      <c r="A1467" s="24">
        <v>36345</v>
      </c>
      <c r="B1467" s="66">
        <v>366.38499999999999</v>
      </c>
      <c r="C1467" s="67"/>
      <c r="D1467" s="68">
        <v>0</v>
      </c>
      <c r="E1467" s="110">
        <f t="shared" si="23"/>
        <v>37193</v>
      </c>
      <c r="F1467" s="69">
        <v>1.279351018846525E-2</v>
      </c>
    </row>
    <row r="1468" spans="1:6" x14ac:dyDescent="0.3">
      <c r="A1468" s="24">
        <v>36346</v>
      </c>
      <c r="B1468" s="66">
        <v>366.38499999999999</v>
      </c>
      <c r="C1468" s="67"/>
      <c r="D1468" s="68">
        <v>0</v>
      </c>
      <c r="E1468" s="110">
        <f t="shared" si="23"/>
        <v>37193</v>
      </c>
      <c r="F1468" s="69">
        <v>1.279351018846525E-2</v>
      </c>
    </row>
    <row r="1469" spans="1:6" x14ac:dyDescent="0.3">
      <c r="A1469" s="24">
        <v>36347</v>
      </c>
      <c r="B1469" s="66">
        <v>366.38499999999999</v>
      </c>
      <c r="C1469" s="67"/>
      <c r="D1469" s="68">
        <v>0</v>
      </c>
      <c r="E1469" s="110">
        <f t="shared" si="23"/>
        <v>37193</v>
      </c>
      <c r="F1469" s="69">
        <v>1.279351018846525E-2</v>
      </c>
    </row>
    <row r="1470" spans="1:6" x14ac:dyDescent="0.3">
      <c r="A1470" s="24">
        <v>36348</v>
      </c>
      <c r="B1470" s="66">
        <v>366.38499999999999</v>
      </c>
      <c r="C1470" s="67"/>
      <c r="D1470" s="68">
        <v>0</v>
      </c>
      <c r="E1470" s="110">
        <f t="shared" si="23"/>
        <v>37193</v>
      </c>
      <c r="F1470" s="69">
        <v>1.279351018846525E-2</v>
      </c>
    </row>
    <row r="1471" spans="1:6" x14ac:dyDescent="0.3">
      <c r="A1471" s="24">
        <v>36349</v>
      </c>
      <c r="B1471" s="66">
        <v>366.38499999999999</v>
      </c>
      <c r="C1471" s="67"/>
      <c r="D1471" s="68">
        <v>0</v>
      </c>
      <c r="E1471" s="110">
        <f t="shared" si="23"/>
        <v>37193</v>
      </c>
      <c r="F1471" s="69">
        <v>1.279351018846525E-2</v>
      </c>
    </row>
    <row r="1472" spans="1:6" x14ac:dyDescent="0.3">
      <c r="A1472" s="24">
        <v>36350</v>
      </c>
      <c r="B1472" s="66">
        <v>366.38499999999999</v>
      </c>
      <c r="C1472" s="67"/>
      <c r="D1472" s="68">
        <v>0</v>
      </c>
      <c r="E1472" s="110">
        <f t="shared" si="23"/>
        <v>37193</v>
      </c>
      <c r="F1472" s="69">
        <v>1.279351018846525E-2</v>
      </c>
    </row>
    <row r="1473" spans="1:6" x14ac:dyDescent="0.3">
      <c r="A1473" s="24">
        <v>36351</v>
      </c>
      <c r="B1473" s="66">
        <v>366.38499999999999</v>
      </c>
      <c r="C1473" s="67"/>
      <c r="D1473" s="68">
        <v>0</v>
      </c>
      <c r="E1473" s="110">
        <f t="shared" si="23"/>
        <v>37193</v>
      </c>
      <c r="F1473" s="69">
        <v>1.279351018846525E-2</v>
      </c>
    </row>
    <row r="1474" spans="1:6" x14ac:dyDescent="0.3">
      <c r="A1474" s="24">
        <v>36352</v>
      </c>
      <c r="B1474" s="66">
        <v>366.38499999999999</v>
      </c>
      <c r="C1474" s="67"/>
      <c r="D1474" s="68">
        <v>0</v>
      </c>
      <c r="E1474" s="110">
        <f t="shared" si="23"/>
        <v>37193</v>
      </c>
      <c r="F1474" s="69">
        <v>1.279351018846525E-2</v>
      </c>
    </row>
    <row r="1475" spans="1:6" x14ac:dyDescent="0.3">
      <c r="A1475" s="24">
        <v>36353</v>
      </c>
      <c r="B1475" s="66">
        <v>366.38499999999999</v>
      </c>
      <c r="C1475" s="67"/>
      <c r="D1475" s="68">
        <v>0</v>
      </c>
      <c r="E1475" s="110">
        <f t="shared" si="23"/>
        <v>37193</v>
      </c>
      <c r="F1475" s="69">
        <v>1.279351018846525E-2</v>
      </c>
    </row>
    <row r="1476" spans="1:6" x14ac:dyDescent="0.3">
      <c r="A1476" s="24">
        <v>36354</v>
      </c>
      <c r="B1476" s="66">
        <v>366.38499999999999</v>
      </c>
      <c r="C1476" s="67"/>
      <c r="D1476" s="68">
        <v>0</v>
      </c>
      <c r="E1476" s="110">
        <f t="shared" si="23"/>
        <v>37193</v>
      </c>
      <c r="F1476" s="69">
        <v>1.279351018846525E-2</v>
      </c>
    </row>
    <row r="1477" spans="1:6" x14ac:dyDescent="0.3">
      <c r="A1477" s="24">
        <v>36355</v>
      </c>
      <c r="B1477" s="66">
        <v>366.38499999999999</v>
      </c>
      <c r="C1477" s="67"/>
      <c r="D1477" s="68">
        <v>0</v>
      </c>
      <c r="E1477" s="110">
        <f t="shared" si="23"/>
        <v>37193</v>
      </c>
      <c r="F1477" s="69">
        <v>1.279351018846525E-2</v>
      </c>
    </row>
    <row r="1478" spans="1:6" x14ac:dyDescent="0.3">
      <c r="A1478" s="24">
        <v>36356</v>
      </c>
      <c r="B1478" s="66">
        <v>366.38499999999999</v>
      </c>
      <c r="C1478" s="67"/>
      <c r="D1478" s="68">
        <v>0</v>
      </c>
      <c r="E1478" s="110">
        <f t="shared" si="23"/>
        <v>37193</v>
      </c>
      <c r="F1478" s="69">
        <v>1.279351018846525E-2</v>
      </c>
    </row>
    <row r="1479" spans="1:6" x14ac:dyDescent="0.3">
      <c r="A1479" s="24">
        <v>36357</v>
      </c>
      <c r="B1479" s="66">
        <v>366.38499999999999</v>
      </c>
      <c r="C1479" s="67"/>
      <c r="D1479" s="68">
        <v>0</v>
      </c>
      <c r="E1479" s="110">
        <f t="shared" si="23"/>
        <v>37193</v>
      </c>
      <c r="F1479" s="69">
        <v>1.279351018846525E-2</v>
      </c>
    </row>
    <row r="1480" spans="1:6" x14ac:dyDescent="0.3">
      <c r="A1480" s="24">
        <v>36358</v>
      </c>
      <c r="B1480" s="66">
        <v>366.38499999999999</v>
      </c>
      <c r="C1480" s="67"/>
      <c r="D1480" s="68">
        <v>0</v>
      </c>
      <c r="E1480" s="110">
        <f t="shared" si="23"/>
        <v>37193</v>
      </c>
      <c r="F1480" s="69">
        <v>1.279351018846525E-2</v>
      </c>
    </row>
    <row r="1481" spans="1:6" x14ac:dyDescent="0.3">
      <c r="A1481" s="24">
        <v>36359</v>
      </c>
      <c r="B1481" s="66">
        <v>366.38499999999999</v>
      </c>
      <c r="C1481" s="67"/>
      <c r="D1481" s="68">
        <v>0</v>
      </c>
      <c r="E1481" s="110">
        <f t="shared" si="23"/>
        <v>37193</v>
      </c>
      <c r="F1481" s="69">
        <v>1.279351018846525E-2</v>
      </c>
    </row>
    <row r="1482" spans="1:6" x14ac:dyDescent="0.3">
      <c r="A1482" s="24">
        <v>36360</v>
      </c>
      <c r="B1482" s="66">
        <v>366.38499999999999</v>
      </c>
      <c r="C1482" s="67"/>
      <c r="D1482" s="68">
        <v>0</v>
      </c>
      <c r="E1482" s="110">
        <f t="shared" si="23"/>
        <v>37193</v>
      </c>
      <c r="F1482" s="69">
        <v>1.279351018846525E-2</v>
      </c>
    </row>
    <row r="1483" spans="1:6" x14ac:dyDescent="0.3">
      <c r="A1483" s="24">
        <v>36361</v>
      </c>
      <c r="B1483" s="66">
        <v>366.38499999999999</v>
      </c>
      <c r="C1483" s="67"/>
      <c r="D1483" s="68">
        <v>0</v>
      </c>
      <c r="E1483" s="110">
        <f t="shared" si="23"/>
        <v>37193</v>
      </c>
      <c r="F1483" s="69">
        <v>1.279351018846525E-2</v>
      </c>
    </row>
    <row r="1484" spans="1:6" x14ac:dyDescent="0.3">
      <c r="A1484" s="24">
        <v>36362</v>
      </c>
      <c r="B1484" s="66">
        <v>366.38499999999999</v>
      </c>
      <c r="C1484" s="67"/>
      <c r="D1484" s="68">
        <v>0</v>
      </c>
      <c r="E1484" s="110">
        <f t="shared" si="23"/>
        <v>37193</v>
      </c>
      <c r="F1484" s="69">
        <v>1.279351018846525E-2</v>
      </c>
    </row>
    <row r="1485" spans="1:6" x14ac:dyDescent="0.3">
      <c r="A1485" s="24">
        <v>36363</v>
      </c>
      <c r="B1485" s="66">
        <v>366.38499999999999</v>
      </c>
      <c r="C1485" s="67"/>
      <c r="D1485" s="68">
        <v>0</v>
      </c>
      <c r="E1485" s="110">
        <f t="shared" si="23"/>
        <v>37193</v>
      </c>
      <c r="F1485" s="69">
        <v>1.279351018846525E-2</v>
      </c>
    </row>
    <row r="1486" spans="1:6" x14ac:dyDescent="0.3">
      <c r="A1486" s="24">
        <v>36364</v>
      </c>
      <c r="B1486" s="66">
        <v>366.38499999999999</v>
      </c>
      <c r="C1486" s="67"/>
      <c r="D1486" s="68">
        <v>0</v>
      </c>
      <c r="E1486" s="110">
        <f t="shared" si="23"/>
        <v>37193</v>
      </c>
      <c r="F1486" s="69">
        <v>1.279351018846525E-2</v>
      </c>
    </row>
    <row r="1487" spans="1:6" x14ac:dyDescent="0.3">
      <c r="A1487" s="24">
        <v>36365</v>
      </c>
      <c r="B1487" s="66">
        <v>366.38499999999999</v>
      </c>
      <c r="C1487" s="67"/>
      <c r="D1487" s="68">
        <v>0</v>
      </c>
      <c r="E1487" s="110">
        <f t="shared" si="23"/>
        <v>37193</v>
      </c>
      <c r="F1487" s="69">
        <v>1.279351018846525E-2</v>
      </c>
    </row>
    <row r="1488" spans="1:6" x14ac:dyDescent="0.3">
      <c r="A1488" s="24">
        <v>36366</v>
      </c>
      <c r="B1488" s="66">
        <v>366.38499999999999</v>
      </c>
      <c r="C1488" s="67"/>
      <c r="D1488" s="68">
        <v>0</v>
      </c>
      <c r="E1488" s="110">
        <f t="shared" si="23"/>
        <v>37193</v>
      </c>
      <c r="F1488" s="69">
        <v>1.279351018846525E-2</v>
      </c>
    </row>
    <row r="1489" spans="1:6" x14ac:dyDescent="0.3">
      <c r="A1489" s="24">
        <v>36367</v>
      </c>
      <c r="B1489" s="66">
        <v>366.38499999999999</v>
      </c>
      <c r="C1489" s="67"/>
      <c r="D1489" s="68">
        <v>0</v>
      </c>
      <c r="E1489" s="110">
        <f t="shared" si="23"/>
        <v>37193</v>
      </c>
      <c r="F1489" s="69">
        <v>1.279351018846525E-2</v>
      </c>
    </row>
    <row r="1490" spans="1:6" x14ac:dyDescent="0.3">
      <c r="A1490" s="24">
        <v>36368</v>
      </c>
      <c r="B1490" s="66">
        <v>366.38499999999999</v>
      </c>
      <c r="C1490" s="67"/>
      <c r="D1490" s="68">
        <v>0</v>
      </c>
      <c r="E1490" s="110">
        <f t="shared" ref="E1490:E1553" si="24">+E1489</f>
        <v>37193</v>
      </c>
      <c r="F1490" s="69">
        <v>1.279351018846525E-2</v>
      </c>
    </row>
    <row r="1491" spans="1:6" x14ac:dyDescent="0.3">
      <c r="A1491" s="24">
        <v>36369</v>
      </c>
      <c r="B1491" s="66">
        <v>366.38499999999999</v>
      </c>
      <c r="C1491" s="67"/>
      <c r="D1491" s="68">
        <v>0</v>
      </c>
      <c r="E1491" s="110">
        <f t="shared" si="24"/>
        <v>37193</v>
      </c>
      <c r="F1491" s="69">
        <v>1.279351018846525E-2</v>
      </c>
    </row>
    <row r="1492" spans="1:6" x14ac:dyDescent="0.3">
      <c r="A1492" s="24">
        <v>36370</v>
      </c>
      <c r="B1492" s="66">
        <v>366.38499999999999</v>
      </c>
      <c r="C1492" s="67"/>
      <c r="D1492" s="68">
        <v>0</v>
      </c>
      <c r="E1492" s="110">
        <f t="shared" si="24"/>
        <v>37193</v>
      </c>
      <c r="F1492" s="69">
        <v>1.279351018846525E-2</v>
      </c>
    </row>
    <row r="1493" spans="1:6" x14ac:dyDescent="0.3">
      <c r="A1493" s="24">
        <v>36371</v>
      </c>
      <c r="B1493" s="66">
        <v>366.38499999999999</v>
      </c>
      <c r="C1493" s="67"/>
      <c r="D1493" s="68">
        <v>0</v>
      </c>
      <c r="E1493" s="110">
        <f t="shared" si="24"/>
        <v>37193</v>
      </c>
      <c r="F1493" s="69">
        <v>1.279351018846525E-2</v>
      </c>
    </row>
    <row r="1494" spans="1:6" x14ac:dyDescent="0.3">
      <c r="A1494" s="24">
        <v>36372</v>
      </c>
      <c r="B1494" s="66">
        <v>366.38499999999999</v>
      </c>
      <c r="C1494" s="67"/>
      <c r="D1494" s="68">
        <v>0</v>
      </c>
      <c r="E1494" s="110">
        <f t="shared" si="24"/>
        <v>37193</v>
      </c>
      <c r="F1494" s="69">
        <v>1.279351018846525E-2</v>
      </c>
    </row>
    <row r="1495" spans="1:6" x14ac:dyDescent="0.3">
      <c r="A1495" s="24">
        <v>36373</v>
      </c>
      <c r="B1495" s="66">
        <v>366.38499999999999</v>
      </c>
      <c r="C1495" s="67"/>
      <c r="D1495" s="68">
        <v>0</v>
      </c>
      <c r="E1495" s="110">
        <f t="shared" si="24"/>
        <v>37193</v>
      </c>
      <c r="F1495" s="69">
        <v>1.279351018846525E-2</v>
      </c>
    </row>
    <row r="1496" spans="1:6" x14ac:dyDescent="0.3">
      <c r="A1496" s="24">
        <v>36374</v>
      </c>
      <c r="B1496" s="66">
        <v>366.38499999999999</v>
      </c>
      <c r="C1496" s="67"/>
      <c r="D1496" s="68">
        <v>0</v>
      </c>
      <c r="E1496" s="110">
        <f t="shared" si="24"/>
        <v>37193</v>
      </c>
      <c r="F1496" s="69">
        <v>1.279351018846525E-2</v>
      </c>
    </row>
    <row r="1497" spans="1:6" x14ac:dyDescent="0.3">
      <c r="A1497" s="24">
        <v>36375</v>
      </c>
      <c r="B1497" s="66">
        <v>366.38499999999999</v>
      </c>
      <c r="C1497" s="67"/>
      <c r="D1497" s="68">
        <v>0</v>
      </c>
      <c r="E1497" s="110">
        <f t="shared" si="24"/>
        <v>37193</v>
      </c>
      <c r="F1497" s="69">
        <v>1.279351018846525E-2</v>
      </c>
    </row>
    <row r="1498" spans="1:6" x14ac:dyDescent="0.3">
      <c r="A1498" s="24">
        <v>36376</v>
      </c>
      <c r="B1498" s="66">
        <v>366.38499999999999</v>
      </c>
      <c r="C1498" s="67"/>
      <c r="D1498" s="68">
        <v>0</v>
      </c>
      <c r="E1498" s="110">
        <f t="shared" si="24"/>
        <v>37193</v>
      </c>
      <c r="F1498" s="69">
        <v>1.279351018846525E-2</v>
      </c>
    </row>
    <row r="1499" spans="1:6" x14ac:dyDescent="0.3">
      <c r="A1499" s="24">
        <v>36377</v>
      </c>
      <c r="B1499" s="66">
        <v>366.38499999999999</v>
      </c>
      <c r="C1499" s="67"/>
      <c r="D1499" s="68">
        <v>0</v>
      </c>
      <c r="E1499" s="110">
        <f t="shared" si="24"/>
        <v>37193</v>
      </c>
      <c r="F1499" s="69">
        <v>1.279351018846525E-2</v>
      </c>
    </row>
    <row r="1500" spans="1:6" x14ac:dyDescent="0.3">
      <c r="A1500" s="24">
        <v>36378</v>
      </c>
      <c r="B1500" s="66">
        <v>366.38499999999999</v>
      </c>
      <c r="C1500" s="67"/>
      <c r="D1500" s="68">
        <v>0</v>
      </c>
      <c r="E1500" s="110">
        <f t="shared" si="24"/>
        <v>37193</v>
      </c>
      <c r="F1500" s="69">
        <v>1.279351018846525E-2</v>
      </c>
    </row>
    <row r="1501" spans="1:6" x14ac:dyDescent="0.3">
      <c r="A1501" s="24">
        <v>36379</v>
      </c>
      <c r="B1501" s="66">
        <v>366.38499999999999</v>
      </c>
      <c r="C1501" s="67"/>
      <c r="D1501" s="68">
        <v>0</v>
      </c>
      <c r="E1501" s="110">
        <f t="shared" si="24"/>
        <v>37193</v>
      </c>
      <c r="F1501" s="69">
        <v>1.279351018846525E-2</v>
      </c>
    </row>
    <row r="1502" spans="1:6" x14ac:dyDescent="0.3">
      <c r="A1502" s="24">
        <v>36380</v>
      </c>
      <c r="B1502" s="66">
        <v>366.38499999999999</v>
      </c>
      <c r="C1502" s="67"/>
      <c r="D1502" s="68">
        <v>0</v>
      </c>
      <c r="E1502" s="110">
        <f t="shared" si="24"/>
        <v>37193</v>
      </c>
      <c r="F1502" s="69">
        <v>1.279351018846525E-2</v>
      </c>
    </row>
    <row r="1503" spans="1:6" x14ac:dyDescent="0.3">
      <c r="A1503" s="24">
        <v>36381</v>
      </c>
      <c r="B1503" s="66">
        <v>366.38499999999999</v>
      </c>
      <c r="C1503" s="67"/>
      <c r="D1503" s="68">
        <v>0</v>
      </c>
      <c r="E1503" s="110">
        <f t="shared" si="24"/>
        <v>37193</v>
      </c>
      <c r="F1503" s="69">
        <v>1.279351018846525E-2</v>
      </c>
    </row>
    <row r="1504" spans="1:6" x14ac:dyDescent="0.3">
      <c r="A1504" s="24">
        <v>36382</v>
      </c>
      <c r="B1504" s="66">
        <v>366.38499999999999</v>
      </c>
      <c r="C1504" s="67"/>
      <c r="D1504" s="68">
        <v>0</v>
      </c>
      <c r="E1504" s="110">
        <f t="shared" si="24"/>
        <v>37193</v>
      </c>
      <c r="F1504" s="69">
        <v>1.279351018846525E-2</v>
      </c>
    </row>
    <row r="1505" spans="1:6" x14ac:dyDescent="0.3">
      <c r="A1505" s="24">
        <v>36383</v>
      </c>
      <c r="B1505" s="66">
        <v>366.38499999999999</v>
      </c>
      <c r="C1505" s="67"/>
      <c r="D1505" s="68">
        <v>0</v>
      </c>
      <c r="E1505" s="110">
        <f t="shared" si="24"/>
        <v>37193</v>
      </c>
      <c r="F1505" s="69">
        <v>1.279351018846525E-2</v>
      </c>
    </row>
    <row r="1506" spans="1:6" x14ac:dyDescent="0.3">
      <c r="A1506" s="24">
        <v>36384</v>
      </c>
      <c r="B1506" s="66">
        <v>366.38499999999999</v>
      </c>
      <c r="C1506" s="67"/>
      <c r="D1506" s="68">
        <v>0</v>
      </c>
      <c r="E1506" s="110">
        <f t="shared" si="24"/>
        <v>37193</v>
      </c>
      <c r="F1506" s="69">
        <v>1.279351018846525E-2</v>
      </c>
    </row>
    <row r="1507" spans="1:6" x14ac:dyDescent="0.3">
      <c r="A1507" s="24">
        <v>36385</v>
      </c>
      <c r="B1507" s="66">
        <v>366.38499999999999</v>
      </c>
      <c r="C1507" s="67"/>
      <c r="D1507" s="68">
        <v>0</v>
      </c>
      <c r="E1507" s="110">
        <f t="shared" si="24"/>
        <v>37193</v>
      </c>
      <c r="F1507" s="69">
        <v>1.279351018846525E-2</v>
      </c>
    </row>
    <row r="1508" spans="1:6" x14ac:dyDescent="0.3">
      <c r="A1508" s="24">
        <v>36386</v>
      </c>
      <c r="B1508" s="66">
        <v>366.38499999999999</v>
      </c>
      <c r="C1508" s="67"/>
      <c r="D1508" s="68">
        <v>0</v>
      </c>
      <c r="E1508" s="110">
        <f t="shared" si="24"/>
        <v>37193</v>
      </c>
      <c r="F1508" s="69">
        <v>1.279351018846525E-2</v>
      </c>
    </row>
    <row r="1509" spans="1:6" x14ac:dyDescent="0.3">
      <c r="A1509" s="24">
        <v>36387</v>
      </c>
      <c r="B1509" s="66">
        <v>366.38499999999999</v>
      </c>
      <c r="C1509" s="67"/>
      <c r="D1509" s="68">
        <v>0</v>
      </c>
      <c r="E1509" s="110">
        <f t="shared" si="24"/>
        <v>37193</v>
      </c>
      <c r="F1509" s="69">
        <v>1.279351018846525E-2</v>
      </c>
    </row>
    <row r="1510" spans="1:6" x14ac:dyDescent="0.3">
      <c r="A1510" s="24">
        <v>36388</v>
      </c>
      <c r="B1510" s="66">
        <v>366.38499999999999</v>
      </c>
      <c r="C1510" s="67"/>
      <c r="D1510" s="68">
        <v>0</v>
      </c>
      <c r="E1510" s="110">
        <f t="shared" si="24"/>
        <v>37193</v>
      </c>
      <c r="F1510" s="69">
        <v>1.279351018846525E-2</v>
      </c>
    </row>
    <row r="1511" spans="1:6" x14ac:dyDescent="0.3">
      <c r="A1511" s="24">
        <v>36389</v>
      </c>
      <c r="B1511" s="66">
        <v>366.38499999999999</v>
      </c>
      <c r="C1511" s="67"/>
      <c r="D1511" s="68">
        <v>0</v>
      </c>
      <c r="E1511" s="110">
        <f t="shared" si="24"/>
        <v>37193</v>
      </c>
      <c r="F1511" s="69">
        <v>1.279351018846525E-2</v>
      </c>
    </row>
    <row r="1512" spans="1:6" x14ac:dyDescent="0.3">
      <c r="A1512" s="24">
        <v>36390</v>
      </c>
      <c r="B1512" s="66">
        <v>366.38499999999999</v>
      </c>
      <c r="C1512" s="67"/>
      <c r="D1512" s="68">
        <v>0</v>
      </c>
      <c r="E1512" s="110">
        <f t="shared" si="24"/>
        <v>37193</v>
      </c>
      <c r="F1512" s="69">
        <v>1.279351018846525E-2</v>
      </c>
    </row>
    <row r="1513" spans="1:6" x14ac:dyDescent="0.3">
      <c r="A1513" s="24">
        <v>36391</v>
      </c>
      <c r="B1513" s="66">
        <v>366.38499999999999</v>
      </c>
      <c r="C1513" s="67"/>
      <c r="D1513" s="68">
        <v>0</v>
      </c>
      <c r="E1513" s="110">
        <f t="shared" si="24"/>
        <v>37193</v>
      </c>
      <c r="F1513" s="69">
        <v>1.279351018846525E-2</v>
      </c>
    </row>
    <row r="1514" spans="1:6" x14ac:dyDescent="0.3">
      <c r="A1514" s="24">
        <v>36392</v>
      </c>
      <c r="B1514" s="66">
        <v>366.38499999999999</v>
      </c>
      <c r="C1514" s="67"/>
      <c r="D1514" s="68">
        <v>0</v>
      </c>
      <c r="E1514" s="110">
        <f t="shared" si="24"/>
        <v>37193</v>
      </c>
      <c r="F1514" s="69">
        <v>1.279351018846525E-2</v>
      </c>
    </row>
    <row r="1515" spans="1:6" x14ac:dyDescent="0.3">
      <c r="A1515" s="24">
        <v>36393</v>
      </c>
      <c r="B1515" s="66">
        <v>366.38499999999999</v>
      </c>
      <c r="C1515" s="67"/>
      <c r="D1515" s="68">
        <v>0</v>
      </c>
      <c r="E1515" s="110">
        <f t="shared" si="24"/>
        <v>37193</v>
      </c>
      <c r="F1515" s="69">
        <v>1.279351018846525E-2</v>
      </c>
    </row>
    <row r="1516" spans="1:6" x14ac:dyDescent="0.3">
      <c r="A1516" s="24">
        <v>36394</v>
      </c>
      <c r="B1516" s="66">
        <v>366.38499999999999</v>
      </c>
      <c r="C1516" s="67"/>
      <c r="D1516" s="68">
        <v>0</v>
      </c>
      <c r="E1516" s="110">
        <f t="shared" si="24"/>
        <v>37193</v>
      </c>
      <c r="F1516" s="69">
        <v>1.279351018846525E-2</v>
      </c>
    </row>
    <row r="1517" spans="1:6" x14ac:dyDescent="0.3">
      <c r="A1517" s="24">
        <v>36395</v>
      </c>
      <c r="B1517" s="66">
        <v>366.38499999999999</v>
      </c>
      <c r="C1517" s="67"/>
      <c r="D1517" s="68">
        <v>0</v>
      </c>
      <c r="E1517" s="110">
        <f t="shared" si="24"/>
        <v>37193</v>
      </c>
      <c r="F1517" s="69">
        <v>1.279351018846525E-2</v>
      </c>
    </row>
    <row r="1518" spans="1:6" x14ac:dyDescent="0.3">
      <c r="A1518" s="24">
        <v>36396</v>
      </c>
      <c r="B1518" s="66">
        <v>366.38499999999999</v>
      </c>
      <c r="C1518" s="67"/>
      <c r="D1518" s="68">
        <v>0</v>
      </c>
      <c r="E1518" s="110">
        <f t="shared" si="24"/>
        <v>37193</v>
      </c>
      <c r="F1518" s="69">
        <v>1.279351018846525E-2</v>
      </c>
    </row>
    <row r="1519" spans="1:6" x14ac:dyDescent="0.3">
      <c r="A1519" s="24">
        <v>36397</v>
      </c>
      <c r="B1519" s="66">
        <v>366.38499999999999</v>
      </c>
      <c r="C1519" s="67"/>
      <c r="D1519" s="68">
        <v>0</v>
      </c>
      <c r="E1519" s="110">
        <f t="shared" si="24"/>
        <v>37193</v>
      </c>
      <c r="F1519" s="69">
        <v>1.279351018846525E-2</v>
      </c>
    </row>
    <row r="1520" spans="1:6" x14ac:dyDescent="0.3">
      <c r="A1520" s="24">
        <v>36398</v>
      </c>
      <c r="B1520" s="66">
        <v>366.38499999999999</v>
      </c>
      <c r="C1520" s="67"/>
      <c r="D1520" s="68">
        <v>0</v>
      </c>
      <c r="E1520" s="110">
        <f t="shared" si="24"/>
        <v>37193</v>
      </c>
      <c r="F1520" s="69">
        <v>1.279351018846525E-2</v>
      </c>
    </row>
    <row r="1521" spans="1:6" x14ac:dyDescent="0.3">
      <c r="A1521" s="24">
        <v>36399</v>
      </c>
      <c r="B1521" s="66">
        <v>366.38499999999999</v>
      </c>
      <c r="C1521" s="67"/>
      <c r="D1521" s="68">
        <v>0</v>
      </c>
      <c r="E1521" s="110">
        <f t="shared" si="24"/>
        <v>37193</v>
      </c>
      <c r="F1521" s="69">
        <v>1.279351018846525E-2</v>
      </c>
    </row>
    <row r="1522" spans="1:6" x14ac:dyDescent="0.3">
      <c r="A1522" s="24">
        <v>36400</v>
      </c>
      <c r="B1522" s="66">
        <v>366.38499999999999</v>
      </c>
      <c r="C1522" s="67"/>
      <c r="D1522" s="68">
        <v>0</v>
      </c>
      <c r="E1522" s="110">
        <f t="shared" si="24"/>
        <v>37193</v>
      </c>
      <c r="F1522" s="69">
        <v>1.279351018846525E-2</v>
      </c>
    </row>
    <row r="1523" spans="1:6" x14ac:dyDescent="0.3">
      <c r="A1523" s="24">
        <v>36401</v>
      </c>
      <c r="B1523" s="66">
        <v>366.38499999999999</v>
      </c>
      <c r="C1523" s="67"/>
      <c r="D1523" s="68">
        <v>0</v>
      </c>
      <c r="E1523" s="110">
        <f t="shared" si="24"/>
        <v>37193</v>
      </c>
      <c r="F1523" s="69">
        <v>1.279351018846525E-2</v>
      </c>
    </row>
    <row r="1524" spans="1:6" x14ac:dyDescent="0.3">
      <c r="A1524" s="24">
        <v>36402</v>
      </c>
      <c r="B1524" s="66">
        <v>366.38499999999999</v>
      </c>
      <c r="C1524" s="67"/>
      <c r="D1524" s="68">
        <v>0</v>
      </c>
      <c r="E1524" s="110">
        <f t="shared" si="24"/>
        <v>37193</v>
      </c>
      <c r="F1524" s="69">
        <v>1.279351018846525E-2</v>
      </c>
    </row>
    <row r="1525" spans="1:6" x14ac:dyDescent="0.3">
      <c r="A1525" s="24">
        <v>36403</v>
      </c>
      <c r="B1525" s="66">
        <v>366.38499999999999</v>
      </c>
      <c r="C1525" s="67"/>
      <c r="D1525" s="68">
        <v>0</v>
      </c>
      <c r="E1525" s="110">
        <f t="shared" si="24"/>
        <v>37193</v>
      </c>
      <c r="F1525" s="69">
        <v>1.279351018846525E-2</v>
      </c>
    </row>
    <row r="1526" spans="1:6" x14ac:dyDescent="0.3">
      <c r="A1526" s="24">
        <v>36404</v>
      </c>
      <c r="B1526" s="66">
        <v>366.38499999999999</v>
      </c>
      <c r="C1526" s="67"/>
      <c r="D1526" s="68">
        <v>0</v>
      </c>
      <c r="E1526" s="110">
        <f t="shared" si="24"/>
        <v>37193</v>
      </c>
      <c r="F1526" s="69">
        <v>1.279351018846525E-2</v>
      </c>
    </row>
    <row r="1527" spans="1:6" x14ac:dyDescent="0.3">
      <c r="A1527" s="24">
        <v>36405</v>
      </c>
      <c r="B1527" s="66">
        <v>366.38499999999999</v>
      </c>
      <c r="C1527" s="67"/>
      <c r="D1527" s="68">
        <v>0</v>
      </c>
      <c r="E1527" s="110">
        <f t="shared" si="24"/>
        <v>37193</v>
      </c>
      <c r="F1527" s="69">
        <v>1.279351018846525E-2</v>
      </c>
    </row>
    <row r="1528" spans="1:6" x14ac:dyDescent="0.3">
      <c r="A1528" s="24">
        <v>36406</v>
      </c>
      <c r="B1528" s="66">
        <v>366.38499999999999</v>
      </c>
      <c r="C1528" s="67"/>
      <c r="D1528" s="68">
        <v>0</v>
      </c>
      <c r="E1528" s="110">
        <f t="shared" si="24"/>
        <v>37193</v>
      </c>
      <c r="F1528" s="69">
        <v>1.279351018846525E-2</v>
      </c>
    </row>
    <row r="1529" spans="1:6" x14ac:dyDescent="0.3">
      <c r="A1529" s="24">
        <v>36407</v>
      </c>
      <c r="B1529" s="66">
        <v>366.38499999999999</v>
      </c>
      <c r="C1529" s="67"/>
      <c r="D1529" s="68">
        <v>0</v>
      </c>
      <c r="E1529" s="110">
        <f t="shared" si="24"/>
        <v>37193</v>
      </c>
      <c r="F1529" s="69">
        <v>1.279351018846525E-2</v>
      </c>
    </row>
    <row r="1530" spans="1:6" x14ac:dyDescent="0.3">
      <c r="A1530" s="24">
        <v>36408</v>
      </c>
      <c r="B1530" s="66">
        <v>366.38499999999999</v>
      </c>
      <c r="C1530" s="67"/>
      <c r="D1530" s="68">
        <v>0</v>
      </c>
      <c r="E1530" s="110">
        <f t="shared" si="24"/>
        <v>37193</v>
      </c>
      <c r="F1530" s="69">
        <v>1.279351018846525E-2</v>
      </c>
    </row>
    <row r="1531" spans="1:6" x14ac:dyDescent="0.3">
      <c r="A1531" s="24">
        <v>36409</v>
      </c>
      <c r="B1531" s="66">
        <v>366.38499999999999</v>
      </c>
      <c r="C1531" s="67"/>
      <c r="D1531" s="68">
        <v>0</v>
      </c>
      <c r="E1531" s="110">
        <f t="shared" si="24"/>
        <v>37193</v>
      </c>
      <c r="F1531" s="69">
        <v>1.279351018846525E-2</v>
      </c>
    </row>
    <row r="1532" spans="1:6" x14ac:dyDescent="0.3">
      <c r="A1532" s="24">
        <v>36410</v>
      </c>
      <c r="B1532" s="66">
        <v>366.38499999999999</v>
      </c>
      <c r="C1532" s="67"/>
      <c r="D1532" s="68">
        <v>0</v>
      </c>
      <c r="E1532" s="110">
        <f t="shared" si="24"/>
        <v>37193</v>
      </c>
      <c r="F1532" s="69">
        <v>1.279351018846525E-2</v>
      </c>
    </row>
    <row r="1533" spans="1:6" x14ac:dyDescent="0.3">
      <c r="A1533" s="24">
        <v>36411</v>
      </c>
      <c r="B1533" s="66">
        <v>366.38499999999999</v>
      </c>
      <c r="C1533" s="67"/>
      <c r="D1533" s="68">
        <v>0</v>
      </c>
      <c r="E1533" s="110">
        <f t="shared" si="24"/>
        <v>37193</v>
      </c>
      <c r="F1533" s="69">
        <v>1.279351018846525E-2</v>
      </c>
    </row>
    <row r="1534" spans="1:6" x14ac:dyDescent="0.3">
      <c r="A1534" s="24">
        <v>36412</v>
      </c>
      <c r="B1534" s="66">
        <v>366.38499999999999</v>
      </c>
      <c r="C1534" s="67"/>
      <c r="D1534" s="68">
        <v>0</v>
      </c>
      <c r="E1534" s="110">
        <f t="shared" si="24"/>
        <v>37193</v>
      </c>
      <c r="F1534" s="69">
        <v>1.279351018846525E-2</v>
      </c>
    </row>
    <row r="1535" spans="1:6" x14ac:dyDescent="0.3">
      <c r="A1535" s="24">
        <v>36413</v>
      </c>
      <c r="B1535" s="66">
        <v>366.38499999999999</v>
      </c>
      <c r="C1535" s="67"/>
      <c r="D1535" s="68">
        <v>0</v>
      </c>
      <c r="E1535" s="110">
        <f t="shared" si="24"/>
        <v>37193</v>
      </c>
      <c r="F1535" s="69">
        <v>1.279351018846525E-2</v>
      </c>
    </row>
    <row r="1536" spans="1:6" x14ac:dyDescent="0.3">
      <c r="A1536" s="24">
        <v>36414</v>
      </c>
      <c r="B1536" s="66">
        <v>366.38499999999999</v>
      </c>
      <c r="C1536" s="67"/>
      <c r="D1536" s="68">
        <v>0</v>
      </c>
      <c r="E1536" s="110">
        <f t="shared" si="24"/>
        <v>37193</v>
      </c>
      <c r="F1536" s="69">
        <v>1.279351018846525E-2</v>
      </c>
    </row>
    <row r="1537" spans="1:6" x14ac:dyDescent="0.3">
      <c r="A1537" s="24">
        <v>36415</v>
      </c>
      <c r="B1537" s="66">
        <v>366.38499999999999</v>
      </c>
      <c r="C1537" s="67"/>
      <c r="D1537" s="68">
        <v>0</v>
      </c>
      <c r="E1537" s="110">
        <f t="shared" si="24"/>
        <v>37193</v>
      </c>
      <c r="F1537" s="69">
        <v>1.279351018846525E-2</v>
      </c>
    </row>
    <row r="1538" spans="1:6" x14ac:dyDescent="0.3">
      <c r="A1538" s="24">
        <v>36416</v>
      </c>
      <c r="B1538" s="66">
        <v>366.38499999999999</v>
      </c>
      <c r="C1538" s="67"/>
      <c r="D1538" s="68">
        <v>0</v>
      </c>
      <c r="E1538" s="110">
        <f t="shared" si="24"/>
        <v>37193</v>
      </c>
      <c r="F1538" s="69">
        <v>1.279351018846525E-2</v>
      </c>
    </row>
    <row r="1539" spans="1:6" x14ac:dyDescent="0.3">
      <c r="A1539" s="24">
        <v>36417</v>
      </c>
      <c r="B1539" s="66">
        <v>366.38499999999999</v>
      </c>
      <c r="C1539" s="67"/>
      <c r="D1539" s="68">
        <v>0</v>
      </c>
      <c r="E1539" s="110">
        <f t="shared" si="24"/>
        <v>37193</v>
      </c>
      <c r="F1539" s="69">
        <v>1.279351018846525E-2</v>
      </c>
    </row>
    <row r="1540" spans="1:6" x14ac:dyDescent="0.3">
      <c r="A1540" s="24">
        <v>36418</v>
      </c>
      <c r="B1540" s="66">
        <v>366.38499999999999</v>
      </c>
      <c r="C1540" s="67"/>
      <c r="D1540" s="68">
        <v>0</v>
      </c>
      <c r="E1540" s="110">
        <f t="shared" si="24"/>
        <v>37193</v>
      </c>
      <c r="F1540" s="69">
        <v>1.279351018846525E-2</v>
      </c>
    </row>
    <row r="1541" spans="1:6" x14ac:dyDescent="0.3">
      <c r="A1541" s="24">
        <v>36419</v>
      </c>
      <c r="B1541" s="66">
        <v>366.38499999999999</v>
      </c>
      <c r="C1541" s="67"/>
      <c r="D1541" s="68">
        <v>0</v>
      </c>
      <c r="E1541" s="110">
        <f t="shared" si="24"/>
        <v>37193</v>
      </c>
      <c r="F1541" s="69">
        <v>1.279351018846525E-2</v>
      </c>
    </row>
    <row r="1542" spans="1:6" x14ac:dyDescent="0.3">
      <c r="A1542" s="24">
        <v>36420</v>
      </c>
      <c r="B1542" s="66">
        <v>366.38499999999999</v>
      </c>
      <c r="C1542" s="67"/>
      <c r="D1542" s="68">
        <v>0</v>
      </c>
      <c r="E1542" s="110">
        <f t="shared" si="24"/>
        <v>37193</v>
      </c>
      <c r="F1542" s="69">
        <v>1.279351018846525E-2</v>
      </c>
    </row>
    <row r="1543" spans="1:6" x14ac:dyDescent="0.3">
      <c r="A1543" s="24">
        <v>36421</v>
      </c>
      <c r="B1543" s="66">
        <v>366.38499999999999</v>
      </c>
      <c r="C1543" s="67"/>
      <c r="D1543" s="68">
        <v>0</v>
      </c>
      <c r="E1543" s="110">
        <f t="shared" si="24"/>
        <v>37193</v>
      </c>
      <c r="F1543" s="69">
        <v>1.279351018846525E-2</v>
      </c>
    </row>
    <row r="1544" spans="1:6" x14ac:dyDescent="0.3">
      <c r="A1544" s="24">
        <v>36422</v>
      </c>
      <c r="B1544" s="66">
        <v>366.38499999999999</v>
      </c>
      <c r="C1544" s="67"/>
      <c r="D1544" s="68">
        <v>0</v>
      </c>
      <c r="E1544" s="110">
        <f t="shared" si="24"/>
        <v>37193</v>
      </c>
      <c r="F1544" s="69">
        <v>1.279351018846525E-2</v>
      </c>
    </row>
    <row r="1545" spans="1:6" x14ac:dyDescent="0.3">
      <c r="A1545" s="24">
        <v>36423</v>
      </c>
      <c r="B1545" s="66">
        <v>366.38499999999999</v>
      </c>
      <c r="C1545" s="67"/>
      <c r="D1545" s="68">
        <v>0</v>
      </c>
      <c r="E1545" s="110">
        <f t="shared" si="24"/>
        <v>37193</v>
      </c>
      <c r="F1545" s="69">
        <v>1.279351018846525E-2</v>
      </c>
    </row>
    <row r="1546" spans="1:6" x14ac:dyDescent="0.3">
      <c r="A1546" s="24">
        <v>36424</v>
      </c>
      <c r="B1546" s="66">
        <v>366.38499999999999</v>
      </c>
      <c r="C1546" s="67"/>
      <c r="D1546" s="68">
        <v>0</v>
      </c>
      <c r="E1546" s="110">
        <f t="shared" si="24"/>
        <v>37193</v>
      </c>
      <c r="F1546" s="69">
        <v>1.279351018846525E-2</v>
      </c>
    </row>
    <row r="1547" spans="1:6" x14ac:dyDescent="0.3">
      <c r="A1547" s="24">
        <v>36425</v>
      </c>
      <c r="B1547" s="66">
        <v>366.38499999999999</v>
      </c>
      <c r="C1547" s="67"/>
      <c r="D1547" s="68">
        <v>0</v>
      </c>
      <c r="E1547" s="110">
        <f t="shared" si="24"/>
        <v>37193</v>
      </c>
      <c r="F1547" s="69">
        <v>1.279351018846525E-2</v>
      </c>
    </row>
    <row r="1548" spans="1:6" x14ac:dyDescent="0.3">
      <c r="A1548" s="24">
        <v>36426</v>
      </c>
      <c r="B1548" s="66">
        <v>366.38499999999999</v>
      </c>
      <c r="C1548" s="67"/>
      <c r="D1548" s="68">
        <v>0</v>
      </c>
      <c r="E1548" s="110">
        <f t="shared" si="24"/>
        <v>37193</v>
      </c>
      <c r="F1548" s="69">
        <v>1.279351018846525E-2</v>
      </c>
    </row>
    <row r="1549" spans="1:6" x14ac:dyDescent="0.3">
      <c r="A1549" s="24">
        <v>36427</v>
      </c>
      <c r="B1549" s="66">
        <v>366.38499999999999</v>
      </c>
      <c r="C1549" s="67"/>
      <c r="D1549" s="68">
        <v>0</v>
      </c>
      <c r="E1549" s="110">
        <f t="shared" si="24"/>
        <v>37193</v>
      </c>
      <c r="F1549" s="69">
        <v>1.279351018846525E-2</v>
      </c>
    </row>
    <row r="1550" spans="1:6" x14ac:dyDescent="0.3">
      <c r="A1550" s="24">
        <v>36428</v>
      </c>
      <c r="B1550" s="66">
        <v>366.38499999999999</v>
      </c>
      <c r="C1550" s="67"/>
      <c r="D1550" s="68">
        <v>0</v>
      </c>
      <c r="E1550" s="110">
        <f t="shared" si="24"/>
        <v>37193</v>
      </c>
      <c r="F1550" s="69">
        <v>1.279351018846525E-2</v>
      </c>
    </row>
    <row r="1551" spans="1:6" x14ac:dyDescent="0.3">
      <c r="A1551" s="24">
        <v>36429</v>
      </c>
      <c r="B1551" s="66">
        <v>366.38499999999999</v>
      </c>
      <c r="C1551" s="67"/>
      <c r="D1551" s="68">
        <v>0</v>
      </c>
      <c r="E1551" s="110">
        <f t="shared" si="24"/>
        <v>37193</v>
      </c>
      <c r="F1551" s="69">
        <v>1.279351018846525E-2</v>
      </c>
    </row>
    <row r="1552" spans="1:6" x14ac:dyDescent="0.3">
      <c r="A1552" s="24">
        <v>36430</v>
      </c>
      <c r="B1552" s="66">
        <v>366.38499999999999</v>
      </c>
      <c r="C1552" s="67"/>
      <c r="D1552" s="68">
        <v>0</v>
      </c>
      <c r="E1552" s="110">
        <f t="shared" si="24"/>
        <v>37193</v>
      </c>
      <c r="F1552" s="69">
        <v>1.279351018846525E-2</v>
      </c>
    </row>
    <row r="1553" spans="1:6" x14ac:dyDescent="0.3">
      <c r="A1553" s="24">
        <v>36431</v>
      </c>
      <c r="B1553" s="66">
        <v>366.38499999999999</v>
      </c>
      <c r="C1553" s="67"/>
      <c r="D1553" s="68">
        <v>0</v>
      </c>
      <c r="E1553" s="110">
        <f t="shared" si="24"/>
        <v>37193</v>
      </c>
      <c r="F1553" s="69">
        <v>1.279351018846525E-2</v>
      </c>
    </row>
    <row r="1554" spans="1:6" x14ac:dyDescent="0.3">
      <c r="A1554" s="24">
        <v>36432</v>
      </c>
      <c r="B1554" s="66">
        <v>366.38499999999999</v>
      </c>
      <c r="C1554" s="67"/>
      <c r="D1554" s="68">
        <v>0</v>
      </c>
      <c r="E1554" s="110">
        <f t="shared" ref="E1554:E1617" si="25">+E1553</f>
        <v>37193</v>
      </c>
      <c r="F1554" s="69">
        <v>1.2512379393719453E-2</v>
      </c>
    </row>
    <row r="1555" spans="1:6" x14ac:dyDescent="0.3">
      <c r="A1555" s="24">
        <v>36433</v>
      </c>
      <c r="B1555" s="66">
        <v>371.28499999999997</v>
      </c>
      <c r="C1555" s="67"/>
      <c r="D1555" s="68">
        <v>0</v>
      </c>
      <c r="E1555" s="110">
        <f t="shared" si="25"/>
        <v>37193</v>
      </c>
      <c r="F1555" s="69">
        <v>1.2512379393719453E-2</v>
      </c>
    </row>
    <row r="1556" spans="1:6" x14ac:dyDescent="0.3">
      <c r="A1556" s="24">
        <v>36434</v>
      </c>
      <c r="B1556" s="66">
        <v>371.28499999999997</v>
      </c>
      <c r="C1556" s="67"/>
      <c r="D1556" s="68">
        <v>0</v>
      </c>
      <c r="E1556" s="110">
        <f t="shared" si="25"/>
        <v>37193</v>
      </c>
      <c r="F1556" s="69">
        <v>1.2512379393719453E-2</v>
      </c>
    </row>
    <row r="1557" spans="1:6" x14ac:dyDescent="0.3">
      <c r="A1557" s="24">
        <v>36435</v>
      </c>
      <c r="B1557" s="66">
        <v>371.28499999999997</v>
      </c>
      <c r="C1557" s="67"/>
      <c r="D1557" s="68">
        <v>0</v>
      </c>
      <c r="E1557" s="110">
        <f t="shared" si="25"/>
        <v>37193</v>
      </c>
      <c r="F1557" s="69">
        <v>1.2512379393719453E-2</v>
      </c>
    </row>
    <row r="1558" spans="1:6" x14ac:dyDescent="0.3">
      <c r="A1558" s="24">
        <v>36436</v>
      </c>
      <c r="B1558" s="66">
        <v>371.28499999999997</v>
      </c>
      <c r="C1558" s="67"/>
      <c r="D1558" s="68">
        <v>0</v>
      </c>
      <c r="E1558" s="110">
        <f t="shared" si="25"/>
        <v>37193</v>
      </c>
      <c r="F1558" s="69">
        <v>1.2512379393719453E-2</v>
      </c>
    </row>
    <row r="1559" spans="1:6" x14ac:dyDescent="0.3">
      <c r="A1559" s="24">
        <v>36437</v>
      </c>
      <c r="B1559" s="66">
        <v>371.28499999999997</v>
      </c>
      <c r="C1559" s="67"/>
      <c r="D1559" s="68">
        <v>0</v>
      </c>
      <c r="E1559" s="110">
        <f t="shared" si="25"/>
        <v>37193</v>
      </c>
      <c r="F1559" s="69">
        <v>1.2512379393719453E-2</v>
      </c>
    </row>
    <row r="1560" spans="1:6" x14ac:dyDescent="0.3">
      <c r="A1560" s="24">
        <v>36438</v>
      </c>
      <c r="B1560" s="66">
        <v>371.28499999999997</v>
      </c>
      <c r="C1560" s="67"/>
      <c r="D1560" s="68">
        <v>0</v>
      </c>
      <c r="E1560" s="110">
        <f t="shared" si="25"/>
        <v>37193</v>
      </c>
      <c r="F1560" s="69">
        <v>1.2512379393719453E-2</v>
      </c>
    </row>
    <row r="1561" spans="1:6" x14ac:dyDescent="0.3">
      <c r="A1561" s="24">
        <v>36439</v>
      </c>
      <c r="B1561" s="66">
        <v>371.28499999999997</v>
      </c>
      <c r="C1561" s="67"/>
      <c r="D1561" s="68">
        <v>0</v>
      </c>
      <c r="E1561" s="110">
        <f t="shared" si="25"/>
        <v>37193</v>
      </c>
      <c r="F1561" s="69">
        <v>1.2512379393719453E-2</v>
      </c>
    </row>
    <row r="1562" spans="1:6" x14ac:dyDescent="0.3">
      <c r="A1562" s="24">
        <v>36440</v>
      </c>
      <c r="B1562" s="66">
        <v>371.28499999999997</v>
      </c>
      <c r="C1562" s="67"/>
      <c r="D1562" s="68">
        <v>0</v>
      </c>
      <c r="E1562" s="110">
        <f t="shared" si="25"/>
        <v>37193</v>
      </c>
      <c r="F1562" s="69">
        <v>1.2512379393719453E-2</v>
      </c>
    </row>
    <row r="1563" spans="1:6" x14ac:dyDescent="0.3">
      <c r="A1563" s="24">
        <v>36441</v>
      </c>
      <c r="B1563" s="66">
        <v>371.28499999999997</v>
      </c>
      <c r="C1563" s="67"/>
      <c r="D1563" s="68">
        <v>0</v>
      </c>
      <c r="E1563" s="110">
        <f t="shared" si="25"/>
        <v>37193</v>
      </c>
      <c r="F1563" s="69">
        <v>1.2512379393719453E-2</v>
      </c>
    </row>
    <row r="1564" spans="1:6" x14ac:dyDescent="0.3">
      <c r="A1564" s="24">
        <v>36442</v>
      </c>
      <c r="B1564" s="66">
        <v>371.28499999999997</v>
      </c>
      <c r="C1564" s="67"/>
      <c r="D1564" s="68">
        <v>0</v>
      </c>
      <c r="E1564" s="110">
        <f t="shared" si="25"/>
        <v>37193</v>
      </c>
      <c r="F1564" s="69">
        <v>1.2512379393719453E-2</v>
      </c>
    </row>
    <row r="1565" spans="1:6" x14ac:dyDescent="0.3">
      <c r="A1565" s="24">
        <v>36443</v>
      </c>
      <c r="B1565" s="66">
        <v>371.28499999999997</v>
      </c>
      <c r="C1565" s="67"/>
      <c r="D1565" s="68">
        <v>0</v>
      </c>
      <c r="E1565" s="110">
        <f t="shared" si="25"/>
        <v>37193</v>
      </c>
      <c r="F1565" s="69">
        <v>1.2512379393719453E-2</v>
      </c>
    </row>
    <row r="1566" spans="1:6" x14ac:dyDescent="0.3">
      <c r="A1566" s="24">
        <v>36444</v>
      </c>
      <c r="B1566" s="66">
        <v>371.28499999999997</v>
      </c>
      <c r="C1566" s="67"/>
      <c r="D1566" s="68">
        <v>0</v>
      </c>
      <c r="E1566" s="110">
        <f t="shared" si="25"/>
        <v>37193</v>
      </c>
      <c r="F1566" s="69">
        <v>1.2512379393719453E-2</v>
      </c>
    </row>
    <row r="1567" spans="1:6" x14ac:dyDescent="0.3">
      <c r="A1567" s="24">
        <v>36445</v>
      </c>
      <c r="B1567" s="66">
        <v>371.28499999999997</v>
      </c>
      <c r="C1567" s="67"/>
      <c r="D1567" s="68">
        <v>0</v>
      </c>
      <c r="E1567" s="110">
        <f t="shared" si="25"/>
        <v>37193</v>
      </c>
      <c r="F1567" s="69">
        <v>1.2512379393719453E-2</v>
      </c>
    </row>
    <row r="1568" spans="1:6" x14ac:dyDescent="0.3">
      <c r="A1568" s="24">
        <v>36446</v>
      </c>
      <c r="B1568" s="66">
        <v>371.28499999999997</v>
      </c>
      <c r="C1568" s="67"/>
      <c r="D1568" s="68">
        <v>0</v>
      </c>
      <c r="E1568" s="110">
        <f t="shared" si="25"/>
        <v>37193</v>
      </c>
      <c r="F1568" s="69">
        <v>1.2512379393719453E-2</v>
      </c>
    </row>
    <row r="1569" spans="1:6" x14ac:dyDescent="0.3">
      <c r="A1569" s="24">
        <v>36447</v>
      </c>
      <c r="B1569" s="66">
        <v>371.28499999999997</v>
      </c>
      <c r="C1569" s="67"/>
      <c r="D1569" s="68">
        <v>0</v>
      </c>
      <c r="E1569" s="110">
        <f t="shared" si="25"/>
        <v>37193</v>
      </c>
      <c r="F1569" s="69">
        <v>1.2512379393719453E-2</v>
      </c>
    </row>
    <row r="1570" spans="1:6" x14ac:dyDescent="0.3">
      <c r="A1570" s="24">
        <v>36448</v>
      </c>
      <c r="B1570" s="66">
        <v>371.28499999999997</v>
      </c>
      <c r="C1570" s="67"/>
      <c r="D1570" s="68">
        <v>0</v>
      </c>
      <c r="E1570" s="110">
        <f t="shared" si="25"/>
        <v>37193</v>
      </c>
      <c r="F1570" s="69">
        <v>1.2512379393719453E-2</v>
      </c>
    </row>
    <row r="1571" spans="1:6" x14ac:dyDescent="0.3">
      <c r="A1571" s="24">
        <v>36449</v>
      </c>
      <c r="B1571" s="66">
        <v>371.28499999999997</v>
      </c>
      <c r="C1571" s="67"/>
      <c r="D1571" s="68">
        <v>0</v>
      </c>
      <c r="E1571" s="110">
        <f t="shared" si="25"/>
        <v>37193</v>
      </c>
      <c r="F1571" s="69">
        <v>1.2512379393719453E-2</v>
      </c>
    </row>
    <row r="1572" spans="1:6" x14ac:dyDescent="0.3">
      <c r="A1572" s="24">
        <v>36450</v>
      </c>
      <c r="B1572" s="66">
        <v>371.28499999999997</v>
      </c>
      <c r="C1572" s="67"/>
      <c r="D1572" s="68">
        <v>0</v>
      </c>
      <c r="E1572" s="110">
        <f t="shared" si="25"/>
        <v>37193</v>
      </c>
      <c r="F1572" s="69">
        <v>1.2512379393719453E-2</v>
      </c>
    </row>
    <row r="1573" spans="1:6" x14ac:dyDescent="0.3">
      <c r="A1573" s="24">
        <v>36451</v>
      </c>
      <c r="B1573" s="66">
        <v>371.28499999999997</v>
      </c>
      <c r="C1573" s="67"/>
      <c r="D1573" s="68">
        <v>0</v>
      </c>
      <c r="E1573" s="110">
        <f t="shared" si="25"/>
        <v>37193</v>
      </c>
      <c r="F1573" s="69">
        <v>1.2512379393719453E-2</v>
      </c>
    </row>
    <row r="1574" spans="1:6" x14ac:dyDescent="0.3">
      <c r="A1574" s="24">
        <v>36452</v>
      </c>
      <c r="B1574" s="66">
        <v>371.28499999999997</v>
      </c>
      <c r="C1574" s="67"/>
      <c r="D1574" s="68">
        <v>0</v>
      </c>
      <c r="E1574" s="110">
        <f t="shared" si="25"/>
        <v>37193</v>
      </c>
      <c r="F1574" s="69">
        <v>1.2512379393719453E-2</v>
      </c>
    </row>
    <row r="1575" spans="1:6" x14ac:dyDescent="0.3">
      <c r="A1575" s="24">
        <v>36453</v>
      </c>
      <c r="B1575" s="66">
        <v>371.28499999999997</v>
      </c>
      <c r="C1575" s="67"/>
      <c r="D1575" s="68">
        <v>0</v>
      </c>
      <c r="E1575" s="110">
        <f t="shared" si="25"/>
        <v>37193</v>
      </c>
      <c r="F1575" s="69">
        <v>1.2512379393719453E-2</v>
      </c>
    </row>
    <row r="1576" spans="1:6" x14ac:dyDescent="0.3">
      <c r="A1576" s="24">
        <v>36454</v>
      </c>
      <c r="B1576" s="66">
        <v>371.28499999999997</v>
      </c>
      <c r="C1576" s="67"/>
      <c r="D1576" s="68">
        <v>0</v>
      </c>
      <c r="E1576" s="110">
        <f t="shared" si="25"/>
        <v>37193</v>
      </c>
      <c r="F1576" s="69">
        <v>1.2512379393719453E-2</v>
      </c>
    </row>
    <row r="1577" spans="1:6" x14ac:dyDescent="0.3">
      <c r="A1577" s="24">
        <v>36455</v>
      </c>
      <c r="B1577" s="66">
        <v>371.28499999999997</v>
      </c>
      <c r="C1577" s="67"/>
      <c r="D1577" s="68">
        <v>0</v>
      </c>
      <c r="E1577" s="110">
        <f t="shared" si="25"/>
        <v>37193</v>
      </c>
      <c r="F1577" s="69">
        <v>1.2512379393719453E-2</v>
      </c>
    </row>
    <row r="1578" spans="1:6" x14ac:dyDescent="0.3">
      <c r="A1578" s="24">
        <v>36456</v>
      </c>
      <c r="B1578" s="66">
        <v>371.28499999999997</v>
      </c>
      <c r="C1578" s="67"/>
      <c r="D1578" s="68">
        <v>0</v>
      </c>
      <c r="E1578" s="110">
        <f t="shared" si="25"/>
        <v>37193</v>
      </c>
      <c r="F1578" s="69">
        <v>1.2512379393719453E-2</v>
      </c>
    </row>
    <row r="1579" spans="1:6" x14ac:dyDescent="0.3">
      <c r="A1579" s="24">
        <v>36457</v>
      </c>
      <c r="B1579" s="66">
        <v>371.28499999999997</v>
      </c>
      <c r="C1579" s="67"/>
      <c r="D1579" s="68">
        <v>0</v>
      </c>
      <c r="E1579" s="110">
        <f t="shared" si="25"/>
        <v>37193</v>
      </c>
      <c r="F1579" s="69">
        <v>1.2512379393719453E-2</v>
      </c>
    </row>
    <row r="1580" spans="1:6" x14ac:dyDescent="0.3">
      <c r="A1580" s="24">
        <v>36458</v>
      </c>
      <c r="B1580" s="66">
        <v>371.28499999999997</v>
      </c>
      <c r="C1580" s="67"/>
      <c r="D1580" s="68">
        <v>0</v>
      </c>
      <c r="E1580" s="110">
        <f t="shared" si="25"/>
        <v>37193</v>
      </c>
      <c r="F1580" s="69">
        <v>1.2512379393719453E-2</v>
      </c>
    </row>
    <row r="1581" spans="1:6" x14ac:dyDescent="0.3">
      <c r="A1581" s="24">
        <v>36459</v>
      </c>
      <c r="B1581" s="66">
        <v>371.28499999999997</v>
      </c>
      <c r="C1581" s="67"/>
      <c r="D1581" s="68">
        <v>0</v>
      </c>
      <c r="E1581" s="110">
        <f t="shared" si="25"/>
        <v>37193</v>
      </c>
      <c r="F1581" s="69">
        <v>1.2512379393719453E-2</v>
      </c>
    </row>
    <row r="1582" spans="1:6" x14ac:dyDescent="0.3">
      <c r="A1582" s="24">
        <v>36460</v>
      </c>
      <c r="B1582" s="66">
        <v>371.28499999999997</v>
      </c>
      <c r="C1582" s="67"/>
      <c r="D1582" s="68">
        <v>0</v>
      </c>
      <c r="E1582" s="110">
        <f t="shared" si="25"/>
        <v>37193</v>
      </c>
      <c r="F1582" s="69">
        <v>1.2512379393719453E-2</v>
      </c>
    </row>
    <row r="1583" spans="1:6" x14ac:dyDescent="0.3">
      <c r="A1583" s="24">
        <v>36461</v>
      </c>
      <c r="B1583" s="66">
        <v>371.28499999999997</v>
      </c>
      <c r="C1583" s="67"/>
      <c r="D1583" s="68">
        <v>0</v>
      </c>
      <c r="E1583" s="110">
        <f t="shared" si="25"/>
        <v>37193</v>
      </c>
      <c r="F1583" s="69">
        <v>1.2512379393719453E-2</v>
      </c>
    </row>
    <row r="1584" spans="1:6" x14ac:dyDescent="0.3">
      <c r="A1584" s="24">
        <v>36462</v>
      </c>
      <c r="B1584" s="66">
        <v>371.28499999999997</v>
      </c>
      <c r="C1584" s="67"/>
      <c r="D1584" s="68">
        <v>0</v>
      </c>
      <c r="E1584" s="110">
        <f t="shared" si="25"/>
        <v>37193</v>
      </c>
      <c r="F1584" s="69">
        <v>1.2512379393719453E-2</v>
      </c>
    </row>
    <row r="1585" spans="1:6" x14ac:dyDescent="0.3">
      <c r="A1585" s="24">
        <v>36463</v>
      </c>
      <c r="B1585" s="66">
        <v>371.28499999999997</v>
      </c>
      <c r="C1585" s="67"/>
      <c r="D1585" s="68">
        <v>0</v>
      </c>
      <c r="E1585" s="110">
        <f t="shared" si="25"/>
        <v>37193</v>
      </c>
      <c r="F1585" s="69">
        <v>1.2512379393719453E-2</v>
      </c>
    </row>
    <row r="1586" spans="1:6" x14ac:dyDescent="0.3">
      <c r="A1586" s="24">
        <v>36464</v>
      </c>
      <c r="B1586" s="66">
        <v>371.28499999999997</v>
      </c>
      <c r="C1586" s="67"/>
      <c r="D1586" s="68">
        <v>0</v>
      </c>
      <c r="E1586" s="110">
        <f t="shared" si="25"/>
        <v>37193</v>
      </c>
      <c r="F1586" s="69">
        <v>1.2512379393719453E-2</v>
      </c>
    </row>
    <row r="1587" spans="1:6" x14ac:dyDescent="0.3">
      <c r="A1587" s="24">
        <v>36465</v>
      </c>
      <c r="B1587" s="66">
        <v>371.28499999999997</v>
      </c>
      <c r="C1587" s="67"/>
      <c r="D1587" s="68">
        <v>0</v>
      </c>
      <c r="E1587" s="110">
        <f t="shared" si="25"/>
        <v>37193</v>
      </c>
      <c r="F1587" s="69">
        <v>1.2512379393719453E-2</v>
      </c>
    </row>
    <row r="1588" spans="1:6" x14ac:dyDescent="0.3">
      <c r="A1588" s="24">
        <v>36466</v>
      </c>
      <c r="B1588" s="66">
        <v>371.28499999999997</v>
      </c>
      <c r="C1588" s="67"/>
      <c r="D1588" s="68">
        <v>0</v>
      </c>
      <c r="E1588" s="110">
        <f t="shared" si="25"/>
        <v>37193</v>
      </c>
      <c r="F1588" s="69">
        <v>1.2512379393719453E-2</v>
      </c>
    </row>
    <row r="1589" spans="1:6" x14ac:dyDescent="0.3">
      <c r="A1589" s="24">
        <v>36467</v>
      </c>
      <c r="B1589" s="66">
        <v>371.28499999999997</v>
      </c>
      <c r="C1589" s="67"/>
      <c r="D1589" s="68">
        <v>0</v>
      </c>
      <c r="E1589" s="110">
        <f t="shared" si="25"/>
        <v>37193</v>
      </c>
      <c r="F1589" s="69">
        <v>1.2512379393719453E-2</v>
      </c>
    </row>
    <row r="1590" spans="1:6" x14ac:dyDescent="0.3">
      <c r="A1590" s="24">
        <v>36468</v>
      </c>
      <c r="B1590" s="66">
        <v>371.28499999999997</v>
      </c>
      <c r="C1590" s="67"/>
      <c r="D1590" s="68">
        <v>0</v>
      </c>
      <c r="E1590" s="110">
        <f t="shared" si="25"/>
        <v>37193</v>
      </c>
      <c r="F1590" s="69">
        <v>1.2512379393719453E-2</v>
      </c>
    </row>
    <row r="1591" spans="1:6" x14ac:dyDescent="0.3">
      <c r="A1591" s="24">
        <v>36469</v>
      </c>
      <c r="B1591" s="66">
        <v>371.28499999999997</v>
      </c>
      <c r="C1591" s="67"/>
      <c r="D1591" s="68">
        <v>0</v>
      </c>
      <c r="E1591" s="110">
        <f t="shared" si="25"/>
        <v>37193</v>
      </c>
      <c r="F1591" s="69">
        <v>1.2512379393719453E-2</v>
      </c>
    </row>
    <row r="1592" spans="1:6" x14ac:dyDescent="0.3">
      <c r="A1592" s="24">
        <v>36470</v>
      </c>
      <c r="B1592" s="66">
        <v>371.28499999999997</v>
      </c>
      <c r="C1592" s="67"/>
      <c r="D1592" s="68">
        <v>0</v>
      </c>
      <c r="E1592" s="110">
        <f t="shared" si="25"/>
        <v>37193</v>
      </c>
      <c r="F1592" s="69">
        <v>1.2512379393719453E-2</v>
      </c>
    </row>
    <row r="1593" spans="1:6" x14ac:dyDescent="0.3">
      <c r="A1593" s="24">
        <v>36471</v>
      </c>
      <c r="B1593" s="66">
        <v>371.28499999999997</v>
      </c>
      <c r="C1593" s="67"/>
      <c r="D1593" s="68">
        <v>0</v>
      </c>
      <c r="E1593" s="110">
        <f t="shared" si="25"/>
        <v>37193</v>
      </c>
      <c r="F1593" s="69">
        <v>1.2512379393719453E-2</v>
      </c>
    </row>
    <row r="1594" spans="1:6" x14ac:dyDescent="0.3">
      <c r="A1594" s="24">
        <v>36472</v>
      </c>
      <c r="B1594" s="66">
        <v>371.28499999999997</v>
      </c>
      <c r="C1594" s="67"/>
      <c r="D1594" s="68">
        <v>0</v>
      </c>
      <c r="E1594" s="110">
        <f t="shared" si="25"/>
        <v>37193</v>
      </c>
      <c r="F1594" s="69">
        <v>1.2512379393719453E-2</v>
      </c>
    </row>
    <row r="1595" spans="1:6" x14ac:dyDescent="0.3">
      <c r="A1595" s="24">
        <v>36473</v>
      </c>
      <c r="B1595" s="66">
        <v>371.28499999999997</v>
      </c>
      <c r="C1595" s="67"/>
      <c r="D1595" s="68">
        <v>0</v>
      </c>
      <c r="E1595" s="110">
        <f t="shared" si="25"/>
        <v>37193</v>
      </c>
      <c r="F1595" s="69">
        <v>1.2512379393719453E-2</v>
      </c>
    </row>
    <row r="1596" spans="1:6" x14ac:dyDescent="0.3">
      <c r="A1596" s="24">
        <v>36474</v>
      </c>
      <c r="B1596" s="66">
        <v>371.28499999999997</v>
      </c>
      <c r="C1596" s="67"/>
      <c r="D1596" s="68">
        <v>0</v>
      </c>
      <c r="E1596" s="110">
        <f t="shared" si="25"/>
        <v>37193</v>
      </c>
      <c r="F1596" s="69">
        <v>1.2512379393719453E-2</v>
      </c>
    </row>
    <row r="1597" spans="1:6" x14ac:dyDescent="0.3">
      <c r="A1597" s="24">
        <v>36475</v>
      </c>
      <c r="B1597" s="66">
        <v>371.28499999999997</v>
      </c>
      <c r="C1597" s="67"/>
      <c r="D1597" s="68">
        <v>0</v>
      </c>
      <c r="E1597" s="110">
        <f t="shared" si="25"/>
        <v>37193</v>
      </c>
      <c r="F1597" s="69">
        <v>1.2512379393719453E-2</v>
      </c>
    </row>
    <row r="1598" spans="1:6" x14ac:dyDescent="0.3">
      <c r="A1598" s="24">
        <v>36476</v>
      </c>
      <c r="B1598" s="66">
        <v>371.28499999999997</v>
      </c>
      <c r="C1598" s="67"/>
      <c r="D1598" s="68">
        <v>0</v>
      </c>
      <c r="E1598" s="110">
        <f t="shared" si="25"/>
        <v>37193</v>
      </c>
      <c r="F1598" s="69">
        <v>1.2512379393719453E-2</v>
      </c>
    </row>
    <row r="1599" spans="1:6" x14ac:dyDescent="0.3">
      <c r="A1599" s="24">
        <v>36477</v>
      </c>
      <c r="B1599" s="66">
        <v>371.28499999999997</v>
      </c>
      <c r="C1599" s="67"/>
      <c r="D1599" s="68">
        <v>0</v>
      </c>
      <c r="E1599" s="110">
        <f t="shared" si="25"/>
        <v>37193</v>
      </c>
      <c r="F1599" s="69">
        <v>1.2512379393719453E-2</v>
      </c>
    </row>
    <row r="1600" spans="1:6" x14ac:dyDescent="0.3">
      <c r="A1600" s="24">
        <v>36478</v>
      </c>
      <c r="B1600" s="66">
        <v>371.28499999999997</v>
      </c>
      <c r="C1600" s="67"/>
      <c r="D1600" s="68">
        <v>0</v>
      </c>
      <c r="E1600" s="110">
        <f t="shared" si="25"/>
        <v>37193</v>
      </c>
      <c r="F1600" s="69">
        <v>1.2512379393719453E-2</v>
      </c>
    </row>
    <row r="1601" spans="1:6" x14ac:dyDescent="0.3">
      <c r="A1601" s="24">
        <v>36479</v>
      </c>
      <c r="B1601" s="66">
        <v>371.28499999999997</v>
      </c>
      <c r="C1601" s="67"/>
      <c r="D1601" s="68">
        <v>0</v>
      </c>
      <c r="E1601" s="110">
        <f t="shared" si="25"/>
        <v>37193</v>
      </c>
      <c r="F1601" s="69">
        <v>1.2512379393719453E-2</v>
      </c>
    </row>
    <row r="1602" spans="1:6" x14ac:dyDescent="0.3">
      <c r="A1602" s="24">
        <v>36480</v>
      </c>
      <c r="B1602" s="66">
        <v>371.28499999999997</v>
      </c>
      <c r="C1602" s="67"/>
      <c r="D1602" s="68">
        <v>0</v>
      </c>
      <c r="E1602" s="110">
        <f t="shared" si="25"/>
        <v>37193</v>
      </c>
      <c r="F1602" s="69">
        <v>1.2512379393719453E-2</v>
      </c>
    </row>
    <row r="1603" spans="1:6" x14ac:dyDescent="0.3">
      <c r="A1603" s="24">
        <v>36481</v>
      </c>
      <c r="B1603" s="66">
        <v>371.28499999999997</v>
      </c>
      <c r="C1603" s="67"/>
      <c r="D1603" s="68">
        <v>0</v>
      </c>
      <c r="E1603" s="110">
        <f t="shared" si="25"/>
        <v>37193</v>
      </c>
      <c r="F1603" s="69">
        <v>1.2512379393719453E-2</v>
      </c>
    </row>
    <row r="1604" spans="1:6" x14ac:dyDescent="0.3">
      <c r="A1604" s="24">
        <v>36482</v>
      </c>
      <c r="B1604" s="66">
        <v>371.28499999999997</v>
      </c>
      <c r="C1604" s="67"/>
      <c r="D1604" s="68">
        <v>0</v>
      </c>
      <c r="E1604" s="110">
        <f t="shared" si="25"/>
        <v>37193</v>
      </c>
      <c r="F1604" s="69">
        <v>1.2512379393719453E-2</v>
      </c>
    </row>
    <row r="1605" spans="1:6" x14ac:dyDescent="0.3">
      <c r="A1605" s="24">
        <v>36483</v>
      </c>
      <c r="B1605" s="66">
        <v>371.28499999999997</v>
      </c>
      <c r="C1605" s="67"/>
      <c r="D1605" s="68">
        <v>0</v>
      </c>
      <c r="E1605" s="110">
        <f t="shared" si="25"/>
        <v>37193</v>
      </c>
      <c r="F1605" s="69">
        <v>1.2512379393719453E-2</v>
      </c>
    </row>
    <row r="1606" spans="1:6" x14ac:dyDescent="0.3">
      <c r="A1606" s="24">
        <v>36484</v>
      </c>
      <c r="B1606" s="66">
        <v>371.28499999999997</v>
      </c>
      <c r="C1606" s="67"/>
      <c r="D1606" s="68">
        <v>0</v>
      </c>
      <c r="E1606" s="110">
        <f t="shared" si="25"/>
        <v>37193</v>
      </c>
      <c r="F1606" s="69">
        <v>1.2512379393719453E-2</v>
      </c>
    </row>
    <row r="1607" spans="1:6" x14ac:dyDescent="0.3">
      <c r="A1607" s="24">
        <v>36485</v>
      </c>
      <c r="B1607" s="66">
        <v>371.28499999999997</v>
      </c>
      <c r="C1607" s="67"/>
      <c r="D1607" s="68">
        <v>0</v>
      </c>
      <c r="E1607" s="110">
        <f t="shared" si="25"/>
        <v>37193</v>
      </c>
      <c r="F1607" s="69">
        <v>1.2512379393719453E-2</v>
      </c>
    </row>
    <row r="1608" spans="1:6" x14ac:dyDescent="0.3">
      <c r="A1608" s="24">
        <v>36486</v>
      </c>
      <c r="B1608" s="66">
        <v>371.28499999999997</v>
      </c>
      <c r="C1608" s="67"/>
      <c r="D1608" s="68">
        <v>0</v>
      </c>
      <c r="E1608" s="110">
        <f t="shared" si="25"/>
        <v>37193</v>
      </c>
      <c r="F1608" s="69">
        <v>1.2512379393719453E-2</v>
      </c>
    </row>
    <row r="1609" spans="1:6" x14ac:dyDescent="0.3">
      <c r="A1609" s="24">
        <v>36487</v>
      </c>
      <c r="B1609" s="66">
        <v>371.28499999999997</v>
      </c>
      <c r="C1609" s="67"/>
      <c r="D1609" s="68">
        <v>0</v>
      </c>
      <c r="E1609" s="110">
        <f t="shared" si="25"/>
        <v>37193</v>
      </c>
      <c r="F1609" s="69">
        <v>1.2512379393719453E-2</v>
      </c>
    </row>
    <row r="1610" spans="1:6" x14ac:dyDescent="0.3">
      <c r="A1610" s="24">
        <v>36488</v>
      </c>
      <c r="B1610" s="66">
        <v>371.28499999999997</v>
      </c>
      <c r="C1610" s="67"/>
      <c r="D1610" s="68">
        <v>0</v>
      </c>
      <c r="E1610" s="110">
        <f t="shared" si="25"/>
        <v>37193</v>
      </c>
      <c r="F1610" s="69">
        <v>1.2512379393719453E-2</v>
      </c>
    </row>
    <row r="1611" spans="1:6" x14ac:dyDescent="0.3">
      <c r="A1611" s="24">
        <v>36489</v>
      </c>
      <c r="B1611" s="66">
        <v>371.28499999999997</v>
      </c>
      <c r="C1611" s="67"/>
      <c r="D1611" s="68">
        <v>0</v>
      </c>
      <c r="E1611" s="110">
        <f t="shared" si="25"/>
        <v>37193</v>
      </c>
      <c r="F1611" s="69">
        <v>1.2512379393719453E-2</v>
      </c>
    </row>
    <row r="1612" spans="1:6" x14ac:dyDescent="0.3">
      <c r="A1612" s="24">
        <v>36490</v>
      </c>
      <c r="B1612" s="66">
        <v>371.28499999999997</v>
      </c>
      <c r="C1612" s="67"/>
      <c r="D1612" s="68">
        <v>0</v>
      </c>
      <c r="E1612" s="110">
        <f t="shared" si="25"/>
        <v>37193</v>
      </c>
      <c r="F1612" s="69">
        <v>1.2512379393719453E-2</v>
      </c>
    </row>
    <row r="1613" spans="1:6" x14ac:dyDescent="0.3">
      <c r="A1613" s="24">
        <v>36491</v>
      </c>
      <c r="B1613" s="66">
        <v>371.28499999999997</v>
      </c>
      <c r="C1613" s="67"/>
      <c r="D1613" s="68">
        <v>0</v>
      </c>
      <c r="E1613" s="110">
        <f t="shared" si="25"/>
        <v>37193</v>
      </c>
      <c r="F1613" s="69">
        <v>1.2512379393719453E-2</v>
      </c>
    </row>
    <row r="1614" spans="1:6" x14ac:dyDescent="0.3">
      <c r="A1614" s="24">
        <v>36492</v>
      </c>
      <c r="B1614" s="66">
        <v>371.28499999999997</v>
      </c>
      <c r="C1614" s="67"/>
      <c r="D1614" s="68">
        <v>0</v>
      </c>
      <c r="E1614" s="110">
        <f t="shared" si="25"/>
        <v>37193</v>
      </c>
      <c r="F1614" s="69">
        <v>1.2512379393719453E-2</v>
      </c>
    </row>
    <row r="1615" spans="1:6" x14ac:dyDescent="0.3">
      <c r="A1615" s="24">
        <v>36493</v>
      </c>
      <c r="B1615" s="66">
        <v>371.28499999999997</v>
      </c>
      <c r="C1615" s="67"/>
      <c r="D1615" s="68">
        <v>0</v>
      </c>
      <c r="E1615" s="110">
        <f t="shared" si="25"/>
        <v>37193</v>
      </c>
      <c r="F1615" s="69">
        <v>1.2512379393719453E-2</v>
      </c>
    </row>
    <row r="1616" spans="1:6" x14ac:dyDescent="0.3">
      <c r="A1616" s="24">
        <v>36494</v>
      </c>
      <c r="B1616" s="66">
        <v>371.28499999999997</v>
      </c>
      <c r="C1616" s="67"/>
      <c r="D1616" s="68">
        <v>0</v>
      </c>
      <c r="E1616" s="110">
        <f t="shared" si="25"/>
        <v>37193</v>
      </c>
      <c r="F1616" s="69">
        <v>1.2512379393719453E-2</v>
      </c>
    </row>
    <row r="1617" spans="1:6" x14ac:dyDescent="0.3">
      <c r="A1617" s="24">
        <v>36495</v>
      </c>
      <c r="B1617" s="66">
        <v>371.28499999999997</v>
      </c>
      <c r="C1617" s="67"/>
      <c r="D1617" s="68">
        <v>0</v>
      </c>
      <c r="E1617" s="110">
        <f t="shared" si="25"/>
        <v>37193</v>
      </c>
      <c r="F1617" s="69">
        <v>1.2512379393719453E-2</v>
      </c>
    </row>
    <row r="1618" spans="1:6" x14ac:dyDescent="0.3">
      <c r="A1618" s="24">
        <v>36496</v>
      </c>
      <c r="B1618" s="66">
        <v>371.28499999999997</v>
      </c>
      <c r="C1618" s="67"/>
      <c r="D1618" s="68">
        <v>0</v>
      </c>
      <c r="E1618" s="110">
        <f t="shared" ref="E1618:E1681" si="26">+E1617</f>
        <v>37193</v>
      </c>
      <c r="F1618" s="69">
        <v>1.2512379393719453E-2</v>
      </c>
    </row>
    <row r="1619" spans="1:6" x14ac:dyDescent="0.3">
      <c r="A1619" s="24">
        <v>36497</v>
      </c>
      <c r="B1619" s="66">
        <v>371.28499999999997</v>
      </c>
      <c r="C1619" s="67"/>
      <c r="D1619" s="68">
        <v>0</v>
      </c>
      <c r="E1619" s="110">
        <f t="shared" si="26"/>
        <v>37193</v>
      </c>
      <c r="F1619" s="69">
        <v>1.2512379393719453E-2</v>
      </c>
    </row>
    <row r="1620" spans="1:6" x14ac:dyDescent="0.3">
      <c r="A1620" s="24">
        <v>36498</v>
      </c>
      <c r="B1620" s="66">
        <v>371.28499999999997</v>
      </c>
      <c r="C1620" s="67"/>
      <c r="D1620" s="68">
        <v>0</v>
      </c>
      <c r="E1620" s="110">
        <f t="shared" si="26"/>
        <v>37193</v>
      </c>
      <c r="F1620" s="69">
        <v>1.2512379393719453E-2</v>
      </c>
    </row>
    <row r="1621" spans="1:6" x14ac:dyDescent="0.3">
      <c r="A1621" s="24">
        <v>36499</v>
      </c>
      <c r="B1621" s="66">
        <v>371.28499999999997</v>
      </c>
      <c r="C1621" s="67"/>
      <c r="D1621" s="68">
        <v>0</v>
      </c>
      <c r="E1621" s="110">
        <f t="shared" si="26"/>
        <v>37193</v>
      </c>
      <c r="F1621" s="69">
        <v>1.2512379393719453E-2</v>
      </c>
    </row>
    <row r="1622" spans="1:6" x14ac:dyDescent="0.3">
      <c r="A1622" s="24">
        <v>36500</v>
      </c>
      <c r="B1622" s="66">
        <v>371.28499999999997</v>
      </c>
      <c r="C1622" s="67"/>
      <c r="D1622" s="68">
        <v>0</v>
      </c>
      <c r="E1622" s="110">
        <f t="shared" si="26"/>
        <v>37193</v>
      </c>
      <c r="F1622" s="69">
        <v>1.2512379393719453E-2</v>
      </c>
    </row>
    <row r="1623" spans="1:6" x14ac:dyDescent="0.3">
      <c r="A1623" s="24">
        <v>36501</v>
      </c>
      <c r="B1623" s="66">
        <v>371.28499999999997</v>
      </c>
      <c r="C1623" s="67"/>
      <c r="D1623" s="68">
        <v>0</v>
      </c>
      <c r="E1623" s="110">
        <f t="shared" si="26"/>
        <v>37193</v>
      </c>
      <c r="F1623" s="69">
        <v>1.2512379393719453E-2</v>
      </c>
    </row>
    <row r="1624" spans="1:6" x14ac:dyDescent="0.3">
      <c r="A1624" s="24">
        <v>36502</v>
      </c>
      <c r="B1624" s="66">
        <v>371.28499999999997</v>
      </c>
      <c r="C1624" s="67"/>
      <c r="D1624" s="68">
        <v>0</v>
      </c>
      <c r="E1624" s="110">
        <f t="shared" si="26"/>
        <v>37193</v>
      </c>
      <c r="F1624" s="69">
        <v>1.2512379393719453E-2</v>
      </c>
    </row>
    <row r="1625" spans="1:6" x14ac:dyDescent="0.3">
      <c r="A1625" s="24">
        <v>36503</v>
      </c>
      <c r="B1625" s="66">
        <v>371.28499999999997</v>
      </c>
      <c r="C1625" s="67"/>
      <c r="D1625" s="68">
        <v>0</v>
      </c>
      <c r="E1625" s="110">
        <f t="shared" si="26"/>
        <v>37193</v>
      </c>
      <c r="F1625" s="69">
        <v>1.2512379393719453E-2</v>
      </c>
    </row>
    <row r="1626" spans="1:6" x14ac:dyDescent="0.3">
      <c r="A1626" s="24">
        <v>36504</v>
      </c>
      <c r="B1626" s="66">
        <v>371.28499999999997</v>
      </c>
      <c r="C1626" s="67"/>
      <c r="D1626" s="68">
        <v>0</v>
      </c>
      <c r="E1626" s="110">
        <f t="shared" si="26"/>
        <v>37193</v>
      </c>
      <c r="F1626" s="69">
        <v>1.2512379393719453E-2</v>
      </c>
    </row>
    <row r="1627" spans="1:6" x14ac:dyDescent="0.3">
      <c r="A1627" s="24">
        <v>36505</v>
      </c>
      <c r="B1627" s="66">
        <v>371.28499999999997</v>
      </c>
      <c r="C1627" s="67"/>
      <c r="D1627" s="68">
        <v>0</v>
      </c>
      <c r="E1627" s="110">
        <f t="shared" si="26"/>
        <v>37193</v>
      </c>
      <c r="F1627" s="69">
        <v>1.2512379393719453E-2</v>
      </c>
    </row>
    <row r="1628" spans="1:6" x14ac:dyDescent="0.3">
      <c r="A1628" s="24">
        <v>36506</v>
      </c>
      <c r="B1628" s="66">
        <v>371.28499999999997</v>
      </c>
      <c r="C1628" s="67"/>
      <c r="D1628" s="68">
        <v>0</v>
      </c>
      <c r="E1628" s="110">
        <f t="shared" si="26"/>
        <v>37193</v>
      </c>
      <c r="F1628" s="69">
        <v>1.2512379393719453E-2</v>
      </c>
    </row>
    <row r="1629" spans="1:6" x14ac:dyDescent="0.3">
      <c r="A1629" s="24">
        <v>36507</v>
      </c>
      <c r="B1629" s="66">
        <v>371.28499999999997</v>
      </c>
      <c r="C1629" s="67"/>
      <c r="D1629" s="68">
        <v>0</v>
      </c>
      <c r="E1629" s="110">
        <f t="shared" si="26"/>
        <v>37193</v>
      </c>
      <c r="F1629" s="69">
        <v>1.2512379393719453E-2</v>
      </c>
    </row>
    <row r="1630" spans="1:6" x14ac:dyDescent="0.3">
      <c r="A1630" s="24">
        <v>36508</v>
      </c>
      <c r="B1630" s="66">
        <v>371.28499999999997</v>
      </c>
      <c r="C1630" s="67"/>
      <c r="D1630" s="68">
        <v>0</v>
      </c>
      <c r="E1630" s="110">
        <f t="shared" si="26"/>
        <v>37193</v>
      </c>
      <c r="F1630" s="69">
        <v>1.2512379393719453E-2</v>
      </c>
    </row>
    <row r="1631" spans="1:6" x14ac:dyDescent="0.3">
      <c r="A1631" s="24">
        <v>36509</v>
      </c>
      <c r="B1631" s="66">
        <v>371.28499999999997</v>
      </c>
      <c r="C1631" s="67"/>
      <c r="D1631" s="68">
        <v>0</v>
      </c>
      <c r="E1631" s="110">
        <f t="shared" si="26"/>
        <v>37193</v>
      </c>
      <c r="F1631" s="69">
        <v>1.2512379393719453E-2</v>
      </c>
    </row>
    <row r="1632" spans="1:6" x14ac:dyDescent="0.3">
      <c r="A1632" s="24">
        <v>36510</v>
      </c>
      <c r="B1632" s="66">
        <v>371.28499999999997</v>
      </c>
      <c r="C1632" s="67"/>
      <c r="D1632" s="68">
        <v>0</v>
      </c>
      <c r="E1632" s="110">
        <f t="shared" si="26"/>
        <v>37193</v>
      </c>
      <c r="F1632" s="69">
        <v>1.2512379393719453E-2</v>
      </c>
    </row>
    <row r="1633" spans="1:6" x14ac:dyDescent="0.3">
      <c r="A1633" s="24">
        <v>36511</v>
      </c>
      <c r="B1633" s="66">
        <v>371.28499999999997</v>
      </c>
      <c r="C1633" s="67"/>
      <c r="D1633" s="68">
        <v>0</v>
      </c>
      <c r="E1633" s="110">
        <f t="shared" si="26"/>
        <v>37193</v>
      </c>
      <c r="F1633" s="69">
        <v>1.2512379393719453E-2</v>
      </c>
    </row>
    <row r="1634" spans="1:6" x14ac:dyDescent="0.3">
      <c r="A1634" s="24">
        <v>36512</v>
      </c>
      <c r="B1634" s="66">
        <v>371.28499999999997</v>
      </c>
      <c r="C1634" s="67"/>
      <c r="D1634" s="68">
        <v>0</v>
      </c>
      <c r="E1634" s="110">
        <f t="shared" si="26"/>
        <v>37193</v>
      </c>
      <c r="F1634" s="69">
        <v>1.2512379393719453E-2</v>
      </c>
    </row>
    <row r="1635" spans="1:6" x14ac:dyDescent="0.3">
      <c r="A1635" s="24">
        <v>36513</v>
      </c>
      <c r="B1635" s="66">
        <v>371.28499999999997</v>
      </c>
      <c r="C1635" s="67"/>
      <c r="D1635" s="68">
        <v>0</v>
      </c>
      <c r="E1635" s="110">
        <f t="shared" si="26"/>
        <v>37193</v>
      </c>
      <c r="F1635" s="69">
        <v>1.2512379393719453E-2</v>
      </c>
    </row>
    <row r="1636" spans="1:6" x14ac:dyDescent="0.3">
      <c r="A1636" s="24">
        <v>36514</v>
      </c>
      <c r="B1636" s="66">
        <v>371.28499999999997</v>
      </c>
      <c r="C1636" s="67"/>
      <c r="D1636" s="68">
        <v>0</v>
      </c>
      <c r="E1636" s="110">
        <f t="shared" si="26"/>
        <v>37193</v>
      </c>
      <c r="F1636" s="69">
        <v>1.2512379393719453E-2</v>
      </c>
    </row>
    <row r="1637" spans="1:6" x14ac:dyDescent="0.3">
      <c r="A1637" s="24">
        <v>36515</v>
      </c>
      <c r="B1637" s="66">
        <v>371.28499999999997</v>
      </c>
      <c r="C1637" s="67"/>
      <c r="D1637" s="68">
        <v>0</v>
      </c>
      <c r="E1637" s="110">
        <f t="shared" si="26"/>
        <v>37193</v>
      </c>
      <c r="F1637" s="69">
        <v>1.2512379393719453E-2</v>
      </c>
    </row>
    <row r="1638" spans="1:6" x14ac:dyDescent="0.3">
      <c r="A1638" s="24">
        <v>36516</v>
      </c>
      <c r="B1638" s="66">
        <v>371.28499999999997</v>
      </c>
      <c r="C1638" s="67"/>
      <c r="D1638" s="68">
        <v>0</v>
      </c>
      <c r="E1638" s="110">
        <f t="shared" si="26"/>
        <v>37193</v>
      </c>
      <c r="F1638" s="69">
        <v>1.2512379393719453E-2</v>
      </c>
    </row>
    <row r="1639" spans="1:6" x14ac:dyDescent="0.3">
      <c r="A1639" s="24">
        <v>36517</v>
      </c>
      <c r="B1639" s="66">
        <v>371.28499999999997</v>
      </c>
      <c r="C1639" s="67"/>
      <c r="D1639" s="68">
        <v>0</v>
      </c>
      <c r="E1639" s="110">
        <f t="shared" si="26"/>
        <v>37193</v>
      </c>
      <c r="F1639" s="69">
        <v>1.2512379393719453E-2</v>
      </c>
    </row>
    <row r="1640" spans="1:6" x14ac:dyDescent="0.3">
      <c r="A1640" s="24">
        <v>36518</v>
      </c>
      <c r="B1640" s="66">
        <v>371.28499999999997</v>
      </c>
      <c r="C1640" s="67"/>
      <c r="D1640" s="68">
        <v>0</v>
      </c>
      <c r="E1640" s="110">
        <f t="shared" si="26"/>
        <v>37193</v>
      </c>
      <c r="F1640" s="69">
        <v>1.2512379393719453E-2</v>
      </c>
    </row>
    <row r="1641" spans="1:6" x14ac:dyDescent="0.3">
      <c r="A1641" s="24">
        <v>36519</v>
      </c>
      <c r="B1641" s="66">
        <v>371.28499999999997</v>
      </c>
      <c r="C1641" s="67"/>
      <c r="D1641" s="68">
        <v>0</v>
      </c>
      <c r="E1641" s="110">
        <f t="shared" si="26"/>
        <v>37193</v>
      </c>
      <c r="F1641" s="69">
        <v>1.2512379393719453E-2</v>
      </c>
    </row>
    <row r="1642" spans="1:6" x14ac:dyDescent="0.3">
      <c r="A1642" s="24">
        <v>36520</v>
      </c>
      <c r="B1642" s="66">
        <v>371.28499999999997</v>
      </c>
      <c r="C1642" s="67"/>
      <c r="D1642" s="68">
        <v>0</v>
      </c>
      <c r="E1642" s="110">
        <f t="shared" si="26"/>
        <v>37193</v>
      </c>
      <c r="F1642" s="69">
        <v>1.2512379393719453E-2</v>
      </c>
    </row>
    <row r="1643" spans="1:6" x14ac:dyDescent="0.3">
      <c r="A1643" s="24">
        <v>36521</v>
      </c>
      <c r="B1643" s="66">
        <v>371.28499999999997</v>
      </c>
      <c r="C1643" s="67"/>
      <c r="D1643" s="68">
        <v>0</v>
      </c>
      <c r="E1643" s="110">
        <f t="shared" si="26"/>
        <v>37193</v>
      </c>
      <c r="F1643" s="69">
        <v>1.2512379393719453E-2</v>
      </c>
    </row>
    <row r="1644" spans="1:6" x14ac:dyDescent="0.3">
      <c r="A1644" s="24">
        <v>36522</v>
      </c>
      <c r="B1644" s="66">
        <v>371.28499999999997</v>
      </c>
      <c r="C1644" s="67"/>
      <c r="D1644" s="68">
        <v>0</v>
      </c>
      <c r="E1644" s="110">
        <f t="shared" si="26"/>
        <v>37193</v>
      </c>
      <c r="F1644" s="69">
        <v>1.2512379393719453E-2</v>
      </c>
    </row>
    <row r="1645" spans="1:6" x14ac:dyDescent="0.3">
      <c r="A1645" s="24">
        <v>36523</v>
      </c>
      <c r="B1645" s="66">
        <v>371.28499999999997</v>
      </c>
      <c r="C1645" s="67"/>
      <c r="D1645" s="68">
        <v>0</v>
      </c>
      <c r="E1645" s="110">
        <f t="shared" si="26"/>
        <v>37193</v>
      </c>
      <c r="F1645" s="69">
        <v>1.2512379393719453E-2</v>
      </c>
    </row>
    <row r="1646" spans="1:6" x14ac:dyDescent="0.3">
      <c r="A1646" s="24">
        <v>36524</v>
      </c>
      <c r="B1646" s="66">
        <v>371.28499999999997</v>
      </c>
      <c r="C1646" s="67"/>
      <c r="D1646" s="68">
        <v>0</v>
      </c>
      <c r="E1646" s="110">
        <f t="shared" si="26"/>
        <v>37193</v>
      </c>
      <c r="F1646" s="69">
        <v>1.215148331811805E-2</v>
      </c>
    </row>
    <row r="1647" spans="1:6" x14ac:dyDescent="0.3">
      <c r="A1647" s="24">
        <v>36525</v>
      </c>
      <c r="B1647" s="66">
        <v>376.77100000000002</v>
      </c>
      <c r="C1647" s="67"/>
      <c r="D1647" s="68">
        <v>0</v>
      </c>
      <c r="E1647" s="110">
        <f t="shared" si="26"/>
        <v>37193</v>
      </c>
      <c r="F1647" s="69">
        <v>1.215148331811805E-2</v>
      </c>
    </row>
    <row r="1648" spans="1:6" x14ac:dyDescent="0.3">
      <c r="A1648" s="24">
        <v>36526</v>
      </c>
      <c r="B1648" s="66">
        <v>376.77100000000002</v>
      </c>
      <c r="C1648" s="67"/>
      <c r="D1648" s="68">
        <v>0</v>
      </c>
      <c r="E1648" s="110">
        <f t="shared" si="26"/>
        <v>37193</v>
      </c>
      <c r="F1648" s="69">
        <v>1.215148331811805E-2</v>
      </c>
    </row>
    <row r="1649" spans="1:6" x14ac:dyDescent="0.3">
      <c r="A1649" s="24">
        <v>36527</v>
      </c>
      <c r="B1649" s="66">
        <v>376.77100000000002</v>
      </c>
      <c r="C1649" s="67"/>
      <c r="D1649" s="68">
        <v>0</v>
      </c>
      <c r="E1649" s="110">
        <f t="shared" si="26"/>
        <v>37193</v>
      </c>
      <c r="F1649" s="69">
        <v>1.215148331811805E-2</v>
      </c>
    </row>
    <row r="1650" spans="1:6" x14ac:dyDescent="0.3">
      <c r="A1650" s="24">
        <v>36528</v>
      </c>
      <c r="B1650" s="66">
        <v>376.77100000000002</v>
      </c>
      <c r="C1650" s="67"/>
      <c r="D1650" s="68">
        <v>0</v>
      </c>
      <c r="E1650" s="110">
        <f t="shared" si="26"/>
        <v>37193</v>
      </c>
      <c r="F1650" s="69">
        <v>1.215148331811805E-2</v>
      </c>
    </row>
    <row r="1651" spans="1:6" x14ac:dyDescent="0.3">
      <c r="A1651" s="24">
        <v>36529</v>
      </c>
      <c r="B1651" s="66">
        <v>376.77100000000002</v>
      </c>
      <c r="C1651" s="67"/>
      <c r="D1651" s="68">
        <v>0</v>
      </c>
      <c r="E1651" s="110">
        <f t="shared" si="26"/>
        <v>37193</v>
      </c>
      <c r="F1651" s="69">
        <v>1.215148331811805E-2</v>
      </c>
    </row>
    <row r="1652" spans="1:6" x14ac:dyDescent="0.3">
      <c r="A1652" s="24">
        <v>36530</v>
      </c>
      <c r="B1652" s="66">
        <v>376.77100000000002</v>
      </c>
      <c r="C1652" s="67"/>
      <c r="D1652" s="68">
        <v>0</v>
      </c>
      <c r="E1652" s="110">
        <f t="shared" si="26"/>
        <v>37193</v>
      </c>
      <c r="F1652" s="69">
        <v>1.215148331811805E-2</v>
      </c>
    </row>
    <row r="1653" spans="1:6" x14ac:dyDescent="0.3">
      <c r="A1653" s="24">
        <v>36531</v>
      </c>
      <c r="B1653" s="66">
        <v>376.77100000000002</v>
      </c>
      <c r="C1653" s="67"/>
      <c r="D1653" s="68">
        <v>0</v>
      </c>
      <c r="E1653" s="110">
        <f t="shared" si="26"/>
        <v>37193</v>
      </c>
      <c r="F1653" s="69">
        <v>1.215148331811805E-2</v>
      </c>
    </row>
    <row r="1654" spans="1:6" x14ac:dyDescent="0.3">
      <c r="A1654" s="24">
        <v>36532</v>
      </c>
      <c r="B1654" s="66">
        <v>376.77100000000002</v>
      </c>
      <c r="C1654" s="67"/>
      <c r="D1654" s="68">
        <v>0</v>
      </c>
      <c r="E1654" s="110">
        <f t="shared" si="26"/>
        <v>37193</v>
      </c>
      <c r="F1654" s="69">
        <v>1.215148331811805E-2</v>
      </c>
    </row>
    <row r="1655" spans="1:6" x14ac:dyDescent="0.3">
      <c r="A1655" s="24">
        <v>36533</v>
      </c>
      <c r="B1655" s="66">
        <v>376.77100000000002</v>
      </c>
      <c r="C1655" s="67"/>
      <c r="D1655" s="68">
        <v>0</v>
      </c>
      <c r="E1655" s="110">
        <f t="shared" si="26"/>
        <v>37193</v>
      </c>
      <c r="F1655" s="69">
        <v>1.215148331811805E-2</v>
      </c>
    </row>
    <row r="1656" spans="1:6" x14ac:dyDescent="0.3">
      <c r="A1656" s="24">
        <v>36534</v>
      </c>
      <c r="B1656" s="66">
        <v>376.77100000000002</v>
      </c>
      <c r="C1656" s="67"/>
      <c r="D1656" s="68">
        <v>0</v>
      </c>
      <c r="E1656" s="110">
        <f t="shared" si="26"/>
        <v>37193</v>
      </c>
      <c r="F1656" s="69">
        <v>1.215148331811805E-2</v>
      </c>
    </row>
    <row r="1657" spans="1:6" x14ac:dyDescent="0.3">
      <c r="A1657" s="24">
        <v>36535</v>
      </c>
      <c r="B1657" s="66">
        <v>376.77100000000002</v>
      </c>
      <c r="C1657" s="67"/>
      <c r="D1657" s="68">
        <v>0</v>
      </c>
      <c r="E1657" s="110">
        <f t="shared" si="26"/>
        <v>37193</v>
      </c>
      <c r="F1657" s="69">
        <v>1.215148331811805E-2</v>
      </c>
    </row>
    <row r="1658" spans="1:6" x14ac:dyDescent="0.3">
      <c r="A1658" s="24">
        <v>36536</v>
      </c>
      <c r="B1658" s="66">
        <v>376.77100000000002</v>
      </c>
      <c r="C1658" s="67"/>
      <c r="D1658" s="68">
        <v>0</v>
      </c>
      <c r="E1658" s="110">
        <f t="shared" si="26"/>
        <v>37193</v>
      </c>
      <c r="F1658" s="69">
        <v>1.215148331811805E-2</v>
      </c>
    </row>
    <row r="1659" spans="1:6" x14ac:dyDescent="0.3">
      <c r="A1659" s="24">
        <v>36537</v>
      </c>
      <c r="B1659" s="66">
        <v>376.77100000000002</v>
      </c>
      <c r="C1659" s="67"/>
      <c r="D1659" s="68">
        <v>0</v>
      </c>
      <c r="E1659" s="110">
        <f t="shared" si="26"/>
        <v>37193</v>
      </c>
      <c r="F1659" s="69">
        <v>1.215148331811805E-2</v>
      </c>
    </row>
    <row r="1660" spans="1:6" x14ac:dyDescent="0.3">
      <c r="A1660" s="24">
        <v>36538</v>
      </c>
      <c r="B1660" s="66">
        <v>376.77100000000002</v>
      </c>
      <c r="C1660" s="67"/>
      <c r="D1660" s="68">
        <v>0</v>
      </c>
      <c r="E1660" s="110">
        <f t="shared" si="26"/>
        <v>37193</v>
      </c>
      <c r="F1660" s="69">
        <v>1.215148331811805E-2</v>
      </c>
    </row>
    <row r="1661" spans="1:6" x14ac:dyDescent="0.3">
      <c r="A1661" s="24">
        <v>36539</v>
      </c>
      <c r="B1661" s="66">
        <v>376.77100000000002</v>
      </c>
      <c r="C1661" s="67"/>
      <c r="D1661" s="68">
        <v>0</v>
      </c>
      <c r="E1661" s="110">
        <f t="shared" si="26"/>
        <v>37193</v>
      </c>
      <c r="F1661" s="69">
        <v>1.215148331811805E-2</v>
      </c>
    </row>
    <row r="1662" spans="1:6" x14ac:dyDescent="0.3">
      <c r="A1662" s="24">
        <v>36540</v>
      </c>
      <c r="B1662" s="66">
        <v>376.77100000000002</v>
      </c>
      <c r="C1662" s="67"/>
      <c r="D1662" s="68">
        <v>0</v>
      </c>
      <c r="E1662" s="110">
        <f t="shared" si="26"/>
        <v>37193</v>
      </c>
      <c r="F1662" s="69">
        <v>1.215148331811805E-2</v>
      </c>
    </row>
    <row r="1663" spans="1:6" x14ac:dyDescent="0.3">
      <c r="A1663" s="24">
        <v>36541</v>
      </c>
      <c r="B1663" s="66">
        <v>376.77100000000002</v>
      </c>
      <c r="C1663" s="67"/>
      <c r="D1663" s="68">
        <v>0</v>
      </c>
      <c r="E1663" s="110">
        <f t="shared" si="26"/>
        <v>37193</v>
      </c>
      <c r="F1663" s="69">
        <v>1.215148331811805E-2</v>
      </c>
    </row>
    <row r="1664" spans="1:6" x14ac:dyDescent="0.3">
      <c r="A1664" s="24">
        <v>36542</v>
      </c>
      <c r="B1664" s="66">
        <v>376.77100000000002</v>
      </c>
      <c r="C1664" s="67"/>
      <c r="D1664" s="68">
        <v>0</v>
      </c>
      <c r="E1664" s="110">
        <f t="shared" si="26"/>
        <v>37193</v>
      </c>
      <c r="F1664" s="69">
        <v>1.215148331811805E-2</v>
      </c>
    </row>
    <row r="1665" spans="1:6" x14ac:dyDescent="0.3">
      <c r="A1665" s="24">
        <v>36543</v>
      </c>
      <c r="B1665" s="66">
        <v>376.77100000000002</v>
      </c>
      <c r="C1665" s="67"/>
      <c r="D1665" s="68">
        <v>0</v>
      </c>
      <c r="E1665" s="110">
        <f t="shared" si="26"/>
        <v>37193</v>
      </c>
      <c r="F1665" s="69">
        <v>1.215148331811805E-2</v>
      </c>
    </row>
    <row r="1666" spans="1:6" x14ac:dyDescent="0.3">
      <c r="A1666" s="24">
        <v>36544</v>
      </c>
      <c r="B1666" s="66">
        <v>376.77100000000002</v>
      </c>
      <c r="C1666" s="67"/>
      <c r="D1666" s="68">
        <v>0</v>
      </c>
      <c r="E1666" s="110">
        <f t="shared" si="26"/>
        <v>37193</v>
      </c>
      <c r="F1666" s="69">
        <v>1.215148331811805E-2</v>
      </c>
    </row>
    <row r="1667" spans="1:6" x14ac:dyDescent="0.3">
      <c r="A1667" s="24">
        <v>36545</v>
      </c>
      <c r="B1667" s="66">
        <v>376.77100000000002</v>
      </c>
      <c r="C1667" s="67"/>
      <c r="D1667" s="68">
        <v>0</v>
      </c>
      <c r="E1667" s="110">
        <f t="shared" si="26"/>
        <v>37193</v>
      </c>
      <c r="F1667" s="69">
        <v>1.215148331811805E-2</v>
      </c>
    </row>
    <row r="1668" spans="1:6" x14ac:dyDescent="0.3">
      <c r="A1668" s="24">
        <v>36546</v>
      </c>
      <c r="B1668" s="66">
        <v>376.77100000000002</v>
      </c>
      <c r="C1668" s="67"/>
      <c r="D1668" s="68">
        <v>0</v>
      </c>
      <c r="E1668" s="110">
        <f t="shared" si="26"/>
        <v>37193</v>
      </c>
      <c r="F1668" s="69">
        <v>1.215148331811805E-2</v>
      </c>
    </row>
    <row r="1669" spans="1:6" x14ac:dyDescent="0.3">
      <c r="A1669" s="24">
        <v>36547</v>
      </c>
      <c r="B1669" s="66">
        <v>376.77100000000002</v>
      </c>
      <c r="C1669" s="67"/>
      <c r="D1669" s="68">
        <v>0</v>
      </c>
      <c r="E1669" s="110">
        <f t="shared" si="26"/>
        <v>37193</v>
      </c>
      <c r="F1669" s="69">
        <v>1.215148331811805E-2</v>
      </c>
    </row>
    <row r="1670" spans="1:6" x14ac:dyDescent="0.3">
      <c r="A1670" s="24">
        <v>36548</v>
      </c>
      <c r="B1670" s="66">
        <v>376.77100000000002</v>
      </c>
      <c r="C1670" s="67"/>
      <c r="D1670" s="68">
        <v>0</v>
      </c>
      <c r="E1670" s="110">
        <f t="shared" si="26"/>
        <v>37193</v>
      </c>
      <c r="F1670" s="69">
        <v>1.215148331811805E-2</v>
      </c>
    </row>
    <row r="1671" spans="1:6" x14ac:dyDescent="0.3">
      <c r="A1671" s="24">
        <v>36549</v>
      </c>
      <c r="B1671" s="66">
        <v>376.77100000000002</v>
      </c>
      <c r="C1671" s="67"/>
      <c r="D1671" s="68">
        <v>0</v>
      </c>
      <c r="E1671" s="110">
        <f t="shared" si="26"/>
        <v>37193</v>
      </c>
      <c r="F1671" s="69">
        <v>1.215148331811805E-2</v>
      </c>
    </row>
    <row r="1672" spans="1:6" x14ac:dyDescent="0.3">
      <c r="A1672" s="24">
        <v>36550</v>
      </c>
      <c r="B1672" s="66">
        <v>376.77100000000002</v>
      </c>
      <c r="C1672" s="67"/>
      <c r="D1672" s="68">
        <v>0</v>
      </c>
      <c r="E1672" s="110">
        <f t="shared" si="26"/>
        <v>37193</v>
      </c>
      <c r="F1672" s="69">
        <v>1.215148331811805E-2</v>
      </c>
    </row>
    <row r="1673" spans="1:6" x14ac:dyDescent="0.3">
      <c r="A1673" s="24">
        <v>36551</v>
      </c>
      <c r="B1673" s="66">
        <v>376.77100000000002</v>
      </c>
      <c r="C1673" s="67"/>
      <c r="D1673" s="68">
        <v>0</v>
      </c>
      <c r="E1673" s="110">
        <f t="shared" si="26"/>
        <v>37193</v>
      </c>
      <c r="F1673" s="69">
        <v>1.215148331811805E-2</v>
      </c>
    </row>
    <row r="1674" spans="1:6" x14ac:dyDescent="0.3">
      <c r="A1674" s="24">
        <v>36552</v>
      </c>
      <c r="B1674" s="66">
        <v>376.77100000000002</v>
      </c>
      <c r="C1674" s="67"/>
      <c r="D1674" s="68">
        <v>0</v>
      </c>
      <c r="E1674" s="110">
        <f t="shared" si="26"/>
        <v>37193</v>
      </c>
      <c r="F1674" s="69">
        <v>1.215148331811805E-2</v>
      </c>
    </row>
    <row r="1675" spans="1:6" x14ac:dyDescent="0.3">
      <c r="A1675" s="24">
        <v>36553</v>
      </c>
      <c r="B1675" s="66">
        <v>376.77100000000002</v>
      </c>
      <c r="C1675" s="67"/>
      <c r="D1675" s="68">
        <v>0</v>
      </c>
      <c r="E1675" s="110">
        <f t="shared" si="26"/>
        <v>37193</v>
      </c>
      <c r="F1675" s="69">
        <v>1.215148331811805E-2</v>
      </c>
    </row>
    <row r="1676" spans="1:6" x14ac:dyDescent="0.3">
      <c r="A1676" s="24">
        <v>36554</v>
      </c>
      <c r="B1676" s="66">
        <v>376.77100000000002</v>
      </c>
      <c r="C1676" s="67"/>
      <c r="D1676" s="68">
        <v>0</v>
      </c>
      <c r="E1676" s="110">
        <f t="shared" si="26"/>
        <v>37193</v>
      </c>
      <c r="F1676" s="69">
        <v>1.215148331811805E-2</v>
      </c>
    </row>
    <row r="1677" spans="1:6" x14ac:dyDescent="0.3">
      <c r="A1677" s="24">
        <v>36555</v>
      </c>
      <c r="B1677" s="66">
        <v>376.77100000000002</v>
      </c>
      <c r="C1677" s="67"/>
      <c r="D1677" s="68">
        <v>0</v>
      </c>
      <c r="E1677" s="110">
        <f t="shared" si="26"/>
        <v>37193</v>
      </c>
      <c r="F1677" s="69">
        <v>1.215148331811805E-2</v>
      </c>
    </row>
    <row r="1678" spans="1:6" x14ac:dyDescent="0.3">
      <c r="A1678" s="24">
        <v>36556</v>
      </c>
      <c r="B1678" s="66">
        <v>376.77100000000002</v>
      </c>
      <c r="C1678" s="67"/>
      <c r="D1678" s="68">
        <v>0</v>
      </c>
      <c r="E1678" s="110">
        <f t="shared" si="26"/>
        <v>37193</v>
      </c>
      <c r="F1678" s="69">
        <v>1.215148331811805E-2</v>
      </c>
    </row>
    <row r="1679" spans="1:6" x14ac:dyDescent="0.3">
      <c r="A1679" s="24">
        <v>36557</v>
      </c>
      <c r="B1679" s="66">
        <v>376.77100000000002</v>
      </c>
      <c r="C1679" s="67"/>
      <c r="D1679" s="68">
        <v>0</v>
      </c>
      <c r="E1679" s="110">
        <f t="shared" si="26"/>
        <v>37193</v>
      </c>
      <c r="F1679" s="69">
        <v>1.215148331811805E-2</v>
      </c>
    </row>
    <row r="1680" spans="1:6" x14ac:dyDescent="0.3">
      <c r="A1680" s="24">
        <v>36558</v>
      </c>
      <c r="B1680" s="66">
        <v>376.77100000000002</v>
      </c>
      <c r="C1680" s="67"/>
      <c r="D1680" s="68">
        <v>0</v>
      </c>
      <c r="E1680" s="110">
        <f t="shared" si="26"/>
        <v>37193</v>
      </c>
      <c r="F1680" s="69">
        <v>1.215148331811805E-2</v>
      </c>
    </row>
    <row r="1681" spans="1:6" x14ac:dyDescent="0.3">
      <c r="A1681" s="24">
        <v>36559</v>
      </c>
      <c r="B1681" s="66">
        <v>376.77100000000002</v>
      </c>
      <c r="C1681" s="67"/>
      <c r="D1681" s="68">
        <v>0</v>
      </c>
      <c r="E1681" s="110">
        <f t="shared" si="26"/>
        <v>37193</v>
      </c>
      <c r="F1681" s="69">
        <v>1.215148331811805E-2</v>
      </c>
    </row>
    <row r="1682" spans="1:6" x14ac:dyDescent="0.3">
      <c r="A1682" s="24">
        <v>36560</v>
      </c>
      <c r="B1682" s="66">
        <v>376.77100000000002</v>
      </c>
      <c r="C1682" s="67"/>
      <c r="D1682" s="68">
        <v>0</v>
      </c>
      <c r="E1682" s="110">
        <f t="shared" ref="E1682:E1745" si="27">+E1681</f>
        <v>37193</v>
      </c>
      <c r="F1682" s="69">
        <v>1.215148331811805E-2</v>
      </c>
    </row>
    <row r="1683" spans="1:6" x14ac:dyDescent="0.3">
      <c r="A1683" s="24">
        <v>36561</v>
      </c>
      <c r="B1683" s="66">
        <v>376.77100000000002</v>
      </c>
      <c r="C1683" s="67"/>
      <c r="D1683" s="68">
        <v>0</v>
      </c>
      <c r="E1683" s="110">
        <f t="shared" si="27"/>
        <v>37193</v>
      </c>
      <c r="F1683" s="69">
        <v>1.215148331811805E-2</v>
      </c>
    </row>
    <row r="1684" spans="1:6" x14ac:dyDescent="0.3">
      <c r="A1684" s="24">
        <v>36562</v>
      </c>
      <c r="B1684" s="66">
        <v>376.77100000000002</v>
      </c>
      <c r="C1684" s="67"/>
      <c r="D1684" s="68">
        <v>0</v>
      </c>
      <c r="E1684" s="110">
        <f t="shared" si="27"/>
        <v>37193</v>
      </c>
      <c r="F1684" s="69">
        <v>1.215148331811805E-2</v>
      </c>
    </row>
    <row r="1685" spans="1:6" x14ac:dyDescent="0.3">
      <c r="A1685" s="24">
        <v>36563</v>
      </c>
      <c r="B1685" s="66">
        <v>376.77100000000002</v>
      </c>
      <c r="C1685" s="67"/>
      <c r="D1685" s="68">
        <v>0</v>
      </c>
      <c r="E1685" s="110">
        <f t="shared" si="27"/>
        <v>37193</v>
      </c>
      <c r="F1685" s="69">
        <v>1.215148331811805E-2</v>
      </c>
    </row>
    <row r="1686" spans="1:6" x14ac:dyDescent="0.3">
      <c r="A1686" s="24">
        <v>36564</v>
      </c>
      <c r="B1686" s="66">
        <v>376.77100000000002</v>
      </c>
      <c r="C1686" s="67"/>
      <c r="D1686" s="68">
        <v>0</v>
      </c>
      <c r="E1686" s="110">
        <f t="shared" si="27"/>
        <v>37193</v>
      </c>
      <c r="F1686" s="69">
        <v>1.215148331811805E-2</v>
      </c>
    </row>
    <row r="1687" spans="1:6" x14ac:dyDescent="0.3">
      <c r="A1687" s="24">
        <v>36565</v>
      </c>
      <c r="B1687" s="66">
        <v>376.77100000000002</v>
      </c>
      <c r="C1687" s="67"/>
      <c r="D1687" s="68">
        <v>0</v>
      </c>
      <c r="E1687" s="110">
        <f t="shared" si="27"/>
        <v>37193</v>
      </c>
      <c r="F1687" s="69">
        <v>1.215148331811805E-2</v>
      </c>
    </row>
    <row r="1688" spans="1:6" x14ac:dyDescent="0.3">
      <c r="A1688" s="24">
        <v>36566</v>
      </c>
      <c r="B1688" s="66">
        <v>376.77100000000002</v>
      </c>
      <c r="C1688" s="67"/>
      <c r="D1688" s="68">
        <v>0</v>
      </c>
      <c r="E1688" s="110">
        <f t="shared" si="27"/>
        <v>37193</v>
      </c>
      <c r="F1688" s="69">
        <v>1.215148331811805E-2</v>
      </c>
    </row>
    <row r="1689" spans="1:6" x14ac:dyDescent="0.3">
      <c r="A1689" s="24">
        <v>36567</v>
      </c>
      <c r="B1689" s="66">
        <v>376.77100000000002</v>
      </c>
      <c r="C1689" s="67"/>
      <c r="D1689" s="68">
        <v>0</v>
      </c>
      <c r="E1689" s="110">
        <f t="shared" si="27"/>
        <v>37193</v>
      </c>
      <c r="F1689" s="69">
        <v>1.215148331811805E-2</v>
      </c>
    </row>
    <row r="1690" spans="1:6" x14ac:dyDescent="0.3">
      <c r="A1690" s="24">
        <v>36568</v>
      </c>
      <c r="B1690" s="66">
        <v>376.77100000000002</v>
      </c>
      <c r="C1690" s="67"/>
      <c r="D1690" s="68">
        <v>0</v>
      </c>
      <c r="E1690" s="110">
        <f t="shared" si="27"/>
        <v>37193</v>
      </c>
      <c r="F1690" s="69">
        <v>1.215148331811805E-2</v>
      </c>
    </row>
    <row r="1691" spans="1:6" x14ac:dyDescent="0.3">
      <c r="A1691" s="24">
        <v>36569</v>
      </c>
      <c r="B1691" s="66">
        <v>376.77100000000002</v>
      </c>
      <c r="C1691" s="67"/>
      <c r="D1691" s="68">
        <v>0</v>
      </c>
      <c r="E1691" s="110">
        <f t="shared" si="27"/>
        <v>37193</v>
      </c>
      <c r="F1691" s="69">
        <v>1.215148331811805E-2</v>
      </c>
    </row>
    <row r="1692" spans="1:6" x14ac:dyDescent="0.3">
      <c r="A1692" s="24">
        <v>36570</v>
      </c>
      <c r="B1692" s="66">
        <v>376.77100000000002</v>
      </c>
      <c r="C1692" s="67"/>
      <c r="D1692" s="68">
        <v>0</v>
      </c>
      <c r="E1692" s="110">
        <f t="shared" si="27"/>
        <v>37193</v>
      </c>
      <c r="F1692" s="69">
        <v>1.215148331811805E-2</v>
      </c>
    </row>
    <row r="1693" spans="1:6" x14ac:dyDescent="0.3">
      <c r="A1693" s="24">
        <v>36571</v>
      </c>
      <c r="B1693" s="66">
        <v>376.77100000000002</v>
      </c>
      <c r="C1693" s="67"/>
      <c r="D1693" s="68">
        <v>0</v>
      </c>
      <c r="E1693" s="110">
        <f t="shared" si="27"/>
        <v>37193</v>
      </c>
      <c r="F1693" s="69">
        <v>1.215148331811805E-2</v>
      </c>
    </row>
    <row r="1694" spans="1:6" x14ac:dyDescent="0.3">
      <c r="A1694" s="24">
        <v>36572</v>
      </c>
      <c r="B1694" s="66">
        <v>376.77100000000002</v>
      </c>
      <c r="C1694" s="67"/>
      <c r="D1694" s="68">
        <v>0</v>
      </c>
      <c r="E1694" s="110">
        <f t="shared" si="27"/>
        <v>37193</v>
      </c>
      <c r="F1694" s="69">
        <v>1.215148331811805E-2</v>
      </c>
    </row>
    <row r="1695" spans="1:6" x14ac:dyDescent="0.3">
      <c r="A1695" s="24">
        <v>36573</v>
      </c>
      <c r="B1695" s="66">
        <v>376.77100000000002</v>
      </c>
      <c r="C1695" s="67"/>
      <c r="D1695" s="68">
        <v>0</v>
      </c>
      <c r="E1695" s="110">
        <f t="shared" si="27"/>
        <v>37193</v>
      </c>
      <c r="F1695" s="69">
        <v>1.215148331811805E-2</v>
      </c>
    </row>
    <row r="1696" spans="1:6" x14ac:dyDescent="0.3">
      <c r="A1696" s="24">
        <v>36574</v>
      </c>
      <c r="B1696" s="66">
        <v>376.77100000000002</v>
      </c>
      <c r="C1696" s="67"/>
      <c r="D1696" s="68">
        <v>0</v>
      </c>
      <c r="E1696" s="110">
        <f t="shared" si="27"/>
        <v>37193</v>
      </c>
      <c r="F1696" s="69">
        <v>1.215148331811805E-2</v>
      </c>
    </row>
    <row r="1697" spans="1:6" x14ac:dyDescent="0.3">
      <c r="A1697" s="24">
        <v>36575</v>
      </c>
      <c r="B1697" s="66">
        <v>376.77100000000002</v>
      </c>
      <c r="C1697" s="67"/>
      <c r="D1697" s="68">
        <v>0</v>
      </c>
      <c r="E1697" s="110">
        <f t="shared" si="27"/>
        <v>37193</v>
      </c>
      <c r="F1697" s="69">
        <v>1.215148331811805E-2</v>
      </c>
    </row>
    <row r="1698" spans="1:6" x14ac:dyDescent="0.3">
      <c r="A1698" s="24">
        <v>36576</v>
      </c>
      <c r="B1698" s="66">
        <v>376.77100000000002</v>
      </c>
      <c r="C1698" s="67"/>
      <c r="D1698" s="68">
        <v>0</v>
      </c>
      <c r="E1698" s="110">
        <f t="shared" si="27"/>
        <v>37193</v>
      </c>
      <c r="F1698" s="69">
        <v>1.215148331811805E-2</v>
      </c>
    </row>
    <row r="1699" spans="1:6" x14ac:dyDescent="0.3">
      <c r="A1699" s="24">
        <v>36577</v>
      </c>
      <c r="B1699" s="66">
        <v>376.77100000000002</v>
      </c>
      <c r="C1699" s="67"/>
      <c r="D1699" s="68">
        <v>0</v>
      </c>
      <c r="E1699" s="110">
        <f t="shared" si="27"/>
        <v>37193</v>
      </c>
      <c r="F1699" s="69">
        <v>1.215148331811805E-2</v>
      </c>
    </row>
    <row r="1700" spans="1:6" x14ac:dyDescent="0.3">
      <c r="A1700" s="24">
        <v>36578</v>
      </c>
      <c r="B1700" s="66">
        <v>376.77100000000002</v>
      </c>
      <c r="C1700" s="67"/>
      <c r="D1700" s="68">
        <v>0</v>
      </c>
      <c r="E1700" s="110">
        <f t="shared" si="27"/>
        <v>37193</v>
      </c>
      <c r="F1700" s="69">
        <v>1.215148331811805E-2</v>
      </c>
    </row>
    <row r="1701" spans="1:6" x14ac:dyDescent="0.3">
      <c r="A1701" s="24">
        <v>36579</v>
      </c>
      <c r="B1701" s="66">
        <v>376.77100000000002</v>
      </c>
      <c r="C1701" s="67"/>
      <c r="D1701" s="68">
        <v>0</v>
      </c>
      <c r="E1701" s="110">
        <f t="shared" si="27"/>
        <v>37193</v>
      </c>
      <c r="F1701" s="69">
        <v>1.215148331811805E-2</v>
      </c>
    </row>
    <row r="1702" spans="1:6" x14ac:dyDescent="0.3">
      <c r="A1702" s="24">
        <v>36580</v>
      </c>
      <c r="B1702" s="66">
        <v>376.77100000000002</v>
      </c>
      <c r="C1702" s="67"/>
      <c r="D1702" s="68">
        <v>0</v>
      </c>
      <c r="E1702" s="110">
        <f t="shared" si="27"/>
        <v>37193</v>
      </c>
      <c r="F1702" s="69">
        <v>1.215148331811805E-2</v>
      </c>
    </row>
    <row r="1703" spans="1:6" x14ac:dyDescent="0.3">
      <c r="A1703" s="24">
        <v>36581</v>
      </c>
      <c r="B1703" s="66">
        <v>376.77100000000002</v>
      </c>
      <c r="C1703" s="67"/>
      <c r="D1703" s="68">
        <v>0</v>
      </c>
      <c r="E1703" s="110">
        <f t="shared" si="27"/>
        <v>37193</v>
      </c>
      <c r="F1703" s="69">
        <v>1.215148331811805E-2</v>
      </c>
    </row>
    <row r="1704" spans="1:6" x14ac:dyDescent="0.3">
      <c r="A1704" s="24">
        <v>36582</v>
      </c>
      <c r="B1704" s="66">
        <v>376.77100000000002</v>
      </c>
      <c r="C1704" s="67"/>
      <c r="D1704" s="68">
        <v>0</v>
      </c>
      <c r="E1704" s="110">
        <f t="shared" si="27"/>
        <v>37193</v>
      </c>
      <c r="F1704" s="69">
        <v>1.215148331811805E-2</v>
      </c>
    </row>
    <row r="1705" spans="1:6" x14ac:dyDescent="0.3">
      <c r="A1705" s="24">
        <v>36583</v>
      </c>
      <c r="B1705" s="66">
        <v>376.77100000000002</v>
      </c>
      <c r="C1705" s="67"/>
      <c r="D1705" s="68">
        <v>0</v>
      </c>
      <c r="E1705" s="110">
        <f t="shared" si="27"/>
        <v>37193</v>
      </c>
      <c r="F1705" s="69">
        <v>1.215148331811805E-2</v>
      </c>
    </row>
    <row r="1706" spans="1:6" x14ac:dyDescent="0.3">
      <c r="A1706" s="24">
        <v>36584</v>
      </c>
      <c r="B1706" s="66">
        <v>376.77100000000002</v>
      </c>
      <c r="C1706" s="67"/>
      <c r="D1706" s="68">
        <v>0</v>
      </c>
      <c r="E1706" s="110">
        <f t="shared" si="27"/>
        <v>37193</v>
      </c>
      <c r="F1706" s="69">
        <v>1.215148331811805E-2</v>
      </c>
    </row>
    <row r="1707" spans="1:6" x14ac:dyDescent="0.3">
      <c r="A1707" s="24">
        <v>36585</v>
      </c>
      <c r="B1707" s="66">
        <v>376.77100000000002</v>
      </c>
      <c r="C1707" s="67"/>
      <c r="D1707" s="68">
        <v>0</v>
      </c>
      <c r="E1707" s="110">
        <f t="shared" si="27"/>
        <v>37193</v>
      </c>
      <c r="F1707" s="69">
        <v>1.215148331811805E-2</v>
      </c>
    </row>
    <row r="1708" spans="1:6" x14ac:dyDescent="0.3">
      <c r="A1708" s="24">
        <v>36586</v>
      </c>
      <c r="B1708" s="66">
        <v>376.77100000000002</v>
      </c>
      <c r="C1708" s="67"/>
      <c r="D1708" s="68">
        <v>0</v>
      </c>
      <c r="E1708" s="110">
        <f t="shared" si="27"/>
        <v>37193</v>
      </c>
      <c r="F1708" s="69">
        <v>1.215148331811805E-2</v>
      </c>
    </row>
    <row r="1709" spans="1:6" x14ac:dyDescent="0.3">
      <c r="A1709" s="24">
        <v>36587</v>
      </c>
      <c r="B1709" s="66">
        <v>376.77100000000002</v>
      </c>
      <c r="C1709" s="67"/>
      <c r="D1709" s="68">
        <v>0</v>
      </c>
      <c r="E1709" s="110">
        <f t="shared" si="27"/>
        <v>37193</v>
      </c>
      <c r="F1709" s="69">
        <v>1.215148331811805E-2</v>
      </c>
    </row>
    <row r="1710" spans="1:6" x14ac:dyDescent="0.3">
      <c r="A1710" s="24">
        <v>36588</v>
      </c>
      <c r="B1710" s="66">
        <v>376.77100000000002</v>
      </c>
      <c r="C1710" s="67"/>
      <c r="D1710" s="68">
        <v>0</v>
      </c>
      <c r="E1710" s="110">
        <f t="shared" si="27"/>
        <v>37193</v>
      </c>
      <c r="F1710" s="69">
        <v>1.215148331811805E-2</v>
      </c>
    </row>
    <row r="1711" spans="1:6" x14ac:dyDescent="0.3">
      <c r="A1711" s="24">
        <v>36589</v>
      </c>
      <c r="B1711" s="66">
        <v>376.77100000000002</v>
      </c>
      <c r="C1711" s="67"/>
      <c r="D1711" s="68">
        <v>0</v>
      </c>
      <c r="E1711" s="110">
        <f t="shared" si="27"/>
        <v>37193</v>
      </c>
      <c r="F1711" s="69">
        <v>1.215148331811805E-2</v>
      </c>
    </row>
    <row r="1712" spans="1:6" x14ac:dyDescent="0.3">
      <c r="A1712" s="24">
        <v>36590</v>
      </c>
      <c r="B1712" s="66">
        <v>376.77100000000002</v>
      </c>
      <c r="C1712" s="67"/>
      <c r="D1712" s="68">
        <v>0</v>
      </c>
      <c r="E1712" s="110">
        <f t="shared" si="27"/>
        <v>37193</v>
      </c>
      <c r="F1712" s="69">
        <v>1.215148331811805E-2</v>
      </c>
    </row>
    <row r="1713" spans="1:6" x14ac:dyDescent="0.3">
      <c r="A1713" s="24">
        <v>36591</v>
      </c>
      <c r="B1713" s="66">
        <v>376.77100000000002</v>
      </c>
      <c r="C1713" s="67"/>
      <c r="D1713" s="68">
        <v>0</v>
      </c>
      <c r="E1713" s="110">
        <f t="shared" si="27"/>
        <v>37193</v>
      </c>
      <c r="F1713" s="69">
        <v>1.215148331811805E-2</v>
      </c>
    </row>
    <row r="1714" spans="1:6" x14ac:dyDescent="0.3">
      <c r="A1714" s="24">
        <v>36592</v>
      </c>
      <c r="B1714" s="66">
        <v>376.77100000000002</v>
      </c>
      <c r="C1714" s="67"/>
      <c r="D1714" s="68">
        <v>0</v>
      </c>
      <c r="E1714" s="110">
        <f t="shared" si="27"/>
        <v>37193</v>
      </c>
      <c r="F1714" s="69">
        <v>1.215148331811805E-2</v>
      </c>
    </row>
    <row r="1715" spans="1:6" x14ac:dyDescent="0.3">
      <c r="A1715" s="24">
        <v>36593</v>
      </c>
      <c r="B1715" s="66">
        <v>376.77100000000002</v>
      </c>
      <c r="C1715" s="67"/>
      <c r="D1715" s="68">
        <v>0</v>
      </c>
      <c r="E1715" s="110">
        <f t="shared" si="27"/>
        <v>37193</v>
      </c>
      <c r="F1715" s="69">
        <v>1.215148331811805E-2</v>
      </c>
    </row>
    <row r="1716" spans="1:6" x14ac:dyDescent="0.3">
      <c r="A1716" s="24">
        <v>36594</v>
      </c>
      <c r="B1716" s="66">
        <v>376.77100000000002</v>
      </c>
      <c r="C1716" s="67"/>
      <c r="D1716" s="68">
        <v>0</v>
      </c>
      <c r="E1716" s="110">
        <f t="shared" si="27"/>
        <v>37193</v>
      </c>
      <c r="F1716" s="69">
        <v>1.215148331811805E-2</v>
      </c>
    </row>
    <row r="1717" spans="1:6" x14ac:dyDescent="0.3">
      <c r="A1717" s="24">
        <v>36595</v>
      </c>
      <c r="B1717" s="66">
        <v>376.77100000000002</v>
      </c>
      <c r="C1717" s="67"/>
      <c r="D1717" s="68">
        <v>0</v>
      </c>
      <c r="E1717" s="110">
        <f t="shared" si="27"/>
        <v>37193</v>
      </c>
      <c r="F1717" s="69">
        <v>1.215148331811805E-2</v>
      </c>
    </row>
    <row r="1718" spans="1:6" x14ac:dyDescent="0.3">
      <c r="A1718" s="24">
        <v>36596</v>
      </c>
      <c r="B1718" s="66">
        <v>376.77100000000002</v>
      </c>
      <c r="C1718" s="67"/>
      <c r="D1718" s="68">
        <v>0</v>
      </c>
      <c r="E1718" s="110">
        <f t="shared" si="27"/>
        <v>37193</v>
      </c>
      <c r="F1718" s="69">
        <v>1.215148331811805E-2</v>
      </c>
    </row>
    <row r="1719" spans="1:6" x14ac:dyDescent="0.3">
      <c r="A1719" s="24">
        <v>36597</v>
      </c>
      <c r="B1719" s="66">
        <v>376.77100000000002</v>
      </c>
      <c r="C1719" s="67"/>
      <c r="D1719" s="68">
        <v>0</v>
      </c>
      <c r="E1719" s="110">
        <f t="shared" si="27"/>
        <v>37193</v>
      </c>
      <c r="F1719" s="69">
        <v>1.215148331811805E-2</v>
      </c>
    </row>
    <row r="1720" spans="1:6" x14ac:dyDescent="0.3">
      <c r="A1720" s="24">
        <v>36598</v>
      </c>
      <c r="B1720" s="66">
        <v>376.77100000000002</v>
      </c>
      <c r="C1720" s="67"/>
      <c r="D1720" s="68">
        <v>0</v>
      </c>
      <c r="E1720" s="110">
        <f t="shared" si="27"/>
        <v>37193</v>
      </c>
      <c r="F1720" s="69">
        <v>1.215148331811805E-2</v>
      </c>
    </row>
    <row r="1721" spans="1:6" x14ac:dyDescent="0.3">
      <c r="A1721" s="24">
        <v>36599</v>
      </c>
      <c r="B1721" s="66">
        <v>376.77100000000002</v>
      </c>
      <c r="C1721" s="67"/>
      <c r="D1721" s="68">
        <v>0</v>
      </c>
      <c r="E1721" s="110">
        <f t="shared" si="27"/>
        <v>37193</v>
      </c>
      <c r="F1721" s="69">
        <v>1.215148331811805E-2</v>
      </c>
    </row>
    <row r="1722" spans="1:6" x14ac:dyDescent="0.3">
      <c r="A1722" s="24">
        <v>36600</v>
      </c>
      <c r="B1722" s="66">
        <v>376.77100000000002</v>
      </c>
      <c r="C1722" s="67"/>
      <c r="D1722" s="68">
        <v>0</v>
      </c>
      <c r="E1722" s="110">
        <f t="shared" si="27"/>
        <v>37193</v>
      </c>
      <c r="F1722" s="69">
        <v>1.215148331811805E-2</v>
      </c>
    </row>
    <row r="1723" spans="1:6" x14ac:dyDescent="0.3">
      <c r="A1723" s="24">
        <v>36601</v>
      </c>
      <c r="B1723" s="66">
        <v>376.77100000000002</v>
      </c>
      <c r="C1723" s="67"/>
      <c r="D1723" s="68">
        <v>0</v>
      </c>
      <c r="E1723" s="110">
        <f t="shared" si="27"/>
        <v>37193</v>
      </c>
      <c r="F1723" s="69">
        <v>1.215148331811805E-2</v>
      </c>
    </row>
    <row r="1724" spans="1:6" x14ac:dyDescent="0.3">
      <c r="A1724" s="24">
        <v>36602</v>
      </c>
      <c r="B1724" s="66">
        <v>376.77100000000002</v>
      </c>
      <c r="C1724" s="67"/>
      <c r="D1724" s="68">
        <v>0</v>
      </c>
      <c r="E1724" s="110">
        <f t="shared" si="27"/>
        <v>37193</v>
      </c>
      <c r="F1724" s="69">
        <v>1.215148331811805E-2</v>
      </c>
    </row>
    <row r="1725" spans="1:6" x14ac:dyDescent="0.3">
      <c r="A1725" s="24">
        <v>36603</v>
      </c>
      <c r="B1725" s="66">
        <v>376.77100000000002</v>
      </c>
      <c r="C1725" s="67"/>
      <c r="D1725" s="68">
        <v>0</v>
      </c>
      <c r="E1725" s="110">
        <f t="shared" si="27"/>
        <v>37193</v>
      </c>
      <c r="F1725" s="69">
        <v>1.215148331811805E-2</v>
      </c>
    </row>
    <row r="1726" spans="1:6" x14ac:dyDescent="0.3">
      <c r="A1726" s="24">
        <v>36604</v>
      </c>
      <c r="B1726" s="66">
        <v>376.77100000000002</v>
      </c>
      <c r="C1726" s="67"/>
      <c r="D1726" s="68">
        <v>0</v>
      </c>
      <c r="E1726" s="110">
        <f t="shared" si="27"/>
        <v>37193</v>
      </c>
      <c r="F1726" s="69">
        <v>1.215148331811805E-2</v>
      </c>
    </row>
    <row r="1727" spans="1:6" x14ac:dyDescent="0.3">
      <c r="A1727" s="24">
        <v>36605</v>
      </c>
      <c r="B1727" s="66">
        <v>376.77100000000002</v>
      </c>
      <c r="C1727" s="67"/>
      <c r="D1727" s="68">
        <v>0</v>
      </c>
      <c r="E1727" s="110">
        <f t="shared" si="27"/>
        <v>37193</v>
      </c>
      <c r="F1727" s="69">
        <v>1.215148331811805E-2</v>
      </c>
    </row>
    <row r="1728" spans="1:6" x14ac:dyDescent="0.3">
      <c r="A1728" s="24">
        <v>36606</v>
      </c>
      <c r="B1728" s="66">
        <v>376.77100000000002</v>
      </c>
      <c r="C1728" s="67"/>
      <c r="D1728" s="68">
        <v>0</v>
      </c>
      <c r="E1728" s="110">
        <f t="shared" si="27"/>
        <v>37193</v>
      </c>
      <c r="F1728" s="69">
        <v>1.215148331811805E-2</v>
      </c>
    </row>
    <row r="1729" spans="1:6" x14ac:dyDescent="0.3">
      <c r="A1729" s="24">
        <v>36607</v>
      </c>
      <c r="B1729" s="66">
        <v>376.77100000000002</v>
      </c>
      <c r="C1729" s="67"/>
      <c r="D1729" s="68">
        <v>0</v>
      </c>
      <c r="E1729" s="110">
        <f t="shared" si="27"/>
        <v>37193</v>
      </c>
      <c r="F1729" s="69">
        <v>1.215148331811805E-2</v>
      </c>
    </row>
    <row r="1730" spans="1:6" x14ac:dyDescent="0.3">
      <c r="A1730" s="24">
        <v>36608</v>
      </c>
      <c r="B1730" s="66">
        <v>376.77100000000002</v>
      </c>
      <c r="C1730" s="67"/>
      <c r="D1730" s="68">
        <v>0</v>
      </c>
      <c r="E1730" s="110">
        <f t="shared" si="27"/>
        <v>37193</v>
      </c>
      <c r="F1730" s="69">
        <v>1.215148331811805E-2</v>
      </c>
    </row>
    <row r="1731" spans="1:6" x14ac:dyDescent="0.3">
      <c r="A1731" s="24">
        <v>36609</v>
      </c>
      <c r="B1731" s="66">
        <v>376.77100000000002</v>
      </c>
      <c r="C1731" s="67"/>
      <c r="D1731" s="68">
        <v>0</v>
      </c>
      <c r="E1731" s="110">
        <f t="shared" si="27"/>
        <v>37193</v>
      </c>
      <c r="F1731" s="69">
        <v>1.215148331811805E-2</v>
      </c>
    </row>
    <row r="1732" spans="1:6" x14ac:dyDescent="0.3">
      <c r="A1732" s="24">
        <v>36610</v>
      </c>
      <c r="B1732" s="66">
        <v>376.77100000000002</v>
      </c>
      <c r="C1732" s="67"/>
      <c r="D1732" s="68">
        <v>0</v>
      </c>
      <c r="E1732" s="110">
        <f t="shared" si="27"/>
        <v>37193</v>
      </c>
      <c r="F1732" s="69">
        <v>1.215148331811805E-2</v>
      </c>
    </row>
    <row r="1733" spans="1:6" x14ac:dyDescent="0.3">
      <c r="A1733" s="24">
        <v>36611</v>
      </c>
      <c r="B1733" s="66">
        <v>376.77100000000002</v>
      </c>
      <c r="C1733" s="67"/>
      <c r="D1733" s="68">
        <v>0</v>
      </c>
      <c r="E1733" s="110">
        <f t="shared" si="27"/>
        <v>37193</v>
      </c>
      <c r="F1733" s="69">
        <v>1.215148331811805E-2</v>
      </c>
    </row>
    <row r="1734" spans="1:6" x14ac:dyDescent="0.3">
      <c r="A1734" s="24">
        <v>36612</v>
      </c>
      <c r="B1734" s="66">
        <v>376.77100000000002</v>
      </c>
      <c r="C1734" s="67"/>
      <c r="D1734" s="68">
        <v>0</v>
      </c>
      <c r="E1734" s="110">
        <f t="shared" si="27"/>
        <v>37193</v>
      </c>
      <c r="F1734" s="69">
        <v>1.215148331811805E-2</v>
      </c>
    </row>
    <row r="1735" spans="1:6" x14ac:dyDescent="0.3">
      <c r="A1735" s="24">
        <v>36613</v>
      </c>
      <c r="B1735" s="66">
        <v>376.77100000000002</v>
      </c>
      <c r="C1735" s="67"/>
      <c r="D1735" s="68">
        <v>0</v>
      </c>
      <c r="E1735" s="110">
        <f t="shared" si="27"/>
        <v>37193</v>
      </c>
      <c r="F1735" s="69">
        <v>1.215148331811805E-2</v>
      </c>
    </row>
    <row r="1736" spans="1:6" x14ac:dyDescent="0.3">
      <c r="A1736" s="24">
        <v>36614</v>
      </c>
      <c r="B1736" s="66">
        <v>376.77100000000002</v>
      </c>
      <c r="C1736" s="67"/>
      <c r="D1736" s="68">
        <v>0</v>
      </c>
      <c r="E1736" s="110">
        <f t="shared" si="27"/>
        <v>37193</v>
      </c>
      <c r="F1736" s="69">
        <v>1.1966647786291706E-2</v>
      </c>
    </row>
    <row r="1737" spans="1:6" x14ac:dyDescent="0.3">
      <c r="A1737" s="24">
        <v>36615</v>
      </c>
      <c r="B1737" s="66">
        <v>376.77100000000002</v>
      </c>
      <c r="C1737" s="67"/>
      <c r="D1737" s="68">
        <v>0</v>
      </c>
      <c r="E1737" s="110">
        <f t="shared" si="27"/>
        <v>37193</v>
      </c>
      <c r="F1737" s="69">
        <v>1.1966647786291706E-2</v>
      </c>
    </row>
    <row r="1738" spans="1:6" x14ac:dyDescent="0.3">
      <c r="A1738" s="24">
        <v>36616</v>
      </c>
      <c r="B1738" s="66">
        <v>384.53399999999999</v>
      </c>
      <c r="C1738" s="67"/>
      <c r="D1738" s="68">
        <v>0</v>
      </c>
      <c r="E1738" s="110">
        <f t="shared" si="27"/>
        <v>37193</v>
      </c>
      <c r="F1738" s="69">
        <v>1.1966647786291706E-2</v>
      </c>
    </row>
    <row r="1739" spans="1:6" x14ac:dyDescent="0.3">
      <c r="A1739" s="24">
        <v>36617</v>
      </c>
      <c r="B1739" s="66">
        <v>384.53399999999999</v>
      </c>
      <c r="C1739" s="67"/>
      <c r="D1739" s="68">
        <v>0</v>
      </c>
      <c r="E1739" s="110">
        <f t="shared" si="27"/>
        <v>37193</v>
      </c>
      <c r="F1739" s="69">
        <v>1.1966647786291706E-2</v>
      </c>
    </row>
    <row r="1740" spans="1:6" x14ac:dyDescent="0.3">
      <c r="A1740" s="24">
        <v>36618</v>
      </c>
      <c r="B1740" s="66">
        <v>384.53399999999999</v>
      </c>
      <c r="C1740" s="67"/>
      <c r="D1740" s="68">
        <v>0</v>
      </c>
      <c r="E1740" s="110">
        <f t="shared" si="27"/>
        <v>37193</v>
      </c>
      <c r="F1740" s="69">
        <v>1.1966647786291706E-2</v>
      </c>
    </row>
    <row r="1741" spans="1:6" x14ac:dyDescent="0.3">
      <c r="A1741" s="24">
        <v>36619</v>
      </c>
      <c r="B1741" s="66">
        <v>384.53399999999999</v>
      </c>
      <c r="C1741" s="67"/>
      <c r="D1741" s="68">
        <v>0</v>
      </c>
      <c r="E1741" s="110">
        <f t="shared" si="27"/>
        <v>37193</v>
      </c>
      <c r="F1741" s="69">
        <v>1.1966647786291706E-2</v>
      </c>
    </row>
    <row r="1742" spans="1:6" x14ac:dyDescent="0.3">
      <c r="A1742" s="24">
        <v>36620</v>
      </c>
      <c r="B1742" s="66">
        <v>384.53399999999999</v>
      </c>
      <c r="C1742" s="67"/>
      <c r="D1742" s="68">
        <v>0</v>
      </c>
      <c r="E1742" s="110">
        <f t="shared" si="27"/>
        <v>37193</v>
      </c>
      <c r="F1742" s="69">
        <v>1.1966647786291706E-2</v>
      </c>
    </row>
    <row r="1743" spans="1:6" x14ac:dyDescent="0.3">
      <c r="A1743" s="24">
        <v>36621</v>
      </c>
      <c r="B1743" s="66">
        <v>384.53399999999999</v>
      </c>
      <c r="C1743" s="67"/>
      <c r="D1743" s="68">
        <v>0</v>
      </c>
      <c r="E1743" s="110">
        <f t="shared" si="27"/>
        <v>37193</v>
      </c>
      <c r="F1743" s="69">
        <v>1.1966647786291706E-2</v>
      </c>
    </row>
    <row r="1744" spans="1:6" x14ac:dyDescent="0.3">
      <c r="A1744" s="24">
        <v>36622</v>
      </c>
      <c r="B1744" s="66">
        <v>384.53399999999999</v>
      </c>
      <c r="C1744" s="67"/>
      <c r="D1744" s="68">
        <v>0</v>
      </c>
      <c r="E1744" s="110">
        <f t="shared" si="27"/>
        <v>37193</v>
      </c>
      <c r="F1744" s="69">
        <v>1.1966647786291706E-2</v>
      </c>
    </row>
    <row r="1745" spans="1:6" x14ac:dyDescent="0.3">
      <c r="A1745" s="24">
        <v>36623</v>
      </c>
      <c r="B1745" s="66">
        <v>384.53399999999999</v>
      </c>
      <c r="C1745" s="67"/>
      <c r="D1745" s="68">
        <v>0</v>
      </c>
      <c r="E1745" s="110">
        <f t="shared" si="27"/>
        <v>37193</v>
      </c>
      <c r="F1745" s="69">
        <v>1.1966647786291706E-2</v>
      </c>
    </row>
    <row r="1746" spans="1:6" x14ac:dyDescent="0.3">
      <c r="A1746" s="24">
        <v>36624</v>
      </c>
      <c r="B1746" s="66">
        <v>384.53399999999999</v>
      </c>
      <c r="C1746" s="67"/>
      <c r="D1746" s="68">
        <v>0</v>
      </c>
      <c r="E1746" s="110">
        <f t="shared" ref="E1746:E1809" si="28">+E1745</f>
        <v>37193</v>
      </c>
      <c r="F1746" s="69">
        <v>1.1966647786291706E-2</v>
      </c>
    </row>
    <row r="1747" spans="1:6" x14ac:dyDescent="0.3">
      <c r="A1747" s="24">
        <v>36625</v>
      </c>
      <c r="B1747" s="66">
        <v>384.53399999999999</v>
      </c>
      <c r="C1747" s="67"/>
      <c r="D1747" s="68">
        <v>0</v>
      </c>
      <c r="E1747" s="110">
        <f t="shared" si="28"/>
        <v>37193</v>
      </c>
      <c r="F1747" s="69">
        <v>1.1966647786291706E-2</v>
      </c>
    </row>
    <row r="1748" spans="1:6" x14ac:dyDescent="0.3">
      <c r="A1748" s="24">
        <v>36626</v>
      </c>
      <c r="B1748" s="66">
        <v>384.53399999999999</v>
      </c>
      <c r="C1748" s="67"/>
      <c r="D1748" s="68">
        <v>0</v>
      </c>
      <c r="E1748" s="110">
        <f t="shared" si="28"/>
        <v>37193</v>
      </c>
      <c r="F1748" s="69">
        <v>1.1966647786291706E-2</v>
      </c>
    </row>
    <row r="1749" spans="1:6" x14ac:dyDescent="0.3">
      <c r="A1749" s="24">
        <v>36627</v>
      </c>
      <c r="B1749" s="66">
        <v>384.53399999999999</v>
      </c>
      <c r="C1749" s="67"/>
      <c r="D1749" s="68">
        <v>0</v>
      </c>
      <c r="E1749" s="110">
        <f t="shared" si="28"/>
        <v>37193</v>
      </c>
      <c r="F1749" s="69">
        <v>1.1966647786291706E-2</v>
      </c>
    </row>
    <row r="1750" spans="1:6" x14ac:dyDescent="0.3">
      <c r="A1750" s="24">
        <v>36628</v>
      </c>
      <c r="B1750" s="66">
        <v>384.53399999999999</v>
      </c>
      <c r="C1750" s="67"/>
      <c r="D1750" s="68">
        <v>0</v>
      </c>
      <c r="E1750" s="110">
        <f t="shared" si="28"/>
        <v>37193</v>
      </c>
      <c r="F1750" s="69">
        <v>1.1966647786291706E-2</v>
      </c>
    </row>
    <row r="1751" spans="1:6" x14ac:dyDescent="0.3">
      <c r="A1751" s="24">
        <v>36629</v>
      </c>
      <c r="B1751" s="66">
        <v>384.53399999999999</v>
      </c>
      <c r="C1751" s="67"/>
      <c r="D1751" s="68">
        <v>0</v>
      </c>
      <c r="E1751" s="110">
        <f t="shared" si="28"/>
        <v>37193</v>
      </c>
      <c r="F1751" s="69">
        <v>1.1966647786291706E-2</v>
      </c>
    </row>
    <row r="1752" spans="1:6" x14ac:dyDescent="0.3">
      <c r="A1752" s="24">
        <v>36630</v>
      </c>
      <c r="B1752" s="66">
        <v>384.53399999999999</v>
      </c>
      <c r="C1752" s="67"/>
      <c r="D1752" s="68">
        <v>0</v>
      </c>
      <c r="E1752" s="110">
        <f t="shared" si="28"/>
        <v>37193</v>
      </c>
      <c r="F1752" s="69">
        <v>1.1966647786291706E-2</v>
      </c>
    </row>
    <row r="1753" spans="1:6" x14ac:dyDescent="0.3">
      <c r="A1753" s="24">
        <v>36631</v>
      </c>
      <c r="B1753" s="66">
        <v>384.53399999999999</v>
      </c>
      <c r="C1753" s="67"/>
      <c r="D1753" s="68">
        <v>0</v>
      </c>
      <c r="E1753" s="110">
        <f t="shared" si="28"/>
        <v>37193</v>
      </c>
      <c r="F1753" s="69">
        <v>1.1966647786291706E-2</v>
      </c>
    </row>
    <row r="1754" spans="1:6" x14ac:dyDescent="0.3">
      <c r="A1754" s="24">
        <v>36632</v>
      </c>
      <c r="B1754" s="66">
        <v>384.53399999999999</v>
      </c>
      <c r="C1754" s="67"/>
      <c r="D1754" s="68">
        <v>0</v>
      </c>
      <c r="E1754" s="110">
        <f t="shared" si="28"/>
        <v>37193</v>
      </c>
      <c r="F1754" s="69">
        <v>1.1966647786291706E-2</v>
      </c>
    </row>
    <row r="1755" spans="1:6" x14ac:dyDescent="0.3">
      <c r="A1755" s="24">
        <v>36633</v>
      </c>
      <c r="B1755" s="66">
        <v>384.53399999999999</v>
      </c>
      <c r="C1755" s="67"/>
      <c r="D1755" s="68">
        <v>0</v>
      </c>
      <c r="E1755" s="110">
        <f t="shared" si="28"/>
        <v>37193</v>
      </c>
      <c r="F1755" s="69">
        <v>1.1966647786291706E-2</v>
      </c>
    </row>
    <row r="1756" spans="1:6" x14ac:dyDescent="0.3">
      <c r="A1756" s="24">
        <v>36634</v>
      </c>
      <c r="B1756" s="66">
        <v>384.53399999999999</v>
      </c>
      <c r="C1756" s="67"/>
      <c r="D1756" s="68">
        <v>0</v>
      </c>
      <c r="E1756" s="110">
        <f t="shared" si="28"/>
        <v>37193</v>
      </c>
      <c r="F1756" s="69">
        <v>1.1966647786291706E-2</v>
      </c>
    </row>
    <row r="1757" spans="1:6" x14ac:dyDescent="0.3">
      <c r="A1757" s="24">
        <v>36635</v>
      </c>
      <c r="B1757" s="66">
        <v>384.53399999999999</v>
      </c>
      <c r="C1757" s="67"/>
      <c r="D1757" s="68">
        <v>0</v>
      </c>
      <c r="E1757" s="110">
        <f t="shared" si="28"/>
        <v>37193</v>
      </c>
      <c r="F1757" s="69">
        <v>1.1966647786291706E-2</v>
      </c>
    </row>
    <row r="1758" spans="1:6" x14ac:dyDescent="0.3">
      <c r="A1758" s="24">
        <v>36636</v>
      </c>
      <c r="B1758" s="66">
        <v>384.53399999999999</v>
      </c>
      <c r="C1758" s="67"/>
      <c r="D1758" s="68">
        <v>0</v>
      </c>
      <c r="E1758" s="110">
        <f t="shared" si="28"/>
        <v>37193</v>
      </c>
      <c r="F1758" s="69">
        <v>1.1966647786291706E-2</v>
      </c>
    </row>
    <row r="1759" spans="1:6" x14ac:dyDescent="0.3">
      <c r="A1759" s="24">
        <v>36637</v>
      </c>
      <c r="B1759" s="66">
        <v>384.53399999999999</v>
      </c>
      <c r="C1759" s="67"/>
      <c r="D1759" s="68">
        <v>0</v>
      </c>
      <c r="E1759" s="110">
        <f t="shared" si="28"/>
        <v>37193</v>
      </c>
      <c r="F1759" s="69">
        <v>1.1966647786291706E-2</v>
      </c>
    </row>
    <row r="1760" spans="1:6" x14ac:dyDescent="0.3">
      <c r="A1760" s="24">
        <v>36638</v>
      </c>
      <c r="B1760" s="66">
        <v>384.53399999999999</v>
      </c>
      <c r="C1760" s="67"/>
      <c r="D1760" s="68">
        <v>0</v>
      </c>
      <c r="E1760" s="110">
        <f t="shared" si="28"/>
        <v>37193</v>
      </c>
      <c r="F1760" s="69">
        <v>1.1966647786291706E-2</v>
      </c>
    </row>
    <row r="1761" spans="1:6" x14ac:dyDescent="0.3">
      <c r="A1761" s="24">
        <v>36639</v>
      </c>
      <c r="B1761" s="66">
        <v>384.53399999999999</v>
      </c>
      <c r="C1761" s="67"/>
      <c r="D1761" s="68">
        <v>0</v>
      </c>
      <c r="E1761" s="110">
        <f t="shared" si="28"/>
        <v>37193</v>
      </c>
      <c r="F1761" s="69">
        <v>1.1966647786291706E-2</v>
      </c>
    </row>
    <row r="1762" spans="1:6" x14ac:dyDescent="0.3">
      <c r="A1762" s="24">
        <v>36640</v>
      </c>
      <c r="B1762" s="66">
        <v>384.53399999999999</v>
      </c>
      <c r="C1762" s="67"/>
      <c r="D1762" s="68">
        <v>0</v>
      </c>
      <c r="E1762" s="110">
        <f t="shared" si="28"/>
        <v>37193</v>
      </c>
      <c r="F1762" s="69">
        <v>1.1966647786291706E-2</v>
      </c>
    </row>
    <row r="1763" spans="1:6" x14ac:dyDescent="0.3">
      <c r="A1763" s="24">
        <v>36641</v>
      </c>
      <c r="B1763" s="66">
        <v>384.53399999999999</v>
      </c>
      <c r="C1763" s="67"/>
      <c r="D1763" s="68">
        <v>0</v>
      </c>
      <c r="E1763" s="110">
        <f t="shared" si="28"/>
        <v>37193</v>
      </c>
      <c r="F1763" s="69">
        <v>1.1966647786291706E-2</v>
      </c>
    </row>
    <row r="1764" spans="1:6" x14ac:dyDescent="0.3">
      <c r="A1764" s="24">
        <v>36642</v>
      </c>
      <c r="B1764" s="66">
        <v>384.53399999999999</v>
      </c>
      <c r="C1764" s="67"/>
      <c r="D1764" s="68">
        <v>0</v>
      </c>
      <c r="E1764" s="110">
        <f t="shared" si="28"/>
        <v>37193</v>
      </c>
      <c r="F1764" s="69">
        <v>1.1966647786291706E-2</v>
      </c>
    </row>
    <row r="1765" spans="1:6" x14ac:dyDescent="0.3">
      <c r="A1765" s="24">
        <v>36643</v>
      </c>
      <c r="B1765" s="66">
        <v>384.53399999999999</v>
      </c>
      <c r="C1765" s="67"/>
      <c r="D1765" s="68">
        <v>0</v>
      </c>
      <c r="E1765" s="110">
        <f t="shared" si="28"/>
        <v>37193</v>
      </c>
      <c r="F1765" s="69">
        <v>1.1966647786291706E-2</v>
      </c>
    </row>
    <row r="1766" spans="1:6" x14ac:dyDescent="0.3">
      <c r="A1766" s="24">
        <v>36644</v>
      </c>
      <c r="B1766" s="66">
        <v>384.53399999999999</v>
      </c>
      <c r="C1766" s="67"/>
      <c r="D1766" s="68">
        <v>0</v>
      </c>
      <c r="E1766" s="110">
        <f t="shared" si="28"/>
        <v>37193</v>
      </c>
      <c r="F1766" s="69">
        <v>1.1966647786291706E-2</v>
      </c>
    </row>
    <row r="1767" spans="1:6" x14ac:dyDescent="0.3">
      <c r="A1767" s="24">
        <v>36645</v>
      </c>
      <c r="B1767" s="66">
        <v>384.53399999999999</v>
      </c>
      <c r="C1767" s="67"/>
      <c r="D1767" s="68">
        <v>0</v>
      </c>
      <c r="E1767" s="110">
        <f t="shared" si="28"/>
        <v>37193</v>
      </c>
      <c r="F1767" s="69">
        <v>1.1966647786291706E-2</v>
      </c>
    </row>
    <row r="1768" spans="1:6" x14ac:dyDescent="0.3">
      <c r="A1768" s="24">
        <v>36646</v>
      </c>
      <c r="B1768" s="66">
        <v>384.53399999999999</v>
      </c>
      <c r="C1768" s="67"/>
      <c r="D1768" s="68">
        <v>0</v>
      </c>
      <c r="E1768" s="110">
        <f t="shared" si="28"/>
        <v>37193</v>
      </c>
      <c r="F1768" s="69">
        <v>1.1966647786291706E-2</v>
      </c>
    </row>
    <row r="1769" spans="1:6" x14ac:dyDescent="0.3">
      <c r="A1769" s="24">
        <v>36647</v>
      </c>
      <c r="B1769" s="66">
        <v>384.53399999999999</v>
      </c>
      <c r="C1769" s="67"/>
      <c r="D1769" s="68">
        <v>0</v>
      </c>
      <c r="E1769" s="110">
        <f t="shared" si="28"/>
        <v>37193</v>
      </c>
      <c r="F1769" s="69">
        <v>1.1966647786291706E-2</v>
      </c>
    </row>
    <row r="1770" spans="1:6" x14ac:dyDescent="0.3">
      <c r="A1770" s="24">
        <v>36648</v>
      </c>
      <c r="B1770" s="66">
        <v>384.53399999999999</v>
      </c>
      <c r="C1770" s="67"/>
      <c r="D1770" s="68">
        <v>0</v>
      </c>
      <c r="E1770" s="110">
        <f t="shared" si="28"/>
        <v>37193</v>
      </c>
      <c r="F1770" s="69">
        <v>1.1966647786291706E-2</v>
      </c>
    </row>
    <row r="1771" spans="1:6" x14ac:dyDescent="0.3">
      <c r="A1771" s="24">
        <v>36649</v>
      </c>
      <c r="B1771" s="66">
        <v>384.53399999999999</v>
      </c>
      <c r="C1771" s="67"/>
      <c r="D1771" s="68">
        <v>0</v>
      </c>
      <c r="E1771" s="110">
        <f t="shared" si="28"/>
        <v>37193</v>
      </c>
      <c r="F1771" s="69">
        <v>1.1966647786291706E-2</v>
      </c>
    </row>
    <row r="1772" spans="1:6" x14ac:dyDescent="0.3">
      <c r="A1772" s="24">
        <v>36650</v>
      </c>
      <c r="B1772" s="66">
        <v>384.53399999999999</v>
      </c>
      <c r="C1772" s="67"/>
      <c r="D1772" s="68">
        <v>0</v>
      </c>
      <c r="E1772" s="110">
        <f t="shared" si="28"/>
        <v>37193</v>
      </c>
      <c r="F1772" s="69">
        <v>1.1966647786291706E-2</v>
      </c>
    </row>
    <row r="1773" spans="1:6" x14ac:dyDescent="0.3">
      <c r="A1773" s="24">
        <v>36651</v>
      </c>
      <c r="B1773" s="66">
        <v>384.53399999999999</v>
      </c>
      <c r="C1773" s="67"/>
      <c r="D1773" s="68">
        <v>0</v>
      </c>
      <c r="E1773" s="110">
        <f t="shared" si="28"/>
        <v>37193</v>
      </c>
      <c r="F1773" s="69">
        <v>1.1966647786291706E-2</v>
      </c>
    </row>
    <row r="1774" spans="1:6" x14ac:dyDescent="0.3">
      <c r="A1774" s="24">
        <v>36652</v>
      </c>
      <c r="B1774" s="66">
        <v>384.53399999999999</v>
      </c>
      <c r="C1774" s="67"/>
      <c r="D1774" s="68">
        <v>0</v>
      </c>
      <c r="E1774" s="110">
        <f t="shared" si="28"/>
        <v>37193</v>
      </c>
      <c r="F1774" s="69">
        <v>1.1966647786291706E-2</v>
      </c>
    </row>
    <row r="1775" spans="1:6" x14ac:dyDescent="0.3">
      <c r="A1775" s="24">
        <v>36653</v>
      </c>
      <c r="B1775" s="66">
        <v>384.53399999999999</v>
      </c>
      <c r="C1775" s="67"/>
      <c r="D1775" s="68">
        <v>0</v>
      </c>
      <c r="E1775" s="110">
        <f t="shared" si="28"/>
        <v>37193</v>
      </c>
      <c r="F1775" s="69">
        <v>1.1966647786291706E-2</v>
      </c>
    </row>
    <row r="1776" spans="1:6" x14ac:dyDescent="0.3">
      <c r="A1776" s="24">
        <v>36654</v>
      </c>
      <c r="B1776" s="66">
        <v>384.53399999999999</v>
      </c>
      <c r="C1776" s="67"/>
      <c r="D1776" s="68">
        <v>0</v>
      </c>
      <c r="E1776" s="110">
        <f t="shared" si="28"/>
        <v>37193</v>
      </c>
      <c r="F1776" s="69">
        <v>1.1966647786291706E-2</v>
      </c>
    </row>
    <row r="1777" spans="1:6" x14ac:dyDescent="0.3">
      <c r="A1777" s="24">
        <v>36655</v>
      </c>
      <c r="B1777" s="66">
        <v>384.53399999999999</v>
      </c>
      <c r="C1777" s="67"/>
      <c r="D1777" s="68">
        <v>0</v>
      </c>
      <c r="E1777" s="110">
        <f t="shared" si="28"/>
        <v>37193</v>
      </c>
      <c r="F1777" s="69">
        <v>1.1966647786291706E-2</v>
      </c>
    </row>
    <row r="1778" spans="1:6" x14ac:dyDescent="0.3">
      <c r="A1778" s="24">
        <v>36656</v>
      </c>
      <c r="B1778" s="66">
        <v>384.53399999999999</v>
      </c>
      <c r="C1778" s="67"/>
      <c r="D1778" s="68">
        <v>0</v>
      </c>
      <c r="E1778" s="110">
        <f t="shared" si="28"/>
        <v>37193</v>
      </c>
      <c r="F1778" s="69">
        <v>1.1966647786291706E-2</v>
      </c>
    </row>
    <row r="1779" spans="1:6" x14ac:dyDescent="0.3">
      <c r="A1779" s="24">
        <v>36657</v>
      </c>
      <c r="B1779" s="66">
        <v>384.53399999999999</v>
      </c>
      <c r="C1779" s="67"/>
      <c r="D1779" s="68">
        <v>0</v>
      </c>
      <c r="E1779" s="110">
        <f t="shared" si="28"/>
        <v>37193</v>
      </c>
      <c r="F1779" s="69">
        <v>1.1966647786291706E-2</v>
      </c>
    </row>
    <row r="1780" spans="1:6" x14ac:dyDescent="0.3">
      <c r="A1780" s="24">
        <v>36658</v>
      </c>
      <c r="B1780" s="66">
        <v>384.53399999999999</v>
      </c>
      <c r="C1780" s="67"/>
      <c r="D1780" s="68">
        <v>0</v>
      </c>
      <c r="E1780" s="110">
        <f t="shared" si="28"/>
        <v>37193</v>
      </c>
      <c r="F1780" s="69">
        <v>1.1966647786291706E-2</v>
      </c>
    </row>
    <row r="1781" spans="1:6" x14ac:dyDescent="0.3">
      <c r="A1781" s="24">
        <v>36659</v>
      </c>
      <c r="B1781" s="66">
        <v>384.53399999999999</v>
      </c>
      <c r="C1781" s="67"/>
      <c r="D1781" s="68">
        <v>0</v>
      </c>
      <c r="E1781" s="110">
        <f t="shared" si="28"/>
        <v>37193</v>
      </c>
      <c r="F1781" s="69">
        <v>0</v>
      </c>
    </row>
    <row r="1782" spans="1:6" x14ac:dyDescent="0.3">
      <c r="A1782" s="24">
        <v>36660</v>
      </c>
      <c r="B1782" s="66">
        <v>384.53399999999999</v>
      </c>
      <c r="C1782" s="67"/>
      <c r="D1782" s="68">
        <v>0</v>
      </c>
      <c r="E1782" s="110">
        <f t="shared" si="28"/>
        <v>37193</v>
      </c>
      <c r="F1782" s="69">
        <v>0</v>
      </c>
    </row>
    <row r="1783" spans="1:6" x14ac:dyDescent="0.3">
      <c r="A1783" s="24">
        <v>36661</v>
      </c>
      <c r="B1783" s="66">
        <v>384.53399999999999</v>
      </c>
      <c r="C1783" s="67"/>
      <c r="D1783" s="68">
        <v>0</v>
      </c>
      <c r="E1783" s="110">
        <f t="shared" si="28"/>
        <v>37193</v>
      </c>
      <c r="F1783" s="69">
        <v>0</v>
      </c>
    </row>
    <row r="1784" spans="1:6" x14ac:dyDescent="0.3">
      <c r="A1784" s="24">
        <v>36662</v>
      </c>
      <c r="B1784" s="66">
        <v>384.53399999999999</v>
      </c>
      <c r="C1784" s="67"/>
      <c r="D1784" s="68">
        <v>4.4009445447393913</v>
      </c>
      <c r="E1784" s="110">
        <f t="shared" si="28"/>
        <v>37193</v>
      </c>
      <c r="F1784" s="69">
        <v>1.2096588517687164E-2</v>
      </c>
    </row>
    <row r="1785" spans="1:6" x14ac:dyDescent="0.3">
      <c r="A1785" s="24">
        <v>36663</v>
      </c>
      <c r="B1785" s="66">
        <v>384.53399999999999</v>
      </c>
      <c r="C1785" s="67"/>
      <c r="D1785" s="68">
        <v>0</v>
      </c>
      <c r="E1785" s="110">
        <f t="shared" si="28"/>
        <v>37193</v>
      </c>
      <c r="F1785" s="69">
        <v>1.2096588517687164E-2</v>
      </c>
    </row>
    <row r="1786" spans="1:6" x14ac:dyDescent="0.3">
      <c r="A1786" s="24">
        <v>36664</v>
      </c>
      <c r="B1786" s="66">
        <v>384.53399999999999</v>
      </c>
      <c r="C1786" s="67"/>
      <c r="D1786" s="68">
        <v>0</v>
      </c>
      <c r="E1786" s="110">
        <f t="shared" si="28"/>
        <v>37193</v>
      </c>
      <c r="F1786" s="69">
        <v>1.2096588517687164E-2</v>
      </c>
    </row>
    <row r="1787" spans="1:6" x14ac:dyDescent="0.3">
      <c r="A1787" s="24">
        <v>36665</v>
      </c>
      <c r="B1787" s="66">
        <v>384.53399999999999</v>
      </c>
      <c r="C1787" s="67"/>
      <c r="D1787" s="68">
        <v>0</v>
      </c>
      <c r="E1787" s="110">
        <f t="shared" si="28"/>
        <v>37193</v>
      </c>
      <c r="F1787" s="69">
        <v>1.2096588517687164E-2</v>
      </c>
    </row>
    <row r="1788" spans="1:6" x14ac:dyDescent="0.3">
      <c r="A1788" s="24">
        <v>36666</v>
      </c>
      <c r="B1788" s="66">
        <v>384.53399999999999</v>
      </c>
      <c r="C1788" s="67"/>
      <c r="D1788" s="68">
        <v>0</v>
      </c>
      <c r="E1788" s="110">
        <f t="shared" si="28"/>
        <v>37193</v>
      </c>
      <c r="F1788" s="69">
        <v>1.2096588517687164E-2</v>
      </c>
    </row>
    <row r="1789" spans="1:6" x14ac:dyDescent="0.3">
      <c r="A1789" s="24">
        <v>36667</v>
      </c>
      <c r="B1789" s="66">
        <v>384.53399999999999</v>
      </c>
      <c r="C1789" s="67"/>
      <c r="D1789" s="68">
        <v>0</v>
      </c>
      <c r="E1789" s="110">
        <f t="shared" si="28"/>
        <v>37193</v>
      </c>
      <c r="F1789" s="69">
        <v>1.2096588517687164E-2</v>
      </c>
    </row>
    <row r="1790" spans="1:6" x14ac:dyDescent="0.3">
      <c r="A1790" s="24">
        <v>36668</v>
      </c>
      <c r="B1790" s="66">
        <v>384.53399999999999</v>
      </c>
      <c r="C1790" s="67"/>
      <c r="D1790" s="68">
        <v>0</v>
      </c>
      <c r="E1790" s="110">
        <f t="shared" si="28"/>
        <v>37193</v>
      </c>
      <c r="F1790" s="69">
        <v>1.2096588517687164E-2</v>
      </c>
    </row>
    <row r="1791" spans="1:6" x14ac:dyDescent="0.3">
      <c r="A1791" s="24">
        <v>36669</v>
      </c>
      <c r="B1791" s="66">
        <v>384.53399999999999</v>
      </c>
      <c r="C1791" s="67"/>
      <c r="D1791" s="68">
        <v>0</v>
      </c>
      <c r="E1791" s="110">
        <f t="shared" si="28"/>
        <v>37193</v>
      </c>
      <c r="F1791" s="69">
        <v>1.2096588517687164E-2</v>
      </c>
    </row>
    <row r="1792" spans="1:6" x14ac:dyDescent="0.3">
      <c r="A1792" s="24">
        <v>36670</v>
      </c>
      <c r="B1792" s="66">
        <v>384.53399999999999</v>
      </c>
      <c r="C1792" s="67"/>
      <c r="D1792" s="68">
        <v>0</v>
      </c>
      <c r="E1792" s="110">
        <f t="shared" si="28"/>
        <v>37193</v>
      </c>
      <c r="F1792" s="69">
        <v>1.2096588517687164E-2</v>
      </c>
    </row>
    <row r="1793" spans="1:6" x14ac:dyDescent="0.3">
      <c r="A1793" s="24">
        <v>36671</v>
      </c>
      <c r="B1793" s="66">
        <v>384.53399999999999</v>
      </c>
      <c r="C1793" s="67"/>
      <c r="D1793" s="68">
        <v>0</v>
      </c>
      <c r="E1793" s="110">
        <f t="shared" si="28"/>
        <v>37193</v>
      </c>
      <c r="F1793" s="69">
        <v>1.2096588517687164E-2</v>
      </c>
    </row>
    <row r="1794" spans="1:6" x14ac:dyDescent="0.3">
      <c r="A1794" s="24">
        <v>36672</v>
      </c>
      <c r="B1794" s="66">
        <v>384.53399999999999</v>
      </c>
      <c r="C1794" s="67"/>
      <c r="D1794" s="68">
        <v>0</v>
      </c>
      <c r="E1794" s="110">
        <f t="shared" si="28"/>
        <v>37193</v>
      </c>
      <c r="F1794" s="69">
        <v>1.2096588517687164E-2</v>
      </c>
    </row>
    <row r="1795" spans="1:6" x14ac:dyDescent="0.3">
      <c r="A1795" s="24">
        <v>36673</v>
      </c>
      <c r="B1795" s="66">
        <v>384.53399999999999</v>
      </c>
      <c r="C1795" s="67"/>
      <c r="D1795" s="68">
        <v>0</v>
      </c>
      <c r="E1795" s="110">
        <f t="shared" si="28"/>
        <v>37193</v>
      </c>
      <c r="F1795" s="69">
        <v>1.2096588517687164E-2</v>
      </c>
    </row>
    <row r="1796" spans="1:6" x14ac:dyDescent="0.3">
      <c r="A1796" s="24">
        <v>36674</v>
      </c>
      <c r="B1796" s="66">
        <v>384.53399999999999</v>
      </c>
      <c r="C1796" s="67"/>
      <c r="D1796" s="68">
        <v>0</v>
      </c>
      <c r="E1796" s="110">
        <f t="shared" si="28"/>
        <v>37193</v>
      </c>
      <c r="F1796" s="69">
        <v>1.2096588517687164E-2</v>
      </c>
    </row>
    <row r="1797" spans="1:6" x14ac:dyDescent="0.3">
      <c r="A1797" s="24">
        <v>36675</v>
      </c>
      <c r="B1797" s="66">
        <v>384.53399999999999</v>
      </c>
      <c r="C1797" s="67"/>
      <c r="D1797" s="68">
        <v>0</v>
      </c>
      <c r="E1797" s="110">
        <f t="shared" si="28"/>
        <v>37193</v>
      </c>
      <c r="F1797" s="69">
        <v>1.2096588517687164E-2</v>
      </c>
    </row>
    <row r="1798" spans="1:6" x14ac:dyDescent="0.3">
      <c r="A1798" s="24">
        <v>36676</v>
      </c>
      <c r="B1798" s="66">
        <v>384.53399999999999</v>
      </c>
      <c r="C1798" s="67"/>
      <c r="D1798" s="68">
        <v>0</v>
      </c>
      <c r="E1798" s="110">
        <f t="shared" si="28"/>
        <v>37193</v>
      </c>
      <c r="F1798" s="69">
        <v>1.2096588517687164E-2</v>
      </c>
    </row>
    <row r="1799" spans="1:6" x14ac:dyDescent="0.3">
      <c r="A1799" s="24">
        <v>36677</v>
      </c>
      <c r="B1799" s="66">
        <v>384.53399999999999</v>
      </c>
      <c r="C1799" s="67"/>
      <c r="D1799" s="68">
        <v>0</v>
      </c>
      <c r="E1799" s="110">
        <f t="shared" si="28"/>
        <v>37193</v>
      </c>
      <c r="F1799" s="69">
        <v>1.2096588517687164E-2</v>
      </c>
    </row>
    <row r="1800" spans="1:6" x14ac:dyDescent="0.3">
      <c r="A1800" s="24">
        <v>36678</v>
      </c>
      <c r="B1800" s="66">
        <v>384.53399999999999</v>
      </c>
      <c r="C1800" s="67"/>
      <c r="D1800" s="68">
        <v>0</v>
      </c>
      <c r="E1800" s="110">
        <f t="shared" si="28"/>
        <v>37193</v>
      </c>
      <c r="F1800" s="69">
        <v>1.2096588517687164E-2</v>
      </c>
    </row>
    <row r="1801" spans="1:6" x14ac:dyDescent="0.3">
      <c r="A1801" s="24">
        <v>36679</v>
      </c>
      <c r="B1801" s="66">
        <v>384.53399999999999</v>
      </c>
      <c r="C1801" s="67"/>
      <c r="D1801" s="68">
        <v>0</v>
      </c>
      <c r="E1801" s="110">
        <f t="shared" si="28"/>
        <v>37193</v>
      </c>
      <c r="F1801" s="69">
        <v>1.2096588517687164E-2</v>
      </c>
    </row>
    <row r="1802" spans="1:6" x14ac:dyDescent="0.3">
      <c r="A1802" s="24">
        <v>36680</v>
      </c>
      <c r="B1802" s="66">
        <v>384.53399999999999</v>
      </c>
      <c r="C1802" s="67"/>
      <c r="D1802" s="68">
        <v>0</v>
      </c>
      <c r="E1802" s="110">
        <f t="shared" si="28"/>
        <v>37193</v>
      </c>
      <c r="F1802" s="69">
        <v>1.2096588517687164E-2</v>
      </c>
    </row>
    <row r="1803" spans="1:6" x14ac:dyDescent="0.3">
      <c r="A1803" s="24">
        <v>36681</v>
      </c>
      <c r="B1803" s="66">
        <v>384.53399999999999</v>
      </c>
      <c r="C1803" s="67"/>
      <c r="D1803" s="68">
        <v>0</v>
      </c>
      <c r="E1803" s="110">
        <f t="shared" si="28"/>
        <v>37193</v>
      </c>
      <c r="F1803" s="69">
        <v>1.2096588517687164E-2</v>
      </c>
    </row>
    <row r="1804" spans="1:6" x14ac:dyDescent="0.3">
      <c r="A1804" s="24">
        <v>36682</v>
      </c>
      <c r="B1804" s="66">
        <v>384.53399999999999</v>
      </c>
      <c r="C1804" s="67"/>
      <c r="D1804" s="68">
        <v>0</v>
      </c>
      <c r="E1804" s="110">
        <f t="shared" si="28"/>
        <v>37193</v>
      </c>
      <c r="F1804" s="69">
        <v>1.2096588517687164E-2</v>
      </c>
    </row>
    <row r="1805" spans="1:6" x14ac:dyDescent="0.3">
      <c r="A1805" s="24">
        <v>36683</v>
      </c>
      <c r="B1805" s="66">
        <v>384.53399999999999</v>
      </c>
      <c r="C1805" s="67"/>
      <c r="D1805" s="68">
        <v>0</v>
      </c>
      <c r="E1805" s="110">
        <f t="shared" si="28"/>
        <v>37193</v>
      </c>
      <c r="F1805" s="69">
        <v>1.2096588517687164E-2</v>
      </c>
    </row>
    <row r="1806" spans="1:6" x14ac:dyDescent="0.3">
      <c r="A1806" s="24">
        <v>36684</v>
      </c>
      <c r="B1806" s="66">
        <v>384.53399999999999</v>
      </c>
      <c r="C1806" s="67"/>
      <c r="D1806" s="68">
        <v>0</v>
      </c>
      <c r="E1806" s="110">
        <f t="shared" si="28"/>
        <v>37193</v>
      </c>
      <c r="F1806" s="69">
        <v>1.2096588517687164E-2</v>
      </c>
    </row>
    <row r="1807" spans="1:6" x14ac:dyDescent="0.3">
      <c r="A1807" s="24">
        <v>36685</v>
      </c>
      <c r="B1807" s="66">
        <v>384.53399999999999</v>
      </c>
      <c r="C1807" s="67"/>
      <c r="D1807" s="68">
        <v>0</v>
      </c>
      <c r="E1807" s="110">
        <f t="shared" si="28"/>
        <v>37193</v>
      </c>
      <c r="F1807" s="69">
        <v>1.2096588517687164E-2</v>
      </c>
    </row>
    <row r="1808" spans="1:6" x14ac:dyDescent="0.3">
      <c r="A1808" s="24">
        <v>36686</v>
      </c>
      <c r="B1808" s="66">
        <v>384.53399999999999</v>
      </c>
      <c r="C1808" s="67"/>
      <c r="D1808" s="68">
        <v>0</v>
      </c>
      <c r="E1808" s="110">
        <f t="shared" si="28"/>
        <v>37193</v>
      </c>
      <c r="F1808" s="69">
        <v>1.2096588517687164E-2</v>
      </c>
    </row>
    <row r="1809" spans="1:6" x14ac:dyDescent="0.3">
      <c r="A1809" s="24">
        <v>36687</v>
      </c>
      <c r="B1809" s="66">
        <v>384.53399999999999</v>
      </c>
      <c r="C1809" s="67"/>
      <c r="D1809" s="68">
        <v>0</v>
      </c>
      <c r="E1809" s="110">
        <f t="shared" si="28"/>
        <v>37193</v>
      </c>
      <c r="F1809" s="69">
        <v>1.2096588517687164E-2</v>
      </c>
    </row>
    <row r="1810" spans="1:6" x14ac:dyDescent="0.3">
      <c r="A1810" s="24">
        <v>36688</v>
      </c>
      <c r="B1810" s="66">
        <v>384.53399999999999</v>
      </c>
      <c r="C1810" s="67"/>
      <c r="D1810" s="68">
        <v>0</v>
      </c>
      <c r="E1810" s="110">
        <f t="shared" ref="E1810:E1873" si="29">+E1809</f>
        <v>37193</v>
      </c>
      <c r="F1810" s="69">
        <v>1.2096588517687164E-2</v>
      </c>
    </row>
    <row r="1811" spans="1:6" x14ac:dyDescent="0.3">
      <c r="A1811" s="24">
        <v>36689</v>
      </c>
      <c r="B1811" s="66">
        <v>384.53399999999999</v>
      </c>
      <c r="C1811" s="67"/>
      <c r="D1811" s="68">
        <v>0</v>
      </c>
      <c r="E1811" s="110">
        <f t="shared" si="29"/>
        <v>37193</v>
      </c>
      <c r="F1811" s="69">
        <v>1.2096588517687164E-2</v>
      </c>
    </row>
    <row r="1812" spans="1:6" x14ac:dyDescent="0.3">
      <c r="A1812" s="24">
        <v>36690</v>
      </c>
      <c r="B1812" s="66">
        <v>384.53399999999999</v>
      </c>
      <c r="C1812" s="67"/>
      <c r="D1812" s="68">
        <v>0</v>
      </c>
      <c r="E1812" s="110">
        <f t="shared" si="29"/>
        <v>37193</v>
      </c>
      <c r="F1812" s="69">
        <v>1.2096588517687164E-2</v>
      </c>
    </row>
    <row r="1813" spans="1:6" x14ac:dyDescent="0.3">
      <c r="A1813" s="24">
        <v>36691</v>
      </c>
      <c r="B1813" s="66">
        <v>384.53399999999999</v>
      </c>
      <c r="C1813" s="67"/>
      <c r="D1813" s="68">
        <v>0</v>
      </c>
      <c r="E1813" s="110">
        <f t="shared" si="29"/>
        <v>37193</v>
      </c>
      <c r="F1813" s="69">
        <v>1.2096588517687164E-2</v>
      </c>
    </row>
    <row r="1814" spans="1:6" x14ac:dyDescent="0.3">
      <c r="A1814" s="24">
        <v>36692</v>
      </c>
      <c r="B1814" s="66">
        <v>384.53399999999999</v>
      </c>
      <c r="C1814" s="67"/>
      <c r="D1814" s="68">
        <v>0</v>
      </c>
      <c r="E1814" s="110">
        <f t="shared" si="29"/>
        <v>37193</v>
      </c>
      <c r="F1814" s="69">
        <v>1.2096588517687164E-2</v>
      </c>
    </row>
    <row r="1815" spans="1:6" x14ac:dyDescent="0.3">
      <c r="A1815" s="24">
        <v>36693</v>
      </c>
      <c r="B1815" s="66">
        <v>384.53399999999999</v>
      </c>
      <c r="C1815" s="67"/>
      <c r="D1815" s="68">
        <v>0</v>
      </c>
      <c r="E1815" s="110">
        <f t="shared" si="29"/>
        <v>37193</v>
      </c>
      <c r="F1815" s="69">
        <v>1.2096588517687164E-2</v>
      </c>
    </row>
    <row r="1816" spans="1:6" x14ac:dyDescent="0.3">
      <c r="A1816" s="24">
        <v>36694</v>
      </c>
      <c r="B1816" s="66">
        <v>384.53399999999999</v>
      </c>
      <c r="C1816" s="67"/>
      <c r="D1816" s="68">
        <v>0</v>
      </c>
      <c r="E1816" s="110">
        <f t="shared" si="29"/>
        <v>37193</v>
      </c>
      <c r="F1816" s="69">
        <v>1.2096588517687164E-2</v>
      </c>
    </row>
    <row r="1817" spans="1:6" x14ac:dyDescent="0.3">
      <c r="A1817" s="24">
        <v>36695</v>
      </c>
      <c r="B1817" s="66">
        <v>384.53399999999999</v>
      </c>
      <c r="C1817" s="67"/>
      <c r="D1817" s="68">
        <v>0</v>
      </c>
      <c r="E1817" s="110">
        <f t="shared" si="29"/>
        <v>37193</v>
      </c>
      <c r="F1817" s="69">
        <v>1.2096588517687164E-2</v>
      </c>
    </row>
    <row r="1818" spans="1:6" x14ac:dyDescent="0.3">
      <c r="A1818" s="24">
        <v>36696</v>
      </c>
      <c r="B1818" s="66">
        <v>384.53399999999999</v>
      </c>
      <c r="C1818" s="67"/>
      <c r="D1818" s="68">
        <v>0</v>
      </c>
      <c r="E1818" s="110">
        <f t="shared" si="29"/>
        <v>37193</v>
      </c>
      <c r="F1818" s="69">
        <v>1.2096588517687164E-2</v>
      </c>
    </row>
    <row r="1819" spans="1:6" x14ac:dyDescent="0.3">
      <c r="A1819" s="24">
        <v>36697</v>
      </c>
      <c r="B1819" s="66">
        <v>384.53399999999999</v>
      </c>
      <c r="C1819" s="67"/>
      <c r="D1819" s="68">
        <v>0</v>
      </c>
      <c r="E1819" s="110">
        <f t="shared" si="29"/>
        <v>37193</v>
      </c>
      <c r="F1819" s="69">
        <v>1.2096588517687164E-2</v>
      </c>
    </row>
    <row r="1820" spans="1:6" x14ac:dyDescent="0.3">
      <c r="A1820" s="24">
        <v>36698</v>
      </c>
      <c r="B1820" s="66">
        <v>384.53399999999999</v>
      </c>
      <c r="C1820" s="67"/>
      <c r="D1820" s="68">
        <v>0</v>
      </c>
      <c r="E1820" s="110">
        <f t="shared" si="29"/>
        <v>37193</v>
      </c>
      <c r="F1820" s="69">
        <v>1.2096588517687164E-2</v>
      </c>
    </row>
    <row r="1821" spans="1:6" x14ac:dyDescent="0.3">
      <c r="A1821" s="24">
        <v>36699</v>
      </c>
      <c r="B1821" s="66">
        <v>384.53399999999999</v>
      </c>
      <c r="C1821" s="67"/>
      <c r="D1821" s="68">
        <v>0</v>
      </c>
      <c r="E1821" s="110">
        <f t="shared" si="29"/>
        <v>37193</v>
      </c>
      <c r="F1821" s="69">
        <v>1.2096588517687164E-2</v>
      </c>
    </row>
    <row r="1822" spans="1:6" x14ac:dyDescent="0.3">
      <c r="A1822" s="24">
        <v>36700</v>
      </c>
      <c r="B1822" s="66">
        <v>384.53399999999999</v>
      </c>
      <c r="C1822" s="67"/>
      <c r="D1822" s="68">
        <v>0</v>
      </c>
      <c r="E1822" s="110">
        <f t="shared" si="29"/>
        <v>37193</v>
      </c>
      <c r="F1822" s="69">
        <v>1.2096588517687164E-2</v>
      </c>
    </row>
    <row r="1823" spans="1:6" x14ac:dyDescent="0.3">
      <c r="A1823" s="24">
        <v>36701</v>
      </c>
      <c r="B1823" s="66">
        <v>384.53399999999999</v>
      </c>
      <c r="C1823" s="67"/>
      <c r="D1823" s="68">
        <v>0</v>
      </c>
      <c r="E1823" s="110">
        <f t="shared" si="29"/>
        <v>37193</v>
      </c>
      <c r="F1823" s="69">
        <v>1.2096588517687164E-2</v>
      </c>
    </row>
    <row r="1824" spans="1:6" x14ac:dyDescent="0.3">
      <c r="A1824" s="24">
        <v>36702</v>
      </c>
      <c r="B1824" s="66">
        <v>384.53399999999999</v>
      </c>
      <c r="C1824" s="67"/>
      <c r="D1824" s="68">
        <v>0</v>
      </c>
      <c r="E1824" s="110">
        <f t="shared" si="29"/>
        <v>37193</v>
      </c>
      <c r="F1824" s="69">
        <v>1.2096588517687164E-2</v>
      </c>
    </row>
    <row r="1825" spans="1:6" x14ac:dyDescent="0.3">
      <c r="A1825" s="24">
        <v>36703</v>
      </c>
      <c r="B1825" s="66">
        <v>384.53399999999999</v>
      </c>
      <c r="C1825" s="67"/>
      <c r="D1825" s="68">
        <v>0</v>
      </c>
      <c r="E1825" s="110">
        <f t="shared" si="29"/>
        <v>37193</v>
      </c>
      <c r="F1825" s="69">
        <v>1.2096588517687164E-2</v>
      </c>
    </row>
    <row r="1826" spans="1:6" x14ac:dyDescent="0.3">
      <c r="A1826" s="24">
        <v>36704</v>
      </c>
      <c r="B1826" s="66">
        <v>384.53399999999999</v>
      </c>
      <c r="C1826" s="67"/>
      <c r="D1826" s="68">
        <v>0</v>
      </c>
      <c r="E1826" s="110">
        <f t="shared" si="29"/>
        <v>37193</v>
      </c>
      <c r="F1826" s="69">
        <v>1.2096588517687164E-2</v>
      </c>
    </row>
    <row r="1827" spans="1:6" x14ac:dyDescent="0.3">
      <c r="A1827" s="24">
        <v>36705</v>
      </c>
      <c r="B1827" s="66">
        <v>384.53399999999999</v>
      </c>
      <c r="C1827" s="67"/>
      <c r="D1827" s="68">
        <v>0</v>
      </c>
      <c r="E1827" s="110">
        <f t="shared" si="29"/>
        <v>37193</v>
      </c>
      <c r="F1827" s="69">
        <v>1.2011803279990697E-2</v>
      </c>
    </row>
    <row r="1828" spans="1:6" x14ac:dyDescent="0.3">
      <c r="A1828" s="24">
        <v>36706</v>
      </c>
      <c r="B1828" s="66">
        <v>384.53399999999999</v>
      </c>
      <c r="C1828" s="67"/>
      <c r="D1828" s="68">
        <v>0</v>
      </c>
      <c r="E1828" s="110">
        <f t="shared" si="29"/>
        <v>37193</v>
      </c>
      <c r="F1828" s="69">
        <v>1.2011803279990697E-2</v>
      </c>
    </row>
    <row r="1829" spans="1:6" x14ac:dyDescent="0.3">
      <c r="A1829" s="24">
        <v>36707</v>
      </c>
      <c r="B1829" s="66">
        <v>389.56700000000001</v>
      </c>
      <c r="C1829" s="67"/>
      <c r="D1829" s="68">
        <v>0</v>
      </c>
      <c r="E1829" s="110">
        <f t="shared" si="29"/>
        <v>37193</v>
      </c>
      <c r="F1829" s="69">
        <v>1.2011803279990697E-2</v>
      </c>
    </row>
    <row r="1830" spans="1:6" x14ac:dyDescent="0.3">
      <c r="A1830" s="24">
        <v>36708</v>
      </c>
      <c r="B1830" s="66">
        <v>389.56700000000001</v>
      </c>
      <c r="C1830" s="67"/>
      <c r="D1830" s="68">
        <v>0</v>
      </c>
      <c r="E1830" s="110">
        <f t="shared" si="29"/>
        <v>37193</v>
      </c>
      <c r="F1830" s="69">
        <v>1.2011803279990697E-2</v>
      </c>
    </row>
    <row r="1831" spans="1:6" x14ac:dyDescent="0.3">
      <c r="A1831" s="24">
        <v>36709</v>
      </c>
      <c r="B1831" s="66">
        <v>389.56700000000001</v>
      </c>
      <c r="C1831" s="67"/>
      <c r="D1831" s="68">
        <v>0</v>
      </c>
      <c r="E1831" s="110">
        <f t="shared" si="29"/>
        <v>37193</v>
      </c>
      <c r="F1831" s="69">
        <v>1.2011803279990697E-2</v>
      </c>
    </row>
    <row r="1832" spans="1:6" x14ac:dyDescent="0.3">
      <c r="A1832" s="24">
        <v>36710</v>
      </c>
      <c r="B1832" s="66">
        <v>389.56700000000001</v>
      </c>
      <c r="C1832" s="67"/>
      <c r="D1832" s="68">
        <v>0</v>
      </c>
      <c r="E1832" s="110">
        <f t="shared" si="29"/>
        <v>37193</v>
      </c>
      <c r="F1832" s="69">
        <v>1.2011803279990697E-2</v>
      </c>
    </row>
    <row r="1833" spans="1:6" x14ac:dyDescent="0.3">
      <c r="A1833" s="24">
        <v>36711</v>
      </c>
      <c r="B1833" s="66">
        <v>389.56700000000001</v>
      </c>
      <c r="C1833" s="67"/>
      <c r="D1833" s="68">
        <v>0</v>
      </c>
      <c r="E1833" s="110">
        <f t="shared" si="29"/>
        <v>37193</v>
      </c>
      <c r="F1833" s="69">
        <v>1.2011803279990697E-2</v>
      </c>
    </row>
    <row r="1834" spans="1:6" x14ac:dyDescent="0.3">
      <c r="A1834" s="24">
        <v>36712</v>
      </c>
      <c r="B1834" s="66">
        <v>389.56700000000001</v>
      </c>
      <c r="C1834" s="67"/>
      <c r="D1834" s="68">
        <v>0</v>
      </c>
      <c r="E1834" s="110">
        <f t="shared" si="29"/>
        <v>37193</v>
      </c>
      <c r="F1834" s="69">
        <v>1.2011803279990697E-2</v>
      </c>
    </row>
    <row r="1835" spans="1:6" x14ac:dyDescent="0.3">
      <c r="A1835" s="24">
        <v>36713</v>
      </c>
      <c r="B1835" s="66">
        <v>389.56700000000001</v>
      </c>
      <c r="C1835" s="67"/>
      <c r="D1835" s="68">
        <v>0</v>
      </c>
      <c r="E1835" s="110">
        <f t="shared" si="29"/>
        <v>37193</v>
      </c>
      <c r="F1835" s="69">
        <v>1.2011803279990697E-2</v>
      </c>
    </row>
    <row r="1836" spans="1:6" x14ac:dyDescent="0.3">
      <c r="A1836" s="24">
        <v>36714</v>
      </c>
      <c r="B1836" s="66">
        <v>389.56700000000001</v>
      </c>
      <c r="C1836" s="67"/>
      <c r="D1836" s="68">
        <v>0</v>
      </c>
      <c r="E1836" s="110">
        <f t="shared" si="29"/>
        <v>37193</v>
      </c>
      <c r="F1836" s="69">
        <v>1.2011803279990697E-2</v>
      </c>
    </row>
    <row r="1837" spans="1:6" x14ac:dyDescent="0.3">
      <c r="A1837" s="24">
        <v>36715</v>
      </c>
      <c r="B1837" s="66">
        <v>389.56700000000001</v>
      </c>
      <c r="C1837" s="67"/>
      <c r="D1837" s="68">
        <v>0</v>
      </c>
      <c r="E1837" s="110">
        <f t="shared" si="29"/>
        <v>37193</v>
      </c>
      <c r="F1837" s="69">
        <v>1.2011803279990697E-2</v>
      </c>
    </row>
    <row r="1838" spans="1:6" x14ac:dyDescent="0.3">
      <c r="A1838" s="24">
        <v>36716</v>
      </c>
      <c r="B1838" s="66">
        <v>389.56700000000001</v>
      </c>
      <c r="C1838" s="67"/>
      <c r="D1838" s="68">
        <v>0</v>
      </c>
      <c r="E1838" s="110">
        <f t="shared" si="29"/>
        <v>37193</v>
      </c>
      <c r="F1838" s="69">
        <v>1.2011803279990697E-2</v>
      </c>
    </row>
    <row r="1839" spans="1:6" x14ac:dyDescent="0.3">
      <c r="A1839" s="24">
        <v>36717</v>
      </c>
      <c r="B1839" s="66">
        <v>389.56700000000001</v>
      </c>
      <c r="C1839" s="67"/>
      <c r="D1839" s="68">
        <v>0</v>
      </c>
      <c r="E1839" s="110">
        <f t="shared" si="29"/>
        <v>37193</v>
      </c>
      <c r="F1839" s="69">
        <v>1.2011803279990697E-2</v>
      </c>
    </row>
    <row r="1840" spans="1:6" x14ac:dyDescent="0.3">
      <c r="A1840" s="24">
        <v>36718</v>
      </c>
      <c r="B1840" s="66">
        <v>389.56700000000001</v>
      </c>
      <c r="C1840" s="67"/>
      <c r="D1840" s="68">
        <v>0</v>
      </c>
      <c r="E1840" s="110">
        <f t="shared" si="29"/>
        <v>37193</v>
      </c>
      <c r="F1840" s="69">
        <v>1.2011803279990697E-2</v>
      </c>
    </row>
    <row r="1841" spans="1:6" x14ac:dyDescent="0.3">
      <c r="A1841" s="24">
        <v>36719</v>
      </c>
      <c r="B1841" s="66">
        <v>389.56700000000001</v>
      </c>
      <c r="C1841" s="67"/>
      <c r="D1841" s="68">
        <v>0</v>
      </c>
      <c r="E1841" s="110">
        <f t="shared" si="29"/>
        <v>37193</v>
      </c>
      <c r="F1841" s="69">
        <v>1.2011803279990697E-2</v>
      </c>
    </row>
    <row r="1842" spans="1:6" x14ac:dyDescent="0.3">
      <c r="A1842" s="24">
        <v>36720</v>
      </c>
      <c r="B1842" s="66">
        <v>389.56700000000001</v>
      </c>
      <c r="C1842" s="67"/>
      <c r="D1842" s="68">
        <v>0</v>
      </c>
      <c r="E1842" s="110">
        <f t="shared" si="29"/>
        <v>37193</v>
      </c>
      <c r="F1842" s="69">
        <v>1.2011803279990697E-2</v>
      </c>
    </row>
    <row r="1843" spans="1:6" x14ac:dyDescent="0.3">
      <c r="A1843" s="24">
        <v>36721</v>
      </c>
      <c r="B1843" s="66">
        <v>389.56700000000001</v>
      </c>
      <c r="C1843" s="67"/>
      <c r="D1843" s="68">
        <v>0</v>
      </c>
      <c r="E1843" s="110">
        <f t="shared" si="29"/>
        <v>37193</v>
      </c>
      <c r="F1843" s="69">
        <v>1.2011803279990697E-2</v>
      </c>
    </row>
    <row r="1844" spans="1:6" x14ac:dyDescent="0.3">
      <c r="A1844" s="24">
        <v>36722</v>
      </c>
      <c r="B1844" s="66">
        <v>389.56700000000001</v>
      </c>
      <c r="C1844" s="67"/>
      <c r="D1844" s="68">
        <v>0</v>
      </c>
      <c r="E1844" s="110">
        <f t="shared" si="29"/>
        <v>37193</v>
      </c>
      <c r="F1844" s="69">
        <v>1.2011803279990697E-2</v>
      </c>
    </row>
    <row r="1845" spans="1:6" x14ac:dyDescent="0.3">
      <c r="A1845" s="24">
        <v>36723</v>
      </c>
      <c r="B1845" s="66">
        <v>389.56700000000001</v>
      </c>
      <c r="C1845" s="67"/>
      <c r="D1845" s="68">
        <v>0</v>
      </c>
      <c r="E1845" s="110">
        <f t="shared" si="29"/>
        <v>37193</v>
      </c>
      <c r="F1845" s="69">
        <v>1.2011803279990697E-2</v>
      </c>
    </row>
    <row r="1846" spans="1:6" x14ac:dyDescent="0.3">
      <c r="A1846" s="24">
        <v>36724</v>
      </c>
      <c r="B1846" s="66">
        <v>389.56700000000001</v>
      </c>
      <c r="C1846" s="67"/>
      <c r="D1846" s="68">
        <v>0</v>
      </c>
      <c r="E1846" s="110">
        <f t="shared" si="29"/>
        <v>37193</v>
      </c>
      <c r="F1846" s="69">
        <v>1.2011803279990697E-2</v>
      </c>
    </row>
    <row r="1847" spans="1:6" x14ac:dyDescent="0.3">
      <c r="A1847" s="24">
        <v>36725</v>
      </c>
      <c r="B1847" s="66">
        <v>389.56700000000001</v>
      </c>
      <c r="C1847" s="67"/>
      <c r="D1847" s="68">
        <v>0</v>
      </c>
      <c r="E1847" s="110">
        <f t="shared" si="29"/>
        <v>37193</v>
      </c>
      <c r="F1847" s="69">
        <v>1.2011803279990697E-2</v>
      </c>
    </row>
    <row r="1848" spans="1:6" x14ac:dyDescent="0.3">
      <c r="A1848" s="24">
        <v>36726</v>
      </c>
      <c r="B1848" s="66">
        <v>389.56700000000001</v>
      </c>
      <c r="C1848" s="67"/>
      <c r="D1848" s="68">
        <v>0</v>
      </c>
      <c r="E1848" s="110">
        <f t="shared" si="29"/>
        <v>37193</v>
      </c>
      <c r="F1848" s="69">
        <v>1.2011803279990697E-2</v>
      </c>
    </row>
    <row r="1849" spans="1:6" x14ac:dyDescent="0.3">
      <c r="A1849" s="24">
        <v>36727</v>
      </c>
      <c r="B1849" s="66">
        <v>389.56700000000001</v>
      </c>
      <c r="C1849" s="67"/>
      <c r="D1849" s="68">
        <v>0</v>
      </c>
      <c r="E1849" s="110">
        <f t="shared" si="29"/>
        <v>37193</v>
      </c>
      <c r="F1849" s="69">
        <v>1.2011803279990697E-2</v>
      </c>
    </row>
    <row r="1850" spans="1:6" x14ac:dyDescent="0.3">
      <c r="A1850" s="24">
        <v>36728</v>
      </c>
      <c r="B1850" s="66">
        <v>389.56700000000001</v>
      </c>
      <c r="C1850" s="67"/>
      <c r="D1850" s="68">
        <v>0</v>
      </c>
      <c r="E1850" s="110">
        <f t="shared" si="29"/>
        <v>37193</v>
      </c>
      <c r="F1850" s="69">
        <v>1.2011803279990697E-2</v>
      </c>
    </row>
    <row r="1851" spans="1:6" x14ac:dyDescent="0.3">
      <c r="A1851" s="24">
        <v>36729</v>
      </c>
      <c r="B1851" s="66">
        <v>389.56700000000001</v>
      </c>
      <c r="C1851" s="67"/>
      <c r="D1851" s="68">
        <v>0</v>
      </c>
      <c r="E1851" s="110">
        <f t="shared" si="29"/>
        <v>37193</v>
      </c>
      <c r="F1851" s="69">
        <v>1.2011803279990697E-2</v>
      </c>
    </row>
    <row r="1852" spans="1:6" x14ac:dyDescent="0.3">
      <c r="A1852" s="24">
        <v>36730</v>
      </c>
      <c r="B1852" s="66">
        <v>389.56700000000001</v>
      </c>
      <c r="C1852" s="67"/>
      <c r="D1852" s="68">
        <v>0</v>
      </c>
      <c r="E1852" s="110">
        <f t="shared" si="29"/>
        <v>37193</v>
      </c>
      <c r="F1852" s="69">
        <v>1.2011803279990697E-2</v>
      </c>
    </row>
    <row r="1853" spans="1:6" x14ac:dyDescent="0.3">
      <c r="A1853" s="24">
        <v>36731</v>
      </c>
      <c r="B1853" s="66">
        <v>389.56700000000001</v>
      </c>
      <c r="C1853" s="67"/>
      <c r="D1853" s="68">
        <v>0</v>
      </c>
      <c r="E1853" s="110">
        <f t="shared" si="29"/>
        <v>37193</v>
      </c>
      <c r="F1853" s="69">
        <v>1.2011803279990697E-2</v>
      </c>
    </row>
    <row r="1854" spans="1:6" x14ac:dyDescent="0.3">
      <c r="A1854" s="24">
        <v>36732</v>
      </c>
      <c r="B1854" s="66">
        <v>389.56700000000001</v>
      </c>
      <c r="C1854" s="67"/>
      <c r="D1854" s="68">
        <v>0</v>
      </c>
      <c r="E1854" s="110">
        <f t="shared" si="29"/>
        <v>37193</v>
      </c>
      <c r="F1854" s="69">
        <v>1.2011803279990697E-2</v>
      </c>
    </row>
    <row r="1855" spans="1:6" x14ac:dyDescent="0.3">
      <c r="A1855" s="24">
        <v>36733</v>
      </c>
      <c r="B1855" s="66">
        <v>389.56700000000001</v>
      </c>
      <c r="C1855" s="67"/>
      <c r="D1855" s="68">
        <v>0</v>
      </c>
      <c r="E1855" s="110">
        <f t="shared" si="29"/>
        <v>37193</v>
      </c>
      <c r="F1855" s="69">
        <v>1.2011803279990697E-2</v>
      </c>
    </row>
    <row r="1856" spans="1:6" x14ac:dyDescent="0.3">
      <c r="A1856" s="24">
        <v>36734</v>
      </c>
      <c r="B1856" s="66">
        <v>389.56700000000001</v>
      </c>
      <c r="C1856" s="67"/>
      <c r="D1856" s="68">
        <v>0</v>
      </c>
      <c r="E1856" s="110">
        <f t="shared" si="29"/>
        <v>37193</v>
      </c>
      <c r="F1856" s="69">
        <v>1.2011803279990697E-2</v>
      </c>
    </row>
    <row r="1857" spans="1:6" x14ac:dyDescent="0.3">
      <c r="A1857" s="24">
        <v>36735</v>
      </c>
      <c r="B1857" s="66">
        <v>389.56700000000001</v>
      </c>
      <c r="C1857" s="67"/>
      <c r="D1857" s="68">
        <v>0</v>
      </c>
      <c r="E1857" s="110">
        <f t="shared" si="29"/>
        <v>37193</v>
      </c>
      <c r="F1857" s="69">
        <v>1.2011803279990697E-2</v>
      </c>
    </row>
    <row r="1858" spans="1:6" x14ac:dyDescent="0.3">
      <c r="A1858" s="24">
        <v>36736</v>
      </c>
      <c r="B1858" s="66">
        <v>389.56700000000001</v>
      </c>
      <c r="C1858" s="67"/>
      <c r="D1858" s="68">
        <v>0</v>
      </c>
      <c r="E1858" s="110">
        <f t="shared" si="29"/>
        <v>37193</v>
      </c>
      <c r="F1858" s="69">
        <v>1.2011803279990697E-2</v>
      </c>
    </row>
    <row r="1859" spans="1:6" x14ac:dyDescent="0.3">
      <c r="A1859" s="24">
        <v>36737</v>
      </c>
      <c r="B1859" s="66">
        <v>389.56700000000001</v>
      </c>
      <c r="C1859" s="67"/>
      <c r="D1859" s="68">
        <v>0</v>
      </c>
      <c r="E1859" s="110">
        <f t="shared" si="29"/>
        <v>37193</v>
      </c>
      <c r="F1859" s="69">
        <v>1.2011803279990697E-2</v>
      </c>
    </row>
    <row r="1860" spans="1:6" x14ac:dyDescent="0.3">
      <c r="A1860" s="24">
        <v>36738</v>
      </c>
      <c r="B1860" s="66">
        <v>389.56700000000001</v>
      </c>
      <c r="C1860" s="67"/>
      <c r="D1860" s="68">
        <v>0</v>
      </c>
      <c r="E1860" s="110">
        <f t="shared" si="29"/>
        <v>37193</v>
      </c>
      <c r="F1860" s="69">
        <v>1.2011803279990697E-2</v>
      </c>
    </row>
    <row r="1861" spans="1:6" x14ac:dyDescent="0.3">
      <c r="A1861" s="24">
        <v>36739</v>
      </c>
      <c r="B1861" s="66">
        <v>389.56700000000001</v>
      </c>
      <c r="C1861" s="67"/>
      <c r="D1861" s="68">
        <v>0</v>
      </c>
      <c r="E1861" s="110">
        <f t="shared" si="29"/>
        <v>37193</v>
      </c>
      <c r="F1861" s="69">
        <v>1.2011803279990697E-2</v>
      </c>
    </row>
    <row r="1862" spans="1:6" x14ac:dyDescent="0.3">
      <c r="A1862" s="24">
        <v>36740</v>
      </c>
      <c r="B1862" s="66">
        <v>389.56700000000001</v>
      </c>
      <c r="C1862" s="67"/>
      <c r="D1862" s="68">
        <v>0</v>
      </c>
      <c r="E1862" s="110">
        <f t="shared" si="29"/>
        <v>37193</v>
      </c>
      <c r="F1862" s="69">
        <v>1.2011803279990697E-2</v>
      </c>
    </row>
    <row r="1863" spans="1:6" x14ac:dyDescent="0.3">
      <c r="A1863" s="24">
        <v>36741</v>
      </c>
      <c r="B1863" s="66">
        <v>389.56700000000001</v>
      </c>
      <c r="C1863" s="67"/>
      <c r="D1863" s="68">
        <v>0</v>
      </c>
      <c r="E1863" s="110">
        <f t="shared" si="29"/>
        <v>37193</v>
      </c>
      <c r="F1863" s="69">
        <v>1.2011803279990697E-2</v>
      </c>
    </row>
    <row r="1864" spans="1:6" x14ac:dyDescent="0.3">
      <c r="A1864" s="24">
        <v>36742</v>
      </c>
      <c r="B1864" s="66">
        <v>389.56700000000001</v>
      </c>
      <c r="C1864" s="67"/>
      <c r="D1864" s="68">
        <v>0</v>
      </c>
      <c r="E1864" s="110">
        <f t="shared" si="29"/>
        <v>37193</v>
      </c>
      <c r="F1864" s="69">
        <v>1.2011803279990697E-2</v>
      </c>
    </row>
    <row r="1865" spans="1:6" x14ac:dyDescent="0.3">
      <c r="A1865" s="24">
        <v>36743</v>
      </c>
      <c r="B1865" s="66">
        <v>389.56700000000001</v>
      </c>
      <c r="C1865" s="67"/>
      <c r="D1865" s="68">
        <v>0</v>
      </c>
      <c r="E1865" s="110">
        <f t="shared" si="29"/>
        <v>37193</v>
      </c>
      <c r="F1865" s="69">
        <v>1.2011803279990697E-2</v>
      </c>
    </row>
    <row r="1866" spans="1:6" x14ac:dyDescent="0.3">
      <c r="A1866" s="24">
        <v>36744</v>
      </c>
      <c r="B1866" s="66">
        <v>389.56700000000001</v>
      </c>
      <c r="C1866" s="67"/>
      <c r="D1866" s="68">
        <v>0</v>
      </c>
      <c r="E1866" s="110">
        <f t="shared" si="29"/>
        <v>37193</v>
      </c>
      <c r="F1866" s="69">
        <v>1.2011803279990697E-2</v>
      </c>
    </row>
    <row r="1867" spans="1:6" x14ac:dyDescent="0.3">
      <c r="A1867" s="24">
        <v>36745</v>
      </c>
      <c r="B1867" s="66">
        <v>389.56700000000001</v>
      </c>
      <c r="C1867" s="67"/>
      <c r="D1867" s="68">
        <v>0</v>
      </c>
      <c r="E1867" s="110">
        <f t="shared" si="29"/>
        <v>37193</v>
      </c>
      <c r="F1867" s="69">
        <v>1.2011803279990697E-2</v>
      </c>
    </row>
    <row r="1868" spans="1:6" x14ac:dyDescent="0.3">
      <c r="A1868" s="24">
        <v>36746</v>
      </c>
      <c r="B1868" s="66">
        <v>389.56700000000001</v>
      </c>
      <c r="C1868" s="67"/>
      <c r="D1868" s="68">
        <v>0</v>
      </c>
      <c r="E1868" s="110">
        <f t="shared" si="29"/>
        <v>37193</v>
      </c>
      <c r="F1868" s="69">
        <v>1.2011803279990697E-2</v>
      </c>
    </row>
    <row r="1869" spans="1:6" x14ac:dyDescent="0.3">
      <c r="A1869" s="24">
        <v>36747</v>
      </c>
      <c r="B1869" s="66">
        <v>389.56700000000001</v>
      </c>
      <c r="C1869" s="67"/>
      <c r="D1869" s="68">
        <v>0</v>
      </c>
      <c r="E1869" s="110">
        <f t="shared" si="29"/>
        <v>37193</v>
      </c>
      <c r="F1869" s="69">
        <v>1.2011803279990697E-2</v>
      </c>
    </row>
    <row r="1870" spans="1:6" x14ac:dyDescent="0.3">
      <c r="A1870" s="24">
        <v>36748</v>
      </c>
      <c r="B1870" s="66">
        <v>389.56700000000001</v>
      </c>
      <c r="C1870" s="67"/>
      <c r="D1870" s="68">
        <v>0</v>
      </c>
      <c r="E1870" s="110">
        <f t="shared" si="29"/>
        <v>37193</v>
      </c>
      <c r="F1870" s="69">
        <v>1.2011803279990697E-2</v>
      </c>
    </row>
    <row r="1871" spans="1:6" x14ac:dyDescent="0.3">
      <c r="A1871" s="24">
        <v>36749</v>
      </c>
      <c r="B1871" s="66">
        <v>389.56700000000001</v>
      </c>
      <c r="C1871" s="67"/>
      <c r="D1871" s="68">
        <v>0</v>
      </c>
      <c r="E1871" s="110">
        <f t="shared" si="29"/>
        <v>37193</v>
      </c>
      <c r="F1871" s="69">
        <v>1.2011803279990697E-2</v>
      </c>
    </row>
    <row r="1872" spans="1:6" x14ac:dyDescent="0.3">
      <c r="A1872" s="24">
        <v>36750</v>
      </c>
      <c r="B1872" s="66">
        <v>389.56700000000001</v>
      </c>
      <c r="C1872" s="67"/>
      <c r="D1872" s="68">
        <v>0</v>
      </c>
      <c r="E1872" s="110">
        <f t="shared" si="29"/>
        <v>37193</v>
      </c>
      <c r="F1872" s="69">
        <v>1.2011803279990697E-2</v>
      </c>
    </row>
    <row r="1873" spans="1:6" x14ac:dyDescent="0.3">
      <c r="A1873" s="24">
        <v>36751</v>
      </c>
      <c r="B1873" s="66">
        <v>389.56700000000001</v>
      </c>
      <c r="C1873" s="67"/>
      <c r="D1873" s="68">
        <v>0</v>
      </c>
      <c r="E1873" s="110">
        <f t="shared" si="29"/>
        <v>37193</v>
      </c>
      <c r="F1873" s="69">
        <v>1.2011803279990697E-2</v>
      </c>
    </row>
    <row r="1874" spans="1:6" x14ac:dyDescent="0.3">
      <c r="A1874" s="24">
        <v>36752</v>
      </c>
      <c r="B1874" s="66">
        <v>389.56700000000001</v>
      </c>
      <c r="C1874" s="67"/>
      <c r="D1874" s="68">
        <v>0</v>
      </c>
      <c r="E1874" s="110">
        <f t="shared" ref="E1874:E1937" si="30">+E1873</f>
        <v>37193</v>
      </c>
      <c r="F1874" s="69">
        <v>1.2011803279990697E-2</v>
      </c>
    </row>
    <row r="1875" spans="1:6" x14ac:dyDescent="0.3">
      <c r="A1875" s="24">
        <v>36753</v>
      </c>
      <c r="B1875" s="66">
        <v>389.56700000000001</v>
      </c>
      <c r="C1875" s="67"/>
      <c r="D1875" s="68">
        <v>0</v>
      </c>
      <c r="E1875" s="110">
        <f t="shared" si="30"/>
        <v>37193</v>
      </c>
      <c r="F1875" s="69">
        <v>1.2011803279990697E-2</v>
      </c>
    </row>
    <row r="1876" spans="1:6" x14ac:dyDescent="0.3">
      <c r="A1876" s="24">
        <v>36754</v>
      </c>
      <c r="B1876" s="66">
        <v>389.56700000000001</v>
      </c>
      <c r="C1876" s="67"/>
      <c r="D1876" s="68">
        <v>0</v>
      </c>
      <c r="E1876" s="110">
        <f t="shared" si="30"/>
        <v>37193</v>
      </c>
      <c r="F1876" s="69">
        <v>1.2011803279990697E-2</v>
      </c>
    </row>
    <row r="1877" spans="1:6" x14ac:dyDescent="0.3">
      <c r="A1877" s="24">
        <v>36755</v>
      </c>
      <c r="B1877" s="66">
        <v>389.56700000000001</v>
      </c>
      <c r="C1877" s="67"/>
      <c r="D1877" s="68">
        <v>0</v>
      </c>
      <c r="E1877" s="110">
        <f t="shared" si="30"/>
        <v>37193</v>
      </c>
      <c r="F1877" s="69">
        <v>1.2011803279990697E-2</v>
      </c>
    </row>
    <row r="1878" spans="1:6" x14ac:dyDescent="0.3">
      <c r="A1878" s="24">
        <v>36756</v>
      </c>
      <c r="B1878" s="66">
        <v>389.56700000000001</v>
      </c>
      <c r="C1878" s="67"/>
      <c r="D1878" s="68">
        <v>0</v>
      </c>
      <c r="E1878" s="110">
        <f t="shared" si="30"/>
        <v>37193</v>
      </c>
      <c r="F1878" s="69">
        <v>1.2011803279990697E-2</v>
      </c>
    </row>
    <row r="1879" spans="1:6" x14ac:dyDescent="0.3">
      <c r="A1879" s="24">
        <v>36757</v>
      </c>
      <c r="B1879" s="66">
        <v>389.56700000000001</v>
      </c>
      <c r="C1879" s="67"/>
      <c r="D1879" s="68">
        <v>0</v>
      </c>
      <c r="E1879" s="110">
        <f t="shared" si="30"/>
        <v>37193</v>
      </c>
      <c r="F1879" s="69">
        <v>1.2011803279990697E-2</v>
      </c>
    </row>
    <row r="1880" spans="1:6" x14ac:dyDescent="0.3">
      <c r="A1880" s="24">
        <v>36758</v>
      </c>
      <c r="B1880" s="66">
        <v>389.56700000000001</v>
      </c>
      <c r="C1880" s="67"/>
      <c r="D1880" s="68">
        <v>0</v>
      </c>
      <c r="E1880" s="110">
        <f t="shared" si="30"/>
        <v>37193</v>
      </c>
      <c r="F1880" s="69">
        <v>1.2011803279990697E-2</v>
      </c>
    </row>
    <row r="1881" spans="1:6" x14ac:dyDescent="0.3">
      <c r="A1881" s="24">
        <v>36759</v>
      </c>
      <c r="B1881" s="66">
        <v>389.56700000000001</v>
      </c>
      <c r="C1881" s="67"/>
      <c r="D1881" s="68">
        <v>0</v>
      </c>
      <c r="E1881" s="110">
        <f t="shared" si="30"/>
        <v>37193</v>
      </c>
      <c r="F1881" s="69">
        <v>1.2011803279990697E-2</v>
      </c>
    </row>
    <row r="1882" spans="1:6" x14ac:dyDescent="0.3">
      <c r="A1882" s="24">
        <v>36760</v>
      </c>
      <c r="B1882" s="66">
        <v>389.56700000000001</v>
      </c>
      <c r="C1882" s="67"/>
      <c r="D1882" s="68">
        <v>0</v>
      </c>
      <c r="E1882" s="110">
        <f t="shared" si="30"/>
        <v>37193</v>
      </c>
      <c r="F1882" s="69">
        <v>1.2011803279990697E-2</v>
      </c>
    </row>
    <row r="1883" spans="1:6" x14ac:dyDescent="0.3">
      <c r="A1883" s="24">
        <v>36761</v>
      </c>
      <c r="B1883" s="66">
        <v>389.56700000000001</v>
      </c>
      <c r="C1883" s="67"/>
      <c r="D1883" s="68">
        <v>0</v>
      </c>
      <c r="E1883" s="110">
        <f t="shared" si="30"/>
        <v>37193</v>
      </c>
      <c r="F1883" s="69">
        <v>1.2011803279990697E-2</v>
      </c>
    </row>
    <row r="1884" spans="1:6" x14ac:dyDescent="0.3">
      <c r="A1884" s="24">
        <v>36762</v>
      </c>
      <c r="B1884" s="66">
        <v>389.56700000000001</v>
      </c>
      <c r="C1884" s="67"/>
      <c r="D1884" s="68">
        <v>0</v>
      </c>
      <c r="E1884" s="110">
        <f t="shared" si="30"/>
        <v>37193</v>
      </c>
      <c r="F1884" s="69">
        <v>1.2011803279990697E-2</v>
      </c>
    </row>
    <row r="1885" spans="1:6" x14ac:dyDescent="0.3">
      <c r="A1885" s="24">
        <v>36763</v>
      </c>
      <c r="B1885" s="66">
        <v>389.56700000000001</v>
      </c>
      <c r="C1885" s="67"/>
      <c r="D1885" s="68">
        <v>0</v>
      </c>
      <c r="E1885" s="110">
        <f t="shared" si="30"/>
        <v>37193</v>
      </c>
      <c r="F1885" s="69">
        <v>1.2011803279990697E-2</v>
      </c>
    </row>
    <row r="1886" spans="1:6" x14ac:dyDescent="0.3">
      <c r="A1886" s="24">
        <v>36764</v>
      </c>
      <c r="B1886" s="66">
        <v>389.56700000000001</v>
      </c>
      <c r="C1886" s="67"/>
      <c r="D1886" s="68">
        <v>0</v>
      </c>
      <c r="E1886" s="110">
        <f t="shared" si="30"/>
        <v>37193</v>
      </c>
      <c r="F1886" s="69">
        <v>1.2011803279990697E-2</v>
      </c>
    </row>
    <row r="1887" spans="1:6" x14ac:dyDescent="0.3">
      <c r="A1887" s="24">
        <v>36765</v>
      </c>
      <c r="B1887" s="66">
        <v>389.56700000000001</v>
      </c>
      <c r="C1887" s="67"/>
      <c r="D1887" s="68">
        <v>0</v>
      </c>
      <c r="E1887" s="110">
        <f t="shared" si="30"/>
        <v>37193</v>
      </c>
      <c r="F1887" s="69">
        <v>1.2011803279990697E-2</v>
      </c>
    </row>
    <row r="1888" spans="1:6" x14ac:dyDescent="0.3">
      <c r="A1888" s="24">
        <v>36766</v>
      </c>
      <c r="B1888" s="66">
        <v>389.56700000000001</v>
      </c>
      <c r="C1888" s="67"/>
      <c r="D1888" s="68">
        <v>0</v>
      </c>
      <c r="E1888" s="110">
        <f t="shared" si="30"/>
        <v>37193</v>
      </c>
      <c r="F1888" s="69">
        <v>1.2011803279990697E-2</v>
      </c>
    </row>
    <row r="1889" spans="1:6" x14ac:dyDescent="0.3">
      <c r="A1889" s="24">
        <v>36767</v>
      </c>
      <c r="B1889" s="66">
        <v>389.56700000000001</v>
      </c>
      <c r="C1889" s="67"/>
      <c r="D1889" s="68">
        <v>0</v>
      </c>
      <c r="E1889" s="110">
        <f t="shared" si="30"/>
        <v>37193</v>
      </c>
      <c r="F1889" s="69">
        <v>1.2011803279990697E-2</v>
      </c>
    </row>
    <row r="1890" spans="1:6" x14ac:dyDescent="0.3">
      <c r="A1890" s="24">
        <v>36768</v>
      </c>
      <c r="B1890" s="66">
        <v>389.56700000000001</v>
      </c>
      <c r="C1890" s="67"/>
      <c r="D1890" s="68">
        <v>0</v>
      </c>
      <c r="E1890" s="110">
        <f t="shared" si="30"/>
        <v>37193</v>
      </c>
      <c r="F1890" s="69">
        <v>1.2011803279990697E-2</v>
      </c>
    </row>
    <row r="1891" spans="1:6" x14ac:dyDescent="0.3">
      <c r="A1891" s="24">
        <v>36769</v>
      </c>
      <c r="B1891" s="66">
        <v>389.56700000000001</v>
      </c>
      <c r="C1891" s="67"/>
      <c r="D1891" s="68">
        <v>0</v>
      </c>
      <c r="E1891" s="110">
        <f t="shared" si="30"/>
        <v>37193</v>
      </c>
      <c r="F1891" s="69">
        <v>1.2011803279990697E-2</v>
      </c>
    </row>
    <row r="1892" spans="1:6" x14ac:dyDescent="0.3">
      <c r="A1892" s="24">
        <v>36770</v>
      </c>
      <c r="B1892" s="66">
        <v>389.56700000000001</v>
      </c>
      <c r="C1892" s="67"/>
      <c r="D1892" s="68">
        <v>0</v>
      </c>
      <c r="E1892" s="110">
        <f t="shared" si="30"/>
        <v>37193</v>
      </c>
      <c r="F1892" s="69">
        <v>1.2011803279990697E-2</v>
      </c>
    </row>
    <row r="1893" spans="1:6" x14ac:dyDescent="0.3">
      <c r="A1893" s="24">
        <v>36771</v>
      </c>
      <c r="B1893" s="66">
        <v>389.56700000000001</v>
      </c>
      <c r="C1893" s="67"/>
      <c r="D1893" s="68">
        <v>0</v>
      </c>
      <c r="E1893" s="110">
        <f t="shared" si="30"/>
        <v>37193</v>
      </c>
      <c r="F1893" s="69">
        <v>1.2011803279990697E-2</v>
      </c>
    </row>
    <row r="1894" spans="1:6" x14ac:dyDescent="0.3">
      <c r="A1894" s="24">
        <v>36772</v>
      </c>
      <c r="B1894" s="66">
        <v>389.56700000000001</v>
      </c>
      <c r="C1894" s="67"/>
      <c r="D1894" s="68">
        <v>0</v>
      </c>
      <c r="E1894" s="110">
        <f t="shared" si="30"/>
        <v>37193</v>
      </c>
      <c r="F1894" s="69">
        <v>1.2011803279990697E-2</v>
      </c>
    </row>
    <row r="1895" spans="1:6" x14ac:dyDescent="0.3">
      <c r="A1895" s="24">
        <v>36773</v>
      </c>
      <c r="B1895" s="66">
        <v>389.56700000000001</v>
      </c>
      <c r="C1895" s="67"/>
      <c r="D1895" s="68">
        <v>0</v>
      </c>
      <c r="E1895" s="110">
        <f t="shared" si="30"/>
        <v>37193</v>
      </c>
      <c r="F1895" s="69">
        <v>1.2011803279990697E-2</v>
      </c>
    </row>
    <row r="1896" spans="1:6" x14ac:dyDescent="0.3">
      <c r="A1896" s="24">
        <v>36774</v>
      </c>
      <c r="B1896" s="66">
        <v>389.56700000000001</v>
      </c>
      <c r="C1896" s="67"/>
      <c r="D1896" s="68">
        <v>0</v>
      </c>
      <c r="E1896" s="110">
        <f t="shared" si="30"/>
        <v>37193</v>
      </c>
      <c r="F1896" s="69">
        <v>1.2011803279990697E-2</v>
      </c>
    </row>
    <row r="1897" spans="1:6" x14ac:dyDescent="0.3">
      <c r="A1897" s="24">
        <v>36775</v>
      </c>
      <c r="B1897" s="66">
        <v>389.56700000000001</v>
      </c>
      <c r="C1897" s="67"/>
      <c r="D1897" s="68">
        <v>0</v>
      </c>
      <c r="E1897" s="110">
        <f t="shared" si="30"/>
        <v>37193</v>
      </c>
      <c r="F1897" s="69">
        <v>1.2011803279990697E-2</v>
      </c>
    </row>
    <row r="1898" spans="1:6" x14ac:dyDescent="0.3">
      <c r="A1898" s="24">
        <v>36776</v>
      </c>
      <c r="B1898" s="66">
        <v>389.56700000000001</v>
      </c>
      <c r="C1898" s="67"/>
      <c r="D1898" s="68">
        <v>0</v>
      </c>
      <c r="E1898" s="110">
        <f t="shared" si="30"/>
        <v>37193</v>
      </c>
      <c r="F1898" s="69">
        <v>1.2011803279990697E-2</v>
      </c>
    </row>
    <row r="1899" spans="1:6" x14ac:dyDescent="0.3">
      <c r="A1899" s="24">
        <v>36777</v>
      </c>
      <c r="B1899" s="66">
        <v>389.56700000000001</v>
      </c>
      <c r="C1899" s="67"/>
      <c r="D1899" s="68">
        <v>0</v>
      </c>
      <c r="E1899" s="110">
        <f t="shared" si="30"/>
        <v>37193</v>
      </c>
      <c r="F1899" s="69">
        <v>1.2011803279990697E-2</v>
      </c>
    </row>
    <row r="1900" spans="1:6" x14ac:dyDescent="0.3">
      <c r="A1900" s="24">
        <v>36778</v>
      </c>
      <c r="B1900" s="66">
        <v>389.56700000000001</v>
      </c>
      <c r="C1900" s="67"/>
      <c r="D1900" s="68">
        <v>0</v>
      </c>
      <c r="E1900" s="110">
        <f t="shared" si="30"/>
        <v>37193</v>
      </c>
      <c r="F1900" s="69">
        <v>1.2011803279990697E-2</v>
      </c>
    </row>
    <row r="1901" spans="1:6" x14ac:dyDescent="0.3">
      <c r="A1901" s="24">
        <v>36779</v>
      </c>
      <c r="B1901" s="66">
        <v>389.56700000000001</v>
      </c>
      <c r="C1901" s="67"/>
      <c r="D1901" s="68">
        <v>0</v>
      </c>
      <c r="E1901" s="110">
        <f t="shared" si="30"/>
        <v>37193</v>
      </c>
      <c r="F1901" s="69">
        <v>1.2011803279990697E-2</v>
      </c>
    </row>
    <row r="1902" spans="1:6" x14ac:dyDescent="0.3">
      <c r="A1902" s="24">
        <v>36780</v>
      </c>
      <c r="B1902" s="66">
        <v>389.56700000000001</v>
      </c>
      <c r="C1902" s="67"/>
      <c r="D1902" s="68">
        <v>0</v>
      </c>
      <c r="E1902" s="110">
        <f t="shared" si="30"/>
        <v>37193</v>
      </c>
      <c r="F1902" s="69">
        <v>1.2011803279990697E-2</v>
      </c>
    </row>
    <row r="1903" spans="1:6" x14ac:dyDescent="0.3">
      <c r="A1903" s="24">
        <v>36781</v>
      </c>
      <c r="B1903" s="66">
        <v>389.56700000000001</v>
      </c>
      <c r="C1903" s="67"/>
      <c r="D1903" s="68">
        <v>0</v>
      </c>
      <c r="E1903" s="110">
        <f t="shared" si="30"/>
        <v>37193</v>
      </c>
      <c r="F1903" s="69">
        <v>1.2011803279990697E-2</v>
      </c>
    </row>
    <row r="1904" spans="1:6" x14ac:dyDescent="0.3">
      <c r="A1904" s="24">
        <v>36782</v>
      </c>
      <c r="B1904" s="66">
        <v>389.56700000000001</v>
      </c>
      <c r="C1904" s="67"/>
      <c r="D1904" s="68">
        <v>0</v>
      </c>
      <c r="E1904" s="110">
        <f t="shared" si="30"/>
        <v>37193</v>
      </c>
      <c r="F1904" s="69">
        <v>1.2011803279990697E-2</v>
      </c>
    </row>
    <row r="1905" spans="1:6" x14ac:dyDescent="0.3">
      <c r="A1905" s="24">
        <v>36783</v>
      </c>
      <c r="B1905" s="66">
        <v>389.56700000000001</v>
      </c>
      <c r="C1905" s="67"/>
      <c r="D1905" s="68">
        <v>0</v>
      </c>
      <c r="E1905" s="110">
        <f t="shared" si="30"/>
        <v>37193</v>
      </c>
      <c r="F1905" s="69">
        <v>1.2011803279990697E-2</v>
      </c>
    </row>
    <row r="1906" spans="1:6" x14ac:dyDescent="0.3">
      <c r="A1906" s="24">
        <v>36784</v>
      </c>
      <c r="B1906" s="66">
        <v>389.56700000000001</v>
      </c>
      <c r="C1906" s="67"/>
      <c r="D1906" s="68">
        <v>0</v>
      </c>
      <c r="E1906" s="110">
        <f t="shared" si="30"/>
        <v>37193</v>
      </c>
      <c r="F1906" s="69">
        <v>1.2011803279990697E-2</v>
      </c>
    </row>
    <row r="1907" spans="1:6" x14ac:dyDescent="0.3">
      <c r="A1907" s="24">
        <v>36785</v>
      </c>
      <c r="B1907" s="66">
        <v>389.56700000000001</v>
      </c>
      <c r="C1907" s="67"/>
      <c r="D1907" s="68">
        <v>0</v>
      </c>
      <c r="E1907" s="110">
        <f t="shared" si="30"/>
        <v>37193</v>
      </c>
      <c r="F1907" s="69">
        <v>1.2011803279990697E-2</v>
      </c>
    </row>
    <row r="1908" spans="1:6" x14ac:dyDescent="0.3">
      <c r="A1908" s="24">
        <v>36786</v>
      </c>
      <c r="B1908" s="66">
        <v>389.56700000000001</v>
      </c>
      <c r="C1908" s="67"/>
      <c r="D1908" s="68">
        <v>0</v>
      </c>
      <c r="E1908" s="110">
        <f t="shared" si="30"/>
        <v>37193</v>
      </c>
      <c r="F1908" s="69">
        <v>1.2011803279990697E-2</v>
      </c>
    </row>
    <row r="1909" spans="1:6" x14ac:dyDescent="0.3">
      <c r="A1909" s="24">
        <v>36787</v>
      </c>
      <c r="B1909" s="66">
        <v>389.56700000000001</v>
      </c>
      <c r="C1909" s="67"/>
      <c r="D1909" s="68">
        <v>0</v>
      </c>
      <c r="E1909" s="110">
        <f t="shared" si="30"/>
        <v>37193</v>
      </c>
      <c r="F1909" s="69">
        <v>1.2011803279990697E-2</v>
      </c>
    </row>
    <row r="1910" spans="1:6" x14ac:dyDescent="0.3">
      <c r="A1910" s="24">
        <v>36788</v>
      </c>
      <c r="B1910" s="66">
        <v>389.56700000000001</v>
      </c>
      <c r="C1910" s="67"/>
      <c r="D1910" s="68">
        <v>0</v>
      </c>
      <c r="E1910" s="110">
        <f t="shared" si="30"/>
        <v>37193</v>
      </c>
      <c r="F1910" s="69">
        <v>1.2011803279990697E-2</v>
      </c>
    </row>
    <row r="1911" spans="1:6" x14ac:dyDescent="0.3">
      <c r="A1911" s="24">
        <v>36789</v>
      </c>
      <c r="B1911" s="66">
        <v>389.56700000000001</v>
      </c>
      <c r="C1911" s="67"/>
      <c r="D1911" s="68">
        <v>0</v>
      </c>
      <c r="E1911" s="110">
        <f t="shared" si="30"/>
        <v>37193</v>
      </c>
      <c r="F1911" s="69">
        <v>1.2011803279990697E-2</v>
      </c>
    </row>
    <row r="1912" spans="1:6" x14ac:dyDescent="0.3">
      <c r="A1912" s="24">
        <v>36790</v>
      </c>
      <c r="B1912" s="66">
        <v>389.56700000000001</v>
      </c>
      <c r="C1912" s="67"/>
      <c r="D1912" s="68">
        <v>0</v>
      </c>
      <c r="E1912" s="110">
        <f t="shared" si="30"/>
        <v>37193</v>
      </c>
      <c r="F1912" s="69">
        <v>1.2011803279990697E-2</v>
      </c>
    </row>
    <row r="1913" spans="1:6" x14ac:dyDescent="0.3">
      <c r="A1913" s="24">
        <v>36791</v>
      </c>
      <c r="B1913" s="66">
        <v>389.56700000000001</v>
      </c>
      <c r="C1913" s="67"/>
      <c r="D1913" s="68">
        <v>0</v>
      </c>
      <c r="E1913" s="110">
        <f t="shared" si="30"/>
        <v>37193</v>
      </c>
      <c r="F1913" s="69">
        <v>1.2011803279990697E-2</v>
      </c>
    </row>
    <row r="1914" spans="1:6" x14ac:dyDescent="0.3">
      <c r="A1914" s="24">
        <v>36792</v>
      </c>
      <c r="B1914" s="66">
        <v>389.56700000000001</v>
      </c>
      <c r="C1914" s="67"/>
      <c r="D1914" s="68">
        <v>0</v>
      </c>
      <c r="E1914" s="110">
        <f t="shared" si="30"/>
        <v>37193</v>
      </c>
      <c r="F1914" s="69">
        <v>1.2011803279990697E-2</v>
      </c>
    </row>
    <row r="1915" spans="1:6" x14ac:dyDescent="0.3">
      <c r="A1915" s="24">
        <v>36793</v>
      </c>
      <c r="B1915" s="66">
        <v>389.56700000000001</v>
      </c>
      <c r="C1915" s="67"/>
      <c r="D1915" s="68">
        <v>0</v>
      </c>
      <c r="E1915" s="110">
        <f t="shared" si="30"/>
        <v>37193</v>
      </c>
      <c r="F1915" s="69">
        <v>1.2011803279990697E-2</v>
      </c>
    </row>
    <row r="1916" spans="1:6" x14ac:dyDescent="0.3">
      <c r="A1916" s="24">
        <v>36794</v>
      </c>
      <c r="B1916" s="66">
        <v>389.56700000000001</v>
      </c>
      <c r="C1916" s="67"/>
      <c r="D1916" s="68">
        <v>0</v>
      </c>
      <c r="E1916" s="110">
        <f t="shared" si="30"/>
        <v>37193</v>
      </c>
      <c r="F1916" s="69">
        <v>1.2011803279990697E-2</v>
      </c>
    </row>
    <row r="1917" spans="1:6" x14ac:dyDescent="0.3">
      <c r="A1917" s="24">
        <v>36795</v>
      </c>
      <c r="B1917" s="66">
        <v>389.56700000000001</v>
      </c>
      <c r="C1917" s="67"/>
      <c r="D1917" s="68">
        <v>0</v>
      </c>
      <c r="E1917" s="110">
        <f t="shared" si="30"/>
        <v>37193</v>
      </c>
      <c r="F1917" s="69">
        <v>1.2011803279990697E-2</v>
      </c>
    </row>
    <row r="1918" spans="1:6" x14ac:dyDescent="0.3">
      <c r="A1918" s="24">
        <v>36796</v>
      </c>
      <c r="B1918" s="66">
        <v>389.56700000000001</v>
      </c>
      <c r="C1918" s="67"/>
      <c r="D1918" s="68">
        <v>0</v>
      </c>
      <c r="E1918" s="110">
        <f t="shared" si="30"/>
        <v>37193</v>
      </c>
      <c r="F1918" s="69">
        <v>1.2011803279990697E-2</v>
      </c>
    </row>
    <row r="1919" spans="1:6" x14ac:dyDescent="0.3">
      <c r="A1919" s="24">
        <v>36797</v>
      </c>
      <c r="B1919" s="66">
        <v>389.56700000000001</v>
      </c>
      <c r="C1919" s="67"/>
      <c r="D1919" s="68">
        <v>0</v>
      </c>
      <c r="E1919" s="110">
        <f t="shared" si="30"/>
        <v>37193</v>
      </c>
      <c r="F1919" s="69">
        <v>1.1853278599295398E-2</v>
      </c>
    </row>
    <row r="1920" spans="1:6" x14ac:dyDescent="0.3">
      <c r="A1920" s="24">
        <v>36798</v>
      </c>
      <c r="B1920" s="66">
        <v>389.56700000000001</v>
      </c>
      <c r="C1920" s="67"/>
      <c r="D1920" s="68">
        <v>0</v>
      </c>
      <c r="E1920" s="110">
        <f t="shared" si="30"/>
        <v>37193</v>
      </c>
      <c r="F1920" s="69">
        <v>1.1853278599295398E-2</v>
      </c>
    </row>
    <row r="1921" spans="1:6" x14ac:dyDescent="0.3">
      <c r="A1921" s="24">
        <v>36799</v>
      </c>
      <c r="B1921" s="66">
        <v>396.47199999999998</v>
      </c>
      <c r="C1921" s="67"/>
      <c r="D1921" s="68">
        <v>0</v>
      </c>
      <c r="E1921" s="110">
        <f t="shared" si="30"/>
        <v>37193</v>
      </c>
      <c r="F1921" s="69">
        <v>1.1853278599295398E-2</v>
      </c>
    </row>
    <row r="1922" spans="1:6" x14ac:dyDescent="0.3">
      <c r="A1922" s="24">
        <v>36800</v>
      </c>
      <c r="B1922" s="66">
        <v>396.47199999999998</v>
      </c>
      <c r="C1922" s="67"/>
      <c r="D1922" s="68">
        <v>0</v>
      </c>
      <c r="E1922" s="110">
        <f t="shared" si="30"/>
        <v>37193</v>
      </c>
      <c r="F1922" s="69">
        <v>1.1853278599295398E-2</v>
      </c>
    </row>
    <row r="1923" spans="1:6" x14ac:dyDescent="0.3">
      <c r="A1923" s="24">
        <v>36801</v>
      </c>
      <c r="B1923" s="66">
        <v>396.47199999999998</v>
      </c>
      <c r="C1923" s="67"/>
      <c r="D1923" s="68">
        <v>0</v>
      </c>
      <c r="E1923" s="110">
        <f t="shared" si="30"/>
        <v>37193</v>
      </c>
      <c r="F1923" s="69">
        <v>1.1853278599295398E-2</v>
      </c>
    </row>
    <row r="1924" spans="1:6" x14ac:dyDescent="0.3">
      <c r="A1924" s="24">
        <v>36802</v>
      </c>
      <c r="B1924" s="66">
        <v>396.47199999999998</v>
      </c>
      <c r="C1924" s="67"/>
      <c r="D1924" s="68">
        <v>0</v>
      </c>
      <c r="E1924" s="110">
        <f t="shared" si="30"/>
        <v>37193</v>
      </c>
      <c r="F1924" s="69">
        <v>1.1853278599295398E-2</v>
      </c>
    </row>
    <row r="1925" spans="1:6" x14ac:dyDescent="0.3">
      <c r="A1925" s="24">
        <v>36803</v>
      </c>
      <c r="B1925" s="66">
        <v>396.47199999999998</v>
      </c>
      <c r="C1925" s="67"/>
      <c r="D1925" s="68">
        <v>0</v>
      </c>
      <c r="E1925" s="110">
        <f t="shared" si="30"/>
        <v>37193</v>
      </c>
      <c r="F1925" s="69">
        <v>1.1853278599295398E-2</v>
      </c>
    </row>
    <row r="1926" spans="1:6" x14ac:dyDescent="0.3">
      <c r="A1926" s="24">
        <v>36804</v>
      </c>
      <c r="B1926" s="66">
        <v>396.47199999999998</v>
      </c>
      <c r="C1926" s="67"/>
      <c r="D1926" s="68">
        <v>0</v>
      </c>
      <c r="E1926" s="110">
        <f t="shared" si="30"/>
        <v>37193</v>
      </c>
      <c r="F1926" s="69">
        <v>1.1853278599295398E-2</v>
      </c>
    </row>
    <row r="1927" spans="1:6" x14ac:dyDescent="0.3">
      <c r="A1927" s="24">
        <v>36805</v>
      </c>
      <c r="B1927" s="66">
        <v>396.47199999999998</v>
      </c>
      <c r="C1927" s="67"/>
      <c r="D1927" s="68">
        <v>0</v>
      </c>
      <c r="E1927" s="110">
        <f t="shared" si="30"/>
        <v>37193</v>
      </c>
      <c r="F1927" s="69">
        <v>1.1853278599295398E-2</v>
      </c>
    </row>
    <row r="1928" spans="1:6" x14ac:dyDescent="0.3">
      <c r="A1928" s="24">
        <v>36806</v>
      </c>
      <c r="B1928" s="66">
        <v>396.47199999999998</v>
      </c>
      <c r="C1928" s="67"/>
      <c r="D1928" s="68">
        <v>0</v>
      </c>
      <c r="E1928" s="110">
        <f t="shared" si="30"/>
        <v>37193</v>
      </c>
      <c r="F1928" s="69">
        <v>1.1853278599295398E-2</v>
      </c>
    </row>
    <row r="1929" spans="1:6" x14ac:dyDescent="0.3">
      <c r="A1929" s="24">
        <v>36807</v>
      </c>
      <c r="B1929" s="66">
        <v>396.47199999999998</v>
      </c>
      <c r="C1929" s="67"/>
      <c r="D1929" s="68">
        <v>0</v>
      </c>
      <c r="E1929" s="110">
        <f t="shared" si="30"/>
        <v>37193</v>
      </c>
      <c r="F1929" s="69">
        <v>1.1853278599295398E-2</v>
      </c>
    </row>
    <row r="1930" spans="1:6" x14ac:dyDescent="0.3">
      <c r="A1930" s="24">
        <v>36808</v>
      </c>
      <c r="B1930" s="66">
        <v>396.47199999999998</v>
      </c>
      <c r="C1930" s="67"/>
      <c r="D1930" s="68">
        <v>0</v>
      </c>
      <c r="E1930" s="110">
        <f t="shared" si="30"/>
        <v>37193</v>
      </c>
      <c r="F1930" s="69">
        <v>1.1853278599295398E-2</v>
      </c>
    </row>
    <row r="1931" spans="1:6" x14ac:dyDescent="0.3">
      <c r="A1931" s="24">
        <v>36809</v>
      </c>
      <c r="B1931" s="66">
        <v>396.47199999999998</v>
      </c>
      <c r="C1931" s="67"/>
      <c r="D1931" s="68">
        <v>0</v>
      </c>
      <c r="E1931" s="110">
        <f t="shared" si="30"/>
        <v>37193</v>
      </c>
      <c r="F1931" s="69">
        <v>1.1853278599295398E-2</v>
      </c>
    </row>
    <row r="1932" spans="1:6" x14ac:dyDescent="0.3">
      <c r="A1932" s="24">
        <v>36810</v>
      </c>
      <c r="B1932" s="66">
        <v>396.47199999999998</v>
      </c>
      <c r="C1932" s="67"/>
      <c r="D1932" s="68">
        <v>0</v>
      </c>
      <c r="E1932" s="110">
        <f t="shared" si="30"/>
        <v>37193</v>
      </c>
      <c r="F1932" s="69">
        <v>1.1853278599295398E-2</v>
      </c>
    </row>
    <row r="1933" spans="1:6" x14ac:dyDescent="0.3">
      <c r="A1933" s="24">
        <v>36811</v>
      </c>
      <c r="B1933" s="66">
        <v>396.47199999999998</v>
      </c>
      <c r="C1933" s="67"/>
      <c r="D1933" s="68">
        <v>0</v>
      </c>
      <c r="E1933" s="110">
        <f t="shared" si="30"/>
        <v>37193</v>
      </c>
      <c r="F1933" s="69">
        <v>1.1853278599295398E-2</v>
      </c>
    </row>
    <row r="1934" spans="1:6" x14ac:dyDescent="0.3">
      <c r="A1934" s="24">
        <v>36812</v>
      </c>
      <c r="B1934" s="66">
        <v>396.47199999999998</v>
      </c>
      <c r="C1934" s="67"/>
      <c r="D1934" s="68">
        <v>0</v>
      </c>
      <c r="E1934" s="110">
        <f t="shared" si="30"/>
        <v>37193</v>
      </c>
      <c r="F1934" s="69">
        <v>1.1853278599295398E-2</v>
      </c>
    </row>
    <row r="1935" spans="1:6" x14ac:dyDescent="0.3">
      <c r="A1935" s="24">
        <v>36813</v>
      </c>
      <c r="B1935" s="66">
        <v>396.47199999999998</v>
      </c>
      <c r="C1935" s="67"/>
      <c r="D1935" s="68">
        <v>0</v>
      </c>
      <c r="E1935" s="110">
        <f t="shared" si="30"/>
        <v>37193</v>
      </c>
      <c r="F1935" s="69">
        <v>1.1853278599295398E-2</v>
      </c>
    </row>
    <row r="1936" spans="1:6" x14ac:dyDescent="0.3">
      <c r="A1936" s="24">
        <v>36814</v>
      </c>
      <c r="B1936" s="66">
        <v>396.47199999999998</v>
      </c>
      <c r="C1936" s="67"/>
      <c r="D1936" s="68">
        <v>0</v>
      </c>
      <c r="E1936" s="110">
        <f t="shared" si="30"/>
        <v>37193</v>
      </c>
      <c r="F1936" s="69">
        <v>1.1853278599295398E-2</v>
      </c>
    </row>
    <row r="1937" spans="1:6" x14ac:dyDescent="0.3">
      <c r="A1937" s="24">
        <v>36815</v>
      </c>
      <c r="B1937" s="66">
        <v>396.47199999999998</v>
      </c>
      <c r="C1937" s="67"/>
      <c r="D1937" s="68">
        <v>0</v>
      </c>
      <c r="E1937" s="110">
        <f t="shared" si="30"/>
        <v>37193</v>
      </c>
      <c r="F1937" s="69">
        <v>1.1853278599295398E-2</v>
      </c>
    </row>
    <row r="1938" spans="1:6" x14ac:dyDescent="0.3">
      <c r="A1938" s="24">
        <v>36816</v>
      </c>
      <c r="B1938" s="66">
        <v>396.47199999999998</v>
      </c>
      <c r="C1938" s="67"/>
      <c r="D1938" s="68">
        <v>0</v>
      </c>
      <c r="E1938" s="110">
        <f t="shared" ref="E1938:E2001" si="31">+E1937</f>
        <v>37193</v>
      </c>
      <c r="F1938" s="69">
        <v>1.1853278599295398E-2</v>
      </c>
    </row>
    <row r="1939" spans="1:6" x14ac:dyDescent="0.3">
      <c r="A1939" s="24">
        <v>36817</v>
      </c>
      <c r="B1939" s="66">
        <v>396.47199999999998</v>
      </c>
      <c r="C1939" s="67"/>
      <c r="D1939" s="68">
        <v>0</v>
      </c>
      <c r="E1939" s="110">
        <f t="shared" si="31"/>
        <v>37193</v>
      </c>
      <c r="F1939" s="69">
        <v>1.1853278599295398E-2</v>
      </c>
    </row>
    <row r="1940" spans="1:6" x14ac:dyDescent="0.3">
      <c r="A1940" s="24">
        <v>36818</v>
      </c>
      <c r="B1940" s="66">
        <v>396.47199999999998</v>
      </c>
      <c r="C1940" s="67"/>
      <c r="D1940" s="68">
        <v>0</v>
      </c>
      <c r="E1940" s="110">
        <f t="shared" si="31"/>
        <v>37193</v>
      </c>
      <c r="F1940" s="69">
        <v>1.1853278599295398E-2</v>
      </c>
    </row>
    <row r="1941" spans="1:6" x14ac:dyDescent="0.3">
      <c r="A1941" s="24">
        <v>36819</v>
      </c>
      <c r="B1941" s="66">
        <v>396.47199999999998</v>
      </c>
      <c r="C1941" s="67"/>
      <c r="D1941" s="68">
        <v>0</v>
      </c>
      <c r="E1941" s="110">
        <f t="shared" si="31"/>
        <v>37193</v>
      </c>
      <c r="F1941" s="69">
        <v>1.1853278599295398E-2</v>
      </c>
    </row>
    <row r="1942" spans="1:6" x14ac:dyDescent="0.3">
      <c r="A1942" s="24">
        <v>36820</v>
      </c>
      <c r="B1942" s="66">
        <v>396.47199999999998</v>
      </c>
      <c r="C1942" s="67"/>
      <c r="D1942" s="68">
        <v>0</v>
      </c>
      <c r="E1942" s="110">
        <f t="shared" si="31"/>
        <v>37193</v>
      </c>
      <c r="F1942" s="69">
        <v>1.1853278599295398E-2</v>
      </c>
    </row>
    <row r="1943" spans="1:6" x14ac:dyDescent="0.3">
      <c r="A1943" s="24">
        <v>36821</v>
      </c>
      <c r="B1943" s="66">
        <v>396.47199999999998</v>
      </c>
      <c r="C1943" s="67"/>
      <c r="D1943" s="68">
        <v>0</v>
      </c>
      <c r="E1943" s="110">
        <f t="shared" si="31"/>
        <v>37193</v>
      </c>
      <c r="F1943" s="69">
        <v>1.1853278599295398E-2</v>
      </c>
    </row>
    <row r="1944" spans="1:6" x14ac:dyDescent="0.3">
      <c r="A1944" s="24">
        <v>36822</v>
      </c>
      <c r="B1944" s="66">
        <v>396.47199999999998</v>
      </c>
      <c r="C1944" s="67"/>
      <c r="D1944" s="68">
        <v>0</v>
      </c>
      <c r="E1944" s="110">
        <f t="shared" si="31"/>
        <v>37193</v>
      </c>
      <c r="F1944" s="69">
        <v>1.1853278599295398E-2</v>
      </c>
    </row>
    <row r="1945" spans="1:6" x14ac:dyDescent="0.3">
      <c r="A1945" s="24">
        <v>36823</v>
      </c>
      <c r="B1945" s="66">
        <v>396.47199999999998</v>
      </c>
      <c r="C1945" s="67"/>
      <c r="D1945" s="68">
        <v>0</v>
      </c>
      <c r="E1945" s="110">
        <f t="shared" si="31"/>
        <v>37193</v>
      </c>
      <c r="F1945" s="69">
        <v>1.1853278599295398E-2</v>
      </c>
    </row>
    <row r="1946" spans="1:6" x14ac:dyDescent="0.3">
      <c r="A1946" s="24">
        <v>36824</v>
      </c>
      <c r="B1946" s="66">
        <v>396.47199999999998</v>
      </c>
      <c r="C1946" s="67"/>
      <c r="D1946" s="68">
        <v>0</v>
      </c>
      <c r="E1946" s="110">
        <f t="shared" si="31"/>
        <v>37193</v>
      </c>
      <c r="F1946" s="69">
        <v>1.1853278599295398E-2</v>
      </c>
    </row>
    <row r="1947" spans="1:6" x14ac:dyDescent="0.3">
      <c r="A1947" s="24">
        <v>36825</v>
      </c>
      <c r="B1947" s="66">
        <v>396.47199999999998</v>
      </c>
      <c r="C1947" s="67"/>
      <c r="D1947" s="68">
        <v>0</v>
      </c>
      <c r="E1947" s="110">
        <f t="shared" si="31"/>
        <v>37193</v>
      </c>
      <c r="F1947" s="69">
        <v>1.1853278599295398E-2</v>
      </c>
    </row>
    <row r="1948" spans="1:6" x14ac:dyDescent="0.3">
      <c r="A1948" s="24">
        <v>36826</v>
      </c>
      <c r="B1948" s="66">
        <v>396.47199999999998</v>
      </c>
      <c r="C1948" s="67"/>
      <c r="D1948" s="68">
        <v>0</v>
      </c>
      <c r="E1948" s="110">
        <f t="shared" si="31"/>
        <v>37193</v>
      </c>
      <c r="F1948" s="69">
        <v>1.1853278599295398E-2</v>
      </c>
    </row>
    <row r="1949" spans="1:6" x14ac:dyDescent="0.3">
      <c r="A1949" s="24">
        <v>36827</v>
      </c>
      <c r="B1949" s="66">
        <v>396.47199999999998</v>
      </c>
      <c r="C1949" s="67"/>
      <c r="D1949" s="68">
        <v>0</v>
      </c>
      <c r="E1949" s="110">
        <f t="shared" si="31"/>
        <v>37193</v>
      </c>
      <c r="F1949" s="69">
        <v>1.1853278599295398E-2</v>
      </c>
    </row>
    <row r="1950" spans="1:6" x14ac:dyDescent="0.3">
      <c r="A1950" s="24">
        <v>36828</v>
      </c>
      <c r="B1950" s="66">
        <v>396.47199999999998</v>
      </c>
      <c r="C1950" s="67"/>
      <c r="D1950" s="68">
        <v>0</v>
      </c>
      <c r="E1950" s="110">
        <f t="shared" si="31"/>
        <v>37193</v>
      </c>
      <c r="F1950" s="69">
        <v>1.1853278599295398E-2</v>
      </c>
    </row>
    <row r="1951" spans="1:6" x14ac:dyDescent="0.3">
      <c r="A1951" s="24">
        <v>36829</v>
      </c>
      <c r="B1951" s="66">
        <v>396.47199999999998</v>
      </c>
      <c r="C1951" s="67"/>
      <c r="D1951" s="68">
        <v>0</v>
      </c>
      <c r="E1951" s="110">
        <f t="shared" si="31"/>
        <v>37193</v>
      </c>
      <c r="F1951" s="69">
        <v>1.1853278599295398E-2</v>
      </c>
    </row>
    <row r="1952" spans="1:6" x14ac:dyDescent="0.3">
      <c r="A1952" s="24">
        <v>36830</v>
      </c>
      <c r="B1952" s="66">
        <v>396.47199999999998</v>
      </c>
      <c r="C1952" s="67"/>
      <c r="D1952" s="68">
        <v>0</v>
      </c>
      <c r="E1952" s="110">
        <f t="shared" si="31"/>
        <v>37193</v>
      </c>
      <c r="F1952" s="69">
        <v>1.1853278599295398E-2</v>
      </c>
    </row>
    <row r="1953" spans="1:6" x14ac:dyDescent="0.3">
      <c r="A1953" s="24">
        <v>36831</v>
      </c>
      <c r="B1953" s="66">
        <v>396.47199999999998</v>
      </c>
      <c r="C1953" s="67"/>
      <c r="D1953" s="68">
        <v>0</v>
      </c>
      <c r="E1953" s="110">
        <f t="shared" si="31"/>
        <v>37193</v>
      </c>
      <c r="F1953" s="69">
        <v>1.1853278599295398E-2</v>
      </c>
    </row>
    <row r="1954" spans="1:6" x14ac:dyDescent="0.3">
      <c r="A1954" s="24">
        <v>36832</v>
      </c>
      <c r="B1954" s="66">
        <v>396.47199999999998</v>
      </c>
      <c r="C1954" s="67"/>
      <c r="D1954" s="68">
        <v>0</v>
      </c>
      <c r="E1954" s="110">
        <f t="shared" si="31"/>
        <v>37193</v>
      </c>
      <c r="F1954" s="69">
        <v>1.1853278599295398E-2</v>
      </c>
    </row>
    <row r="1955" spans="1:6" x14ac:dyDescent="0.3">
      <c r="A1955" s="24">
        <v>36833</v>
      </c>
      <c r="B1955" s="66">
        <v>396.47199999999998</v>
      </c>
      <c r="C1955" s="67"/>
      <c r="D1955" s="68">
        <v>0</v>
      </c>
      <c r="E1955" s="110">
        <f t="shared" si="31"/>
        <v>37193</v>
      </c>
      <c r="F1955" s="69">
        <v>1.1853278599295398E-2</v>
      </c>
    </row>
    <row r="1956" spans="1:6" x14ac:dyDescent="0.3">
      <c r="A1956" s="24">
        <v>36834</v>
      </c>
      <c r="B1956" s="66">
        <v>396.47199999999998</v>
      </c>
      <c r="C1956" s="67"/>
      <c r="D1956" s="68">
        <v>0</v>
      </c>
      <c r="E1956" s="110">
        <f t="shared" si="31"/>
        <v>37193</v>
      </c>
      <c r="F1956" s="69">
        <v>1.1853278599295398E-2</v>
      </c>
    </row>
    <row r="1957" spans="1:6" x14ac:dyDescent="0.3">
      <c r="A1957" s="24">
        <v>36835</v>
      </c>
      <c r="B1957" s="66">
        <v>396.47199999999998</v>
      </c>
      <c r="C1957" s="67"/>
      <c r="D1957" s="68">
        <v>0</v>
      </c>
      <c r="E1957" s="110">
        <f t="shared" si="31"/>
        <v>37193</v>
      </c>
      <c r="F1957" s="69">
        <v>1.1853278599295398E-2</v>
      </c>
    </row>
    <row r="1958" spans="1:6" x14ac:dyDescent="0.3">
      <c r="A1958" s="24">
        <v>36836</v>
      </c>
      <c r="B1958" s="66">
        <v>396.47199999999998</v>
      </c>
      <c r="C1958" s="67"/>
      <c r="D1958" s="68">
        <v>0</v>
      </c>
      <c r="E1958" s="110">
        <f t="shared" si="31"/>
        <v>37193</v>
      </c>
      <c r="F1958" s="69">
        <v>1.1853278599295398E-2</v>
      </c>
    </row>
    <row r="1959" spans="1:6" x14ac:dyDescent="0.3">
      <c r="A1959" s="24">
        <v>36837</v>
      </c>
      <c r="B1959" s="66">
        <v>396.47199999999998</v>
      </c>
      <c r="C1959" s="67"/>
      <c r="D1959" s="68">
        <v>0</v>
      </c>
      <c r="E1959" s="110">
        <f t="shared" si="31"/>
        <v>37193</v>
      </c>
      <c r="F1959" s="69">
        <v>1.1853278599295398E-2</v>
      </c>
    </row>
    <row r="1960" spans="1:6" x14ac:dyDescent="0.3">
      <c r="A1960" s="24">
        <v>36838</v>
      </c>
      <c r="B1960" s="66">
        <v>396.47199999999998</v>
      </c>
      <c r="C1960" s="67"/>
      <c r="D1960" s="68">
        <v>0</v>
      </c>
      <c r="E1960" s="110">
        <f t="shared" si="31"/>
        <v>37193</v>
      </c>
      <c r="F1960" s="69">
        <v>1.1853278599295398E-2</v>
      </c>
    </row>
    <row r="1961" spans="1:6" x14ac:dyDescent="0.3">
      <c r="A1961" s="24">
        <v>36839</v>
      </c>
      <c r="B1961" s="66">
        <v>396.47199999999998</v>
      </c>
      <c r="C1961" s="67"/>
      <c r="D1961" s="68">
        <v>0</v>
      </c>
      <c r="E1961" s="110">
        <f t="shared" si="31"/>
        <v>37193</v>
      </c>
      <c r="F1961" s="69">
        <v>1.1853278599295398E-2</v>
      </c>
    </row>
    <row r="1962" spans="1:6" x14ac:dyDescent="0.3">
      <c r="A1962" s="24">
        <v>36840</v>
      </c>
      <c r="B1962" s="66">
        <v>396.47199999999998</v>
      </c>
      <c r="C1962" s="67"/>
      <c r="D1962" s="68">
        <v>0</v>
      </c>
      <c r="E1962" s="110">
        <f t="shared" si="31"/>
        <v>37193</v>
      </c>
      <c r="F1962" s="69">
        <v>1.1853278599295398E-2</v>
      </c>
    </row>
    <row r="1963" spans="1:6" x14ac:dyDescent="0.3">
      <c r="A1963" s="24">
        <v>36841</v>
      </c>
      <c r="B1963" s="66">
        <v>396.47199999999998</v>
      </c>
      <c r="C1963" s="67"/>
      <c r="D1963" s="68">
        <v>0</v>
      </c>
      <c r="E1963" s="110">
        <f t="shared" si="31"/>
        <v>37193</v>
      </c>
      <c r="F1963" s="69">
        <v>1.1853278599295398E-2</v>
      </c>
    </row>
    <row r="1964" spans="1:6" x14ac:dyDescent="0.3">
      <c r="A1964" s="24">
        <v>36842</v>
      </c>
      <c r="B1964" s="66">
        <v>396.47199999999998</v>
      </c>
      <c r="C1964" s="67"/>
      <c r="D1964" s="68">
        <v>0</v>
      </c>
      <c r="E1964" s="110">
        <f t="shared" si="31"/>
        <v>37193</v>
      </c>
      <c r="F1964" s="69">
        <v>1.1853278599295398E-2</v>
      </c>
    </row>
    <row r="1965" spans="1:6" x14ac:dyDescent="0.3">
      <c r="A1965" s="24">
        <v>36843</v>
      </c>
      <c r="B1965" s="66">
        <v>396.47199999999998</v>
      </c>
      <c r="C1965" s="67"/>
      <c r="D1965" s="68">
        <v>0</v>
      </c>
      <c r="E1965" s="110">
        <f t="shared" si="31"/>
        <v>37193</v>
      </c>
      <c r="F1965" s="69">
        <v>1.1853278599295398E-2</v>
      </c>
    </row>
    <row r="1966" spans="1:6" x14ac:dyDescent="0.3">
      <c r="A1966" s="24">
        <v>36844</v>
      </c>
      <c r="B1966" s="66">
        <v>396.47199999999998</v>
      </c>
      <c r="C1966" s="67"/>
      <c r="D1966" s="68">
        <v>0</v>
      </c>
      <c r="E1966" s="110">
        <f t="shared" si="31"/>
        <v>37193</v>
      </c>
      <c r="F1966" s="69">
        <v>1.1853278599295398E-2</v>
      </c>
    </row>
    <row r="1967" spans="1:6" x14ac:dyDescent="0.3">
      <c r="A1967" s="24">
        <v>36845</v>
      </c>
      <c r="B1967" s="66">
        <v>396.47199999999998</v>
      </c>
      <c r="C1967" s="67"/>
      <c r="D1967" s="68">
        <v>0</v>
      </c>
      <c r="E1967" s="110">
        <f t="shared" si="31"/>
        <v>37193</v>
      </c>
      <c r="F1967" s="69">
        <v>1.1853278599295398E-2</v>
      </c>
    </row>
    <row r="1968" spans="1:6" x14ac:dyDescent="0.3">
      <c r="A1968" s="24">
        <v>36846</v>
      </c>
      <c r="B1968" s="66">
        <v>396.47199999999998</v>
      </c>
      <c r="C1968" s="67"/>
      <c r="D1968" s="68">
        <v>0</v>
      </c>
      <c r="E1968" s="110">
        <f t="shared" si="31"/>
        <v>37193</v>
      </c>
      <c r="F1968" s="69">
        <v>1.1853278599295398E-2</v>
      </c>
    </row>
    <row r="1969" spans="1:6" x14ac:dyDescent="0.3">
      <c r="A1969" s="24">
        <v>36847</v>
      </c>
      <c r="B1969" s="66">
        <v>396.47199999999998</v>
      </c>
      <c r="C1969" s="67"/>
      <c r="D1969" s="68">
        <v>0</v>
      </c>
      <c r="E1969" s="110">
        <f t="shared" si="31"/>
        <v>37193</v>
      </c>
      <c r="F1969" s="69">
        <v>1.1853278599295398E-2</v>
      </c>
    </row>
    <row r="1970" spans="1:6" x14ac:dyDescent="0.3">
      <c r="A1970" s="24">
        <v>36848</v>
      </c>
      <c r="B1970" s="66">
        <v>396.47199999999998</v>
      </c>
      <c r="C1970" s="67"/>
      <c r="D1970" s="68">
        <v>0</v>
      </c>
      <c r="E1970" s="110">
        <f t="shared" si="31"/>
        <v>37193</v>
      </c>
      <c r="F1970" s="69">
        <v>1.1853278599295398E-2</v>
      </c>
    </row>
    <row r="1971" spans="1:6" x14ac:dyDescent="0.3">
      <c r="A1971" s="24">
        <v>36849</v>
      </c>
      <c r="B1971" s="66">
        <v>396.47199999999998</v>
      </c>
      <c r="C1971" s="67"/>
      <c r="D1971" s="68">
        <v>0</v>
      </c>
      <c r="E1971" s="110">
        <f t="shared" si="31"/>
        <v>37193</v>
      </c>
      <c r="F1971" s="69">
        <v>1.1853278599295398E-2</v>
      </c>
    </row>
    <row r="1972" spans="1:6" x14ac:dyDescent="0.3">
      <c r="A1972" s="24">
        <v>36850</v>
      </c>
      <c r="B1972" s="66">
        <v>396.47199999999998</v>
      </c>
      <c r="C1972" s="67"/>
      <c r="D1972" s="68">
        <v>0</v>
      </c>
      <c r="E1972" s="110">
        <f t="shared" si="31"/>
        <v>37193</v>
      </c>
      <c r="F1972" s="69">
        <v>1.1853278599295398E-2</v>
      </c>
    </row>
    <row r="1973" spans="1:6" x14ac:dyDescent="0.3">
      <c r="A1973" s="24">
        <v>36851</v>
      </c>
      <c r="B1973" s="66">
        <v>396.47199999999998</v>
      </c>
      <c r="C1973" s="67"/>
      <c r="D1973" s="68">
        <v>0</v>
      </c>
      <c r="E1973" s="110">
        <f t="shared" si="31"/>
        <v>37193</v>
      </c>
      <c r="F1973" s="69">
        <v>1.1853278599295398E-2</v>
      </c>
    </row>
    <row r="1974" spans="1:6" x14ac:dyDescent="0.3">
      <c r="A1974" s="24">
        <v>36852</v>
      </c>
      <c r="B1974" s="66">
        <v>396.47199999999998</v>
      </c>
      <c r="C1974" s="67"/>
      <c r="D1974" s="68">
        <v>0</v>
      </c>
      <c r="E1974" s="110">
        <f t="shared" si="31"/>
        <v>37193</v>
      </c>
      <c r="F1974" s="69">
        <v>1.1853278599295398E-2</v>
      </c>
    </row>
    <row r="1975" spans="1:6" x14ac:dyDescent="0.3">
      <c r="A1975" s="24">
        <v>36853</v>
      </c>
      <c r="B1975" s="66">
        <v>396.47199999999998</v>
      </c>
      <c r="C1975" s="67"/>
      <c r="D1975" s="68">
        <v>0</v>
      </c>
      <c r="E1975" s="110">
        <f t="shared" si="31"/>
        <v>37193</v>
      </c>
      <c r="F1975" s="69">
        <v>1.1853278599295398E-2</v>
      </c>
    </row>
    <row r="1976" spans="1:6" x14ac:dyDescent="0.3">
      <c r="A1976" s="24">
        <v>36854</v>
      </c>
      <c r="B1976" s="66">
        <v>396.47199999999998</v>
      </c>
      <c r="C1976" s="67"/>
      <c r="D1976" s="68">
        <v>0</v>
      </c>
      <c r="E1976" s="110">
        <f t="shared" si="31"/>
        <v>37193</v>
      </c>
      <c r="F1976" s="69">
        <v>1.1853278599295398E-2</v>
      </c>
    </row>
    <row r="1977" spans="1:6" x14ac:dyDescent="0.3">
      <c r="A1977" s="24">
        <v>36855</v>
      </c>
      <c r="B1977" s="66">
        <v>396.47199999999998</v>
      </c>
      <c r="C1977" s="67"/>
      <c r="D1977" s="68">
        <v>0</v>
      </c>
      <c r="E1977" s="110">
        <f t="shared" si="31"/>
        <v>37193</v>
      </c>
      <c r="F1977" s="69">
        <v>1.1853278599295398E-2</v>
      </c>
    </row>
    <row r="1978" spans="1:6" x14ac:dyDescent="0.3">
      <c r="A1978" s="24">
        <v>36856</v>
      </c>
      <c r="B1978" s="66">
        <v>396.47199999999998</v>
      </c>
      <c r="C1978" s="67"/>
      <c r="D1978" s="68">
        <v>0</v>
      </c>
      <c r="E1978" s="110">
        <f t="shared" si="31"/>
        <v>37193</v>
      </c>
      <c r="F1978" s="69">
        <v>1.1853278599295398E-2</v>
      </c>
    </row>
    <row r="1979" spans="1:6" x14ac:dyDescent="0.3">
      <c r="A1979" s="24">
        <v>36857</v>
      </c>
      <c r="B1979" s="66">
        <v>396.47199999999998</v>
      </c>
      <c r="C1979" s="67"/>
      <c r="D1979" s="68">
        <v>0</v>
      </c>
      <c r="E1979" s="110">
        <f t="shared" si="31"/>
        <v>37193</v>
      </c>
      <c r="F1979" s="69">
        <v>1.1853278599295398E-2</v>
      </c>
    </row>
    <row r="1980" spans="1:6" x14ac:dyDescent="0.3">
      <c r="A1980" s="24">
        <v>36858</v>
      </c>
      <c r="B1980" s="66">
        <v>396.47199999999998</v>
      </c>
      <c r="C1980" s="67"/>
      <c r="D1980" s="68">
        <v>0</v>
      </c>
      <c r="E1980" s="110">
        <f t="shared" si="31"/>
        <v>37193</v>
      </c>
      <c r="F1980" s="69">
        <v>1.1853278599295398E-2</v>
      </c>
    </row>
    <row r="1981" spans="1:6" x14ac:dyDescent="0.3">
      <c r="A1981" s="24">
        <v>36859</v>
      </c>
      <c r="B1981" s="66">
        <v>396.47199999999998</v>
      </c>
      <c r="C1981" s="67"/>
      <c r="D1981" s="68">
        <v>0</v>
      </c>
      <c r="E1981" s="110">
        <f t="shared" si="31"/>
        <v>37193</v>
      </c>
      <c r="F1981" s="69">
        <v>1.1853278599295398E-2</v>
      </c>
    </row>
    <row r="1982" spans="1:6" x14ac:dyDescent="0.3">
      <c r="A1982" s="24">
        <v>36860</v>
      </c>
      <c r="B1982" s="66">
        <v>396.47199999999998</v>
      </c>
      <c r="C1982" s="67"/>
      <c r="D1982" s="68">
        <v>0</v>
      </c>
      <c r="E1982" s="110">
        <f t="shared" si="31"/>
        <v>37193</v>
      </c>
      <c r="F1982" s="69">
        <v>1.1853278599295398E-2</v>
      </c>
    </row>
    <row r="1983" spans="1:6" x14ac:dyDescent="0.3">
      <c r="A1983" s="24">
        <v>36861</v>
      </c>
      <c r="B1983" s="66">
        <v>396.47199999999998</v>
      </c>
      <c r="C1983" s="67"/>
      <c r="D1983" s="68">
        <v>0</v>
      </c>
      <c r="E1983" s="110">
        <f t="shared" si="31"/>
        <v>37193</v>
      </c>
      <c r="F1983" s="69">
        <v>1.1853278599295398E-2</v>
      </c>
    </row>
    <row r="1984" spans="1:6" x14ac:dyDescent="0.3">
      <c r="A1984" s="24">
        <v>36862</v>
      </c>
      <c r="B1984" s="66">
        <v>396.47199999999998</v>
      </c>
      <c r="C1984" s="67"/>
      <c r="D1984" s="68">
        <v>0</v>
      </c>
      <c r="E1984" s="110">
        <f t="shared" si="31"/>
        <v>37193</v>
      </c>
      <c r="F1984" s="69">
        <v>1.1853278599295398E-2</v>
      </c>
    </row>
    <row r="1985" spans="1:6" x14ac:dyDescent="0.3">
      <c r="A1985" s="24">
        <v>36863</v>
      </c>
      <c r="B1985" s="66">
        <v>396.47199999999998</v>
      </c>
      <c r="C1985" s="67"/>
      <c r="D1985" s="68">
        <v>0</v>
      </c>
      <c r="E1985" s="110">
        <f t="shared" si="31"/>
        <v>37193</v>
      </c>
      <c r="F1985" s="69">
        <v>1.1853278599295398E-2</v>
      </c>
    </row>
    <row r="1986" spans="1:6" x14ac:dyDescent="0.3">
      <c r="A1986" s="24">
        <v>36864</v>
      </c>
      <c r="B1986" s="66">
        <v>396.47199999999998</v>
      </c>
      <c r="C1986" s="67"/>
      <c r="D1986" s="68">
        <v>0</v>
      </c>
      <c r="E1986" s="110">
        <f t="shared" si="31"/>
        <v>37193</v>
      </c>
      <c r="F1986" s="69">
        <v>1.1853278599295398E-2</v>
      </c>
    </row>
    <row r="1987" spans="1:6" x14ac:dyDescent="0.3">
      <c r="A1987" s="24">
        <v>36865</v>
      </c>
      <c r="B1987" s="66">
        <v>396.47199999999998</v>
      </c>
      <c r="C1987" s="67"/>
      <c r="D1987" s="68">
        <v>0</v>
      </c>
      <c r="E1987" s="110">
        <f t="shared" si="31"/>
        <v>37193</v>
      </c>
      <c r="F1987" s="69">
        <v>1.1853278599295398E-2</v>
      </c>
    </row>
    <row r="1988" spans="1:6" x14ac:dyDescent="0.3">
      <c r="A1988" s="24">
        <v>36866</v>
      </c>
      <c r="B1988" s="66">
        <v>396.47199999999998</v>
      </c>
      <c r="C1988" s="67"/>
      <c r="D1988" s="68">
        <v>0</v>
      </c>
      <c r="E1988" s="110">
        <f t="shared" si="31"/>
        <v>37193</v>
      </c>
      <c r="F1988" s="69">
        <v>1.1853278599295398E-2</v>
      </c>
    </row>
    <row r="1989" spans="1:6" x14ac:dyDescent="0.3">
      <c r="A1989" s="24">
        <v>36867</v>
      </c>
      <c r="B1989" s="66">
        <v>396.47199999999998</v>
      </c>
      <c r="C1989" s="67"/>
      <c r="D1989" s="68">
        <v>0</v>
      </c>
      <c r="E1989" s="110">
        <f t="shared" si="31"/>
        <v>37193</v>
      </c>
      <c r="F1989" s="69">
        <v>1.1853278599295398E-2</v>
      </c>
    </row>
    <row r="1990" spans="1:6" x14ac:dyDescent="0.3">
      <c r="A1990" s="24">
        <v>36868</v>
      </c>
      <c r="B1990" s="66">
        <v>396.47199999999998</v>
      </c>
      <c r="C1990" s="67"/>
      <c r="D1990" s="68">
        <v>0</v>
      </c>
      <c r="E1990" s="110">
        <f t="shared" si="31"/>
        <v>37193</v>
      </c>
      <c r="F1990" s="69">
        <v>1.1853278599295398E-2</v>
      </c>
    </row>
    <row r="1991" spans="1:6" x14ac:dyDescent="0.3">
      <c r="A1991" s="24">
        <v>36869</v>
      </c>
      <c r="B1991" s="66">
        <v>396.47199999999998</v>
      </c>
      <c r="C1991" s="67"/>
      <c r="D1991" s="68">
        <v>0</v>
      </c>
      <c r="E1991" s="110">
        <f t="shared" si="31"/>
        <v>37193</v>
      </c>
      <c r="F1991" s="69">
        <v>1.1853278599295398E-2</v>
      </c>
    </row>
    <row r="1992" spans="1:6" x14ac:dyDescent="0.3">
      <c r="A1992" s="24">
        <v>36870</v>
      </c>
      <c r="B1992" s="66">
        <v>396.47199999999998</v>
      </c>
      <c r="C1992" s="67"/>
      <c r="D1992" s="68">
        <v>0</v>
      </c>
      <c r="E1992" s="110">
        <f t="shared" si="31"/>
        <v>37193</v>
      </c>
      <c r="F1992" s="69">
        <v>1.1853278599295398E-2</v>
      </c>
    </row>
    <row r="1993" spans="1:6" x14ac:dyDescent="0.3">
      <c r="A1993" s="24">
        <v>36871</v>
      </c>
      <c r="B1993" s="66">
        <v>396.47199999999998</v>
      </c>
      <c r="C1993" s="67"/>
      <c r="D1993" s="68">
        <v>0</v>
      </c>
      <c r="E1993" s="110">
        <f t="shared" si="31"/>
        <v>37193</v>
      </c>
      <c r="F1993" s="69">
        <v>1.1853278599295398E-2</v>
      </c>
    </row>
    <row r="1994" spans="1:6" x14ac:dyDescent="0.3">
      <c r="A1994" s="24">
        <v>36872</v>
      </c>
      <c r="B1994" s="66">
        <v>396.47199999999998</v>
      </c>
      <c r="C1994" s="67"/>
      <c r="D1994" s="68">
        <v>0</v>
      </c>
      <c r="E1994" s="110">
        <f t="shared" si="31"/>
        <v>37193</v>
      </c>
      <c r="F1994" s="69">
        <v>1.1853278599295398E-2</v>
      </c>
    </row>
    <row r="1995" spans="1:6" x14ac:dyDescent="0.3">
      <c r="A1995" s="24">
        <v>36873</v>
      </c>
      <c r="B1995" s="66">
        <v>396.47199999999998</v>
      </c>
      <c r="C1995" s="67"/>
      <c r="D1995" s="68">
        <v>0</v>
      </c>
      <c r="E1995" s="110">
        <f t="shared" si="31"/>
        <v>37193</v>
      </c>
      <c r="F1995" s="69">
        <v>1.1853278599295398E-2</v>
      </c>
    </row>
    <row r="1996" spans="1:6" x14ac:dyDescent="0.3">
      <c r="A1996" s="24">
        <v>36874</v>
      </c>
      <c r="B1996" s="66">
        <v>396.47199999999998</v>
      </c>
      <c r="C1996" s="67"/>
      <c r="D1996" s="68">
        <v>0</v>
      </c>
      <c r="E1996" s="110">
        <f t="shared" si="31"/>
        <v>37193</v>
      </c>
      <c r="F1996" s="69">
        <v>1.1853278599295398E-2</v>
      </c>
    </row>
    <row r="1997" spans="1:6" x14ac:dyDescent="0.3">
      <c r="A1997" s="24">
        <v>36875</v>
      </c>
      <c r="B1997" s="66">
        <v>396.47199999999998</v>
      </c>
      <c r="C1997" s="67"/>
      <c r="D1997" s="68">
        <v>0</v>
      </c>
      <c r="E1997" s="110">
        <f t="shared" si="31"/>
        <v>37193</v>
      </c>
      <c r="F1997" s="69">
        <v>1.1853278599295398E-2</v>
      </c>
    </row>
    <row r="1998" spans="1:6" x14ac:dyDescent="0.3">
      <c r="A1998" s="24">
        <v>36876</v>
      </c>
      <c r="B1998" s="66">
        <v>396.47199999999998</v>
      </c>
      <c r="C1998" s="67"/>
      <c r="D1998" s="68">
        <v>0</v>
      </c>
      <c r="E1998" s="110">
        <f t="shared" si="31"/>
        <v>37193</v>
      </c>
      <c r="F1998" s="69">
        <v>1.1853278599295398E-2</v>
      </c>
    </row>
    <row r="1999" spans="1:6" x14ac:dyDescent="0.3">
      <c r="A1999" s="24">
        <v>36877</v>
      </c>
      <c r="B1999" s="66">
        <v>396.47199999999998</v>
      </c>
      <c r="C1999" s="67"/>
      <c r="D1999" s="68">
        <v>0</v>
      </c>
      <c r="E1999" s="110">
        <f t="shared" si="31"/>
        <v>37193</v>
      </c>
      <c r="F1999" s="69">
        <v>1.1853278599295398E-2</v>
      </c>
    </row>
    <row r="2000" spans="1:6" x14ac:dyDescent="0.3">
      <c r="A2000" s="24">
        <v>36878</v>
      </c>
      <c r="B2000" s="66">
        <v>396.47199999999998</v>
      </c>
      <c r="C2000" s="67"/>
      <c r="D2000" s="68">
        <v>0</v>
      </c>
      <c r="E2000" s="110">
        <f t="shared" si="31"/>
        <v>37193</v>
      </c>
      <c r="F2000" s="69">
        <v>1.1853278599295398E-2</v>
      </c>
    </row>
    <row r="2001" spans="1:6" x14ac:dyDescent="0.3">
      <c r="A2001" s="24">
        <v>36879</v>
      </c>
      <c r="B2001" s="66">
        <v>396.47199999999998</v>
      </c>
      <c r="C2001" s="67"/>
      <c r="D2001" s="68">
        <v>0</v>
      </c>
      <c r="E2001" s="110">
        <f t="shared" si="31"/>
        <v>37193</v>
      </c>
      <c r="F2001" s="69">
        <v>1.1853278599295398E-2</v>
      </c>
    </row>
    <row r="2002" spans="1:6" x14ac:dyDescent="0.3">
      <c r="A2002" s="24">
        <v>36880</v>
      </c>
      <c r="B2002" s="66">
        <v>396.47199999999998</v>
      </c>
      <c r="C2002" s="67"/>
      <c r="D2002" s="68">
        <v>0</v>
      </c>
      <c r="E2002" s="110">
        <f t="shared" ref="E2002:E2065" si="32">+E2001</f>
        <v>37193</v>
      </c>
      <c r="F2002" s="69">
        <v>1.1853278599295398E-2</v>
      </c>
    </row>
    <row r="2003" spans="1:6" x14ac:dyDescent="0.3">
      <c r="A2003" s="24">
        <v>36881</v>
      </c>
      <c r="B2003" s="66">
        <v>396.47199999999998</v>
      </c>
      <c r="C2003" s="67"/>
      <c r="D2003" s="68">
        <v>0</v>
      </c>
      <c r="E2003" s="110">
        <f t="shared" si="32"/>
        <v>37193</v>
      </c>
      <c r="F2003" s="69">
        <v>1.1853278599295398E-2</v>
      </c>
    </row>
    <row r="2004" spans="1:6" x14ac:dyDescent="0.3">
      <c r="A2004" s="24">
        <v>36882</v>
      </c>
      <c r="B2004" s="66">
        <v>396.47199999999998</v>
      </c>
      <c r="C2004" s="67"/>
      <c r="D2004" s="68">
        <v>0</v>
      </c>
      <c r="E2004" s="110">
        <f t="shared" si="32"/>
        <v>37193</v>
      </c>
      <c r="F2004" s="69">
        <v>1.1853278599295398E-2</v>
      </c>
    </row>
    <row r="2005" spans="1:6" x14ac:dyDescent="0.3">
      <c r="A2005" s="24">
        <v>36883</v>
      </c>
      <c r="B2005" s="66">
        <v>396.47199999999998</v>
      </c>
      <c r="C2005" s="67"/>
      <c r="D2005" s="68">
        <v>0</v>
      </c>
      <c r="E2005" s="110">
        <f t="shared" si="32"/>
        <v>37193</v>
      </c>
      <c r="F2005" s="69">
        <v>1.1853278599295398E-2</v>
      </c>
    </row>
    <row r="2006" spans="1:6" x14ac:dyDescent="0.3">
      <c r="A2006" s="24">
        <v>36884</v>
      </c>
      <c r="B2006" s="66">
        <v>396.47199999999998</v>
      </c>
      <c r="C2006" s="67"/>
      <c r="D2006" s="68">
        <v>0</v>
      </c>
      <c r="E2006" s="110">
        <f t="shared" si="32"/>
        <v>37193</v>
      </c>
      <c r="F2006" s="69">
        <v>1.1853278599295398E-2</v>
      </c>
    </row>
    <row r="2007" spans="1:6" x14ac:dyDescent="0.3">
      <c r="A2007" s="24">
        <v>36885</v>
      </c>
      <c r="B2007" s="66">
        <v>396.47199999999998</v>
      </c>
      <c r="C2007" s="67"/>
      <c r="D2007" s="68">
        <v>0</v>
      </c>
      <c r="E2007" s="110">
        <f t="shared" si="32"/>
        <v>37193</v>
      </c>
      <c r="F2007" s="69">
        <v>1.1853278599295398E-2</v>
      </c>
    </row>
    <row r="2008" spans="1:6" x14ac:dyDescent="0.3">
      <c r="A2008" s="24">
        <v>36886</v>
      </c>
      <c r="B2008" s="66">
        <v>396.47199999999998</v>
      </c>
      <c r="C2008" s="67"/>
      <c r="D2008" s="68">
        <v>0</v>
      </c>
      <c r="E2008" s="110">
        <f t="shared" si="32"/>
        <v>37193</v>
      </c>
      <c r="F2008" s="69">
        <v>1.1853278599295398E-2</v>
      </c>
    </row>
    <row r="2009" spans="1:6" x14ac:dyDescent="0.3">
      <c r="A2009" s="24">
        <v>36887</v>
      </c>
      <c r="B2009" s="66">
        <v>396.47199999999998</v>
      </c>
      <c r="C2009" s="67"/>
      <c r="D2009" s="68">
        <v>0</v>
      </c>
      <c r="E2009" s="110">
        <f t="shared" si="32"/>
        <v>37193</v>
      </c>
      <c r="F2009" s="69">
        <v>1.1853278599295398E-2</v>
      </c>
    </row>
    <row r="2010" spans="1:6" x14ac:dyDescent="0.3">
      <c r="A2010" s="24">
        <v>36888</v>
      </c>
      <c r="B2010" s="66">
        <v>396.47199999999998</v>
      </c>
      <c r="C2010" s="67"/>
      <c r="D2010" s="68">
        <v>0</v>
      </c>
      <c r="E2010" s="110">
        <f t="shared" si="32"/>
        <v>37193</v>
      </c>
      <c r="F2010" s="69">
        <v>1.1853278599295398E-2</v>
      </c>
    </row>
    <row r="2011" spans="1:6" x14ac:dyDescent="0.3">
      <c r="A2011" s="24">
        <v>36889</v>
      </c>
      <c r="B2011" s="66">
        <v>396.47199999999998</v>
      </c>
      <c r="C2011" s="67"/>
      <c r="D2011" s="68">
        <v>0</v>
      </c>
      <c r="E2011" s="110">
        <f t="shared" si="32"/>
        <v>37193</v>
      </c>
      <c r="F2011" s="69">
        <v>1.1680688122863466E-2</v>
      </c>
    </row>
    <row r="2012" spans="1:6" x14ac:dyDescent="0.3">
      <c r="A2012" s="24">
        <v>36890</v>
      </c>
      <c r="B2012" s="66">
        <v>396.47199999999998</v>
      </c>
      <c r="C2012" s="67"/>
      <c r="D2012" s="68">
        <v>0</v>
      </c>
      <c r="E2012" s="110">
        <f t="shared" si="32"/>
        <v>37193</v>
      </c>
      <c r="F2012" s="69">
        <v>1.1680688122863466E-2</v>
      </c>
    </row>
    <row r="2013" spans="1:6" x14ac:dyDescent="0.3">
      <c r="A2013" s="24">
        <v>36891</v>
      </c>
      <c r="B2013" s="66">
        <v>407.726</v>
      </c>
      <c r="C2013" s="67"/>
      <c r="D2013" s="68">
        <v>0</v>
      </c>
      <c r="E2013" s="110">
        <f t="shared" si="32"/>
        <v>37193</v>
      </c>
      <c r="F2013" s="69">
        <v>1.1680688122863466E-2</v>
      </c>
    </row>
    <row r="2014" spans="1:6" x14ac:dyDescent="0.3">
      <c r="A2014" s="24">
        <v>36892</v>
      </c>
      <c r="B2014" s="66">
        <v>407.726</v>
      </c>
      <c r="C2014" s="67"/>
      <c r="D2014" s="68">
        <v>0</v>
      </c>
      <c r="E2014" s="110">
        <f t="shared" si="32"/>
        <v>37193</v>
      </c>
      <c r="F2014" s="69">
        <v>1.1680688122863466E-2</v>
      </c>
    </row>
    <row r="2015" spans="1:6" x14ac:dyDescent="0.3">
      <c r="A2015" s="24">
        <v>36893</v>
      </c>
      <c r="B2015" s="66">
        <v>407.726</v>
      </c>
      <c r="C2015" s="67"/>
      <c r="D2015" s="68">
        <v>0</v>
      </c>
      <c r="E2015" s="110">
        <f t="shared" si="32"/>
        <v>37193</v>
      </c>
      <c r="F2015" s="69">
        <v>1.1680688122863466E-2</v>
      </c>
    </row>
    <row r="2016" spans="1:6" x14ac:dyDescent="0.3">
      <c r="A2016" s="24">
        <v>36894</v>
      </c>
      <c r="B2016" s="66">
        <v>407.726</v>
      </c>
      <c r="C2016" s="67"/>
      <c r="D2016" s="68">
        <v>0</v>
      </c>
      <c r="E2016" s="110">
        <f t="shared" si="32"/>
        <v>37193</v>
      </c>
      <c r="F2016" s="69">
        <v>1.1680688122863466E-2</v>
      </c>
    </row>
    <row r="2017" spans="1:6" x14ac:dyDescent="0.3">
      <c r="A2017" s="24">
        <v>36895</v>
      </c>
      <c r="B2017" s="66">
        <v>407.726</v>
      </c>
      <c r="C2017" s="67"/>
      <c r="D2017" s="68">
        <v>0</v>
      </c>
      <c r="E2017" s="110">
        <f t="shared" si="32"/>
        <v>37193</v>
      </c>
      <c r="F2017" s="69">
        <v>1.1680688122863466E-2</v>
      </c>
    </row>
    <row r="2018" spans="1:6" x14ac:dyDescent="0.3">
      <c r="A2018" s="24">
        <v>36896</v>
      </c>
      <c r="B2018" s="66">
        <v>407.726</v>
      </c>
      <c r="C2018" s="67"/>
      <c r="D2018" s="68">
        <v>0</v>
      </c>
      <c r="E2018" s="110">
        <f t="shared" si="32"/>
        <v>37193</v>
      </c>
      <c r="F2018" s="69">
        <v>1.1680688122863466E-2</v>
      </c>
    </row>
    <row r="2019" spans="1:6" x14ac:dyDescent="0.3">
      <c r="A2019" s="24">
        <v>36897</v>
      </c>
      <c r="B2019" s="66">
        <v>407.726</v>
      </c>
      <c r="C2019" s="67"/>
      <c r="D2019" s="68">
        <v>0</v>
      </c>
      <c r="E2019" s="110">
        <f t="shared" si="32"/>
        <v>37193</v>
      </c>
      <c r="F2019" s="69">
        <v>1.1680688122863466E-2</v>
      </c>
    </row>
    <row r="2020" spans="1:6" x14ac:dyDescent="0.3">
      <c r="A2020" s="24">
        <v>36898</v>
      </c>
      <c r="B2020" s="66">
        <v>407.726</v>
      </c>
      <c r="C2020" s="67"/>
      <c r="D2020" s="68">
        <v>0</v>
      </c>
      <c r="E2020" s="110">
        <f t="shared" si="32"/>
        <v>37193</v>
      </c>
      <c r="F2020" s="69">
        <v>1.1680688122863466E-2</v>
      </c>
    </row>
    <row r="2021" spans="1:6" x14ac:dyDescent="0.3">
      <c r="A2021" s="24">
        <v>36899</v>
      </c>
      <c r="B2021" s="66">
        <v>407.726</v>
      </c>
      <c r="C2021" s="67"/>
      <c r="D2021" s="68">
        <v>0</v>
      </c>
      <c r="E2021" s="110">
        <f t="shared" si="32"/>
        <v>37193</v>
      </c>
      <c r="F2021" s="69">
        <v>1.1680688122863466E-2</v>
      </c>
    </row>
    <row r="2022" spans="1:6" x14ac:dyDescent="0.3">
      <c r="A2022" s="24">
        <v>36900</v>
      </c>
      <c r="B2022" s="66">
        <v>407.726</v>
      </c>
      <c r="C2022" s="67"/>
      <c r="D2022" s="68">
        <v>0</v>
      </c>
      <c r="E2022" s="110">
        <f t="shared" si="32"/>
        <v>37193</v>
      </c>
      <c r="F2022" s="69">
        <v>1.1680688122863466E-2</v>
      </c>
    </row>
    <row r="2023" spans="1:6" x14ac:dyDescent="0.3">
      <c r="A2023" s="24">
        <v>36901</v>
      </c>
      <c r="B2023" s="66">
        <v>407.726</v>
      </c>
      <c r="C2023" s="67"/>
      <c r="D2023" s="68">
        <v>0</v>
      </c>
      <c r="E2023" s="110">
        <f t="shared" si="32"/>
        <v>37193</v>
      </c>
      <c r="F2023" s="69">
        <v>1.1680688122863466E-2</v>
      </c>
    </row>
    <row r="2024" spans="1:6" x14ac:dyDescent="0.3">
      <c r="A2024" s="24">
        <v>36902</v>
      </c>
      <c r="B2024" s="66">
        <v>407.726</v>
      </c>
      <c r="C2024" s="67"/>
      <c r="D2024" s="68">
        <v>0</v>
      </c>
      <c r="E2024" s="110">
        <f t="shared" si="32"/>
        <v>37193</v>
      </c>
      <c r="F2024" s="69">
        <v>1.1680688122863466E-2</v>
      </c>
    </row>
    <row r="2025" spans="1:6" x14ac:dyDescent="0.3">
      <c r="A2025" s="24">
        <v>36903</v>
      </c>
      <c r="B2025" s="66">
        <v>407.726</v>
      </c>
      <c r="C2025" s="67"/>
      <c r="D2025" s="68">
        <v>0</v>
      </c>
      <c r="E2025" s="110">
        <f t="shared" si="32"/>
        <v>37193</v>
      </c>
      <c r="F2025" s="69">
        <v>1.1680688122863466E-2</v>
      </c>
    </row>
    <row r="2026" spans="1:6" x14ac:dyDescent="0.3">
      <c r="A2026" s="24">
        <v>36904</v>
      </c>
      <c r="B2026" s="66">
        <v>407.726</v>
      </c>
      <c r="C2026" s="67"/>
      <c r="D2026" s="68">
        <v>0</v>
      </c>
      <c r="E2026" s="110">
        <f t="shared" si="32"/>
        <v>37193</v>
      </c>
      <c r="F2026" s="69">
        <v>1.1680688122863466E-2</v>
      </c>
    </row>
    <row r="2027" spans="1:6" x14ac:dyDescent="0.3">
      <c r="A2027" s="24">
        <v>36905</v>
      </c>
      <c r="B2027" s="66">
        <v>407.726</v>
      </c>
      <c r="C2027" s="67"/>
      <c r="D2027" s="68">
        <v>0</v>
      </c>
      <c r="E2027" s="110">
        <f t="shared" si="32"/>
        <v>37193</v>
      </c>
      <c r="F2027" s="69">
        <v>1.1680688122863466E-2</v>
      </c>
    </row>
    <row r="2028" spans="1:6" x14ac:dyDescent="0.3">
      <c r="A2028" s="24">
        <v>36906</v>
      </c>
      <c r="B2028" s="66">
        <v>407.726</v>
      </c>
      <c r="C2028" s="67"/>
      <c r="D2028" s="68">
        <v>0</v>
      </c>
      <c r="E2028" s="110">
        <f t="shared" si="32"/>
        <v>37193</v>
      </c>
      <c r="F2028" s="69">
        <v>1.1680688122863466E-2</v>
      </c>
    </row>
    <row r="2029" spans="1:6" x14ac:dyDescent="0.3">
      <c r="A2029" s="24">
        <v>36907</v>
      </c>
      <c r="B2029" s="66">
        <v>407.726</v>
      </c>
      <c r="C2029" s="67"/>
      <c r="D2029" s="68">
        <v>0</v>
      </c>
      <c r="E2029" s="110">
        <f t="shared" si="32"/>
        <v>37193</v>
      </c>
      <c r="F2029" s="69">
        <v>1.1680688122863466E-2</v>
      </c>
    </row>
    <row r="2030" spans="1:6" x14ac:dyDescent="0.3">
      <c r="A2030" s="24">
        <v>36908</v>
      </c>
      <c r="B2030" s="66">
        <v>407.726</v>
      </c>
      <c r="C2030" s="67"/>
      <c r="D2030" s="68">
        <v>0</v>
      </c>
      <c r="E2030" s="110">
        <f t="shared" si="32"/>
        <v>37193</v>
      </c>
      <c r="F2030" s="69">
        <v>1.1680688122863466E-2</v>
      </c>
    </row>
    <row r="2031" spans="1:6" x14ac:dyDescent="0.3">
      <c r="A2031" s="24">
        <v>36909</v>
      </c>
      <c r="B2031" s="66">
        <v>407.726</v>
      </c>
      <c r="C2031" s="67"/>
      <c r="D2031" s="68">
        <v>0</v>
      </c>
      <c r="E2031" s="110">
        <f t="shared" si="32"/>
        <v>37193</v>
      </c>
      <c r="F2031" s="69">
        <v>1.1680688122863466E-2</v>
      </c>
    </row>
    <row r="2032" spans="1:6" x14ac:dyDescent="0.3">
      <c r="A2032" s="24">
        <v>36910</v>
      </c>
      <c r="B2032" s="66">
        <v>407.726</v>
      </c>
      <c r="C2032" s="67"/>
      <c r="D2032" s="68">
        <v>0</v>
      </c>
      <c r="E2032" s="110">
        <f t="shared" si="32"/>
        <v>37193</v>
      </c>
      <c r="F2032" s="69">
        <v>1.1680688122863466E-2</v>
      </c>
    </row>
    <row r="2033" spans="1:6" x14ac:dyDescent="0.3">
      <c r="A2033" s="24">
        <v>36911</v>
      </c>
      <c r="B2033" s="66">
        <v>407.726</v>
      </c>
      <c r="C2033" s="67"/>
      <c r="D2033" s="68">
        <v>0</v>
      </c>
      <c r="E2033" s="110">
        <f t="shared" si="32"/>
        <v>37193</v>
      </c>
      <c r="F2033" s="69">
        <v>1.1680688122863466E-2</v>
      </c>
    </row>
    <row r="2034" spans="1:6" x14ac:dyDescent="0.3">
      <c r="A2034" s="24">
        <v>36912</v>
      </c>
      <c r="B2034" s="66">
        <v>407.726</v>
      </c>
      <c r="C2034" s="67"/>
      <c r="D2034" s="68">
        <v>0</v>
      </c>
      <c r="E2034" s="110">
        <f t="shared" si="32"/>
        <v>37193</v>
      </c>
      <c r="F2034" s="69">
        <v>1.1680688122863466E-2</v>
      </c>
    </row>
    <row r="2035" spans="1:6" x14ac:dyDescent="0.3">
      <c r="A2035" s="24">
        <v>36913</v>
      </c>
      <c r="B2035" s="66">
        <v>407.726</v>
      </c>
      <c r="C2035" s="67"/>
      <c r="D2035" s="68">
        <v>0</v>
      </c>
      <c r="E2035" s="110">
        <f t="shared" si="32"/>
        <v>37193</v>
      </c>
      <c r="F2035" s="69">
        <v>1.1680688122863466E-2</v>
      </c>
    </row>
    <row r="2036" spans="1:6" x14ac:dyDescent="0.3">
      <c r="A2036" s="24">
        <v>36914</v>
      </c>
      <c r="B2036" s="66">
        <v>407.726</v>
      </c>
      <c r="C2036" s="67"/>
      <c r="D2036" s="68">
        <v>0</v>
      </c>
      <c r="E2036" s="110">
        <f t="shared" si="32"/>
        <v>37193</v>
      </c>
      <c r="F2036" s="69">
        <v>1.1680688122863466E-2</v>
      </c>
    </row>
    <row r="2037" spans="1:6" x14ac:dyDescent="0.3">
      <c r="A2037" s="24">
        <v>36915</v>
      </c>
      <c r="B2037" s="66">
        <v>407.726</v>
      </c>
      <c r="C2037" s="67"/>
      <c r="D2037" s="68">
        <v>0</v>
      </c>
      <c r="E2037" s="110">
        <f t="shared" si="32"/>
        <v>37193</v>
      </c>
      <c r="F2037" s="69">
        <v>1.1680688122863466E-2</v>
      </c>
    </row>
    <row r="2038" spans="1:6" x14ac:dyDescent="0.3">
      <c r="A2038" s="24">
        <v>36916</v>
      </c>
      <c r="B2038" s="66">
        <v>407.726</v>
      </c>
      <c r="C2038" s="67"/>
      <c r="D2038" s="68">
        <v>0</v>
      </c>
      <c r="E2038" s="110">
        <f t="shared" si="32"/>
        <v>37193</v>
      </c>
      <c r="F2038" s="69">
        <v>1.1680688122863466E-2</v>
      </c>
    </row>
    <row r="2039" spans="1:6" x14ac:dyDescent="0.3">
      <c r="A2039" s="24">
        <v>36917</v>
      </c>
      <c r="B2039" s="66">
        <v>407.726</v>
      </c>
      <c r="C2039" s="67"/>
      <c r="D2039" s="68">
        <v>0</v>
      </c>
      <c r="E2039" s="110">
        <f t="shared" si="32"/>
        <v>37193</v>
      </c>
      <c r="F2039" s="69">
        <v>1.1680688122863466E-2</v>
      </c>
    </row>
    <row r="2040" spans="1:6" x14ac:dyDescent="0.3">
      <c r="A2040" s="24">
        <v>36918</v>
      </c>
      <c r="B2040" s="66">
        <v>407.726</v>
      </c>
      <c r="C2040" s="67"/>
      <c r="D2040" s="68">
        <v>0</v>
      </c>
      <c r="E2040" s="110">
        <f t="shared" si="32"/>
        <v>37193</v>
      </c>
      <c r="F2040" s="69">
        <v>1.1680688122863466E-2</v>
      </c>
    </row>
    <row r="2041" spans="1:6" x14ac:dyDescent="0.3">
      <c r="A2041" s="24">
        <v>36919</v>
      </c>
      <c r="B2041" s="66">
        <v>407.726</v>
      </c>
      <c r="C2041" s="67"/>
      <c r="D2041" s="68">
        <v>0</v>
      </c>
      <c r="E2041" s="110">
        <f t="shared" si="32"/>
        <v>37193</v>
      </c>
      <c r="F2041" s="69">
        <v>1.1680688122863466E-2</v>
      </c>
    </row>
    <row r="2042" spans="1:6" x14ac:dyDescent="0.3">
      <c r="A2042" s="24">
        <v>36920</v>
      </c>
      <c r="B2042" s="66">
        <v>407.726</v>
      </c>
      <c r="C2042" s="67"/>
      <c r="D2042" s="68">
        <v>0</v>
      </c>
      <c r="E2042" s="110">
        <f t="shared" si="32"/>
        <v>37193</v>
      </c>
      <c r="F2042" s="69">
        <v>1.1680688122863466E-2</v>
      </c>
    </row>
    <row r="2043" spans="1:6" x14ac:dyDescent="0.3">
      <c r="A2043" s="24">
        <v>36921</v>
      </c>
      <c r="B2043" s="66">
        <v>407.726</v>
      </c>
      <c r="C2043" s="67"/>
      <c r="D2043" s="68">
        <v>0</v>
      </c>
      <c r="E2043" s="110">
        <f t="shared" si="32"/>
        <v>37193</v>
      </c>
      <c r="F2043" s="69">
        <v>1.1680688122863466E-2</v>
      </c>
    </row>
    <row r="2044" spans="1:6" x14ac:dyDescent="0.3">
      <c r="A2044" s="24">
        <v>36922</v>
      </c>
      <c r="B2044" s="66">
        <v>407.726</v>
      </c>
      <c r="C2044" s="67"/>
      <c r="D2044" s="68">
        <v>0</v>
      </c>
      <c r="E2044" s="110">
        <f t="shared" si="32"/>
        <v>37193</v>
      </c>
      <c r="F2044" s="69">
        <v>1.1680688122863466E-2</v>
      </c>
    </row>
    <row r="2045" spans="1:6" x14ac:dyDescent="0.3">
      <c r="A2045" s="24">
        <v>36923</v>
      </c>
      <c r="B2045" s="66">
        <v>407.726</v>
      </c>
      <c r="C2045" s="67"/>
      <c r="D2045" s="68">
        <v>0</v>
      </c>
      <c r="E2045" s="110">
        <f t="shared" si="32"/>
        <v>37193</v>
      </c>
      <c r="F2045" s="69">
        <v>1.1680688122863466E-2</v>
      </c>
    </row>
    <row r="2046" spans="1:6" x14ac:dyDescent="0.3">
      <c r="A2046" s="24">
        <v>36924</v>
      </c>
      <c r="B2046" s="66">
        <v>407.726</v>
      </c>
      <c r="C2046" s="67"/>
      <c r="D2046" s="68">
        <v>0</v>
      </c>
      <c r="E2046" s="110">
        <f t="shared" si="32"/>
        <v>37193</v>
      </c>
      <c r="F2046" s="69">
        <v>1.1680688122863466E-2</v>
      </c>
    </row>
    <row r="2047" spans="1:6" x14ac:dyDescent="0.3">
      <c r="A2047" s="24">
        <v>36925</v>
      </c>
      <c r="B2047" s="66">
        <v>407.726</v>
      </c>
      <c r="C2047" s="67"/>
      <c r="D2047" s="68">
        <v>0</v>
      </c>
      <c r="E2047" s="110">
        <f t="shared" si="32"/>
        <v>37193</v>
      </c>
      <c r="F2047" s="69">
        <v>1.1680688122863466E-2</v>
      </c>
    </row>
    <row r="2048" spans="1:6" x14ac:dyDescent="0.3">
      <c r="A2048" s="24">
        <v>36926</v>
      </c>
      <c r="B2048" s="66">
        <v>407.726</v>
      </c>
      <c r="C2048" s="67"/>
      <c r="D2048" s="68">
        <v>0</v>
      </c>
      <c r="E2048" s="110">
        <f t="shared" si="32"/>
        <v>37193</v>
      </c>
      <c r="F2048" s="69">
        <v>1.1680688122863466E-2</v>
      </c>
    </row>
    <row r="2049" spans="1:6" x14ac:dyDescent="0.3">
      <c r="A2049" s="24">
        <v>36927</v>
      </c>
      <c r="B2049" s="66">
        <v>407.726</v>
      </c>
      <c r="C2049" s="67"/>
      <c r="D2049" s="68">
        <v>0</v>
      </c>
      <c r="E2049" s="110">
        <f t="shared" si="32"/>
        <v>37193</v>
      </c>
      <c r="F2049" s="69">
        <v>1.1680688122863466E-2</v>
      </c>
    </row>
    <row r="2050" spans="1:6" x14ac:dyDescent="0.3">
      <c r="A2050" s="24">
        <v>36928</v>
      </c>
      <c r="B2050" s="66">
        <v>407.726</v>
      </c>
      <c r="C2050" s="67"/>
      <c r="D2050" s="68">
        <v>0</v>
      </c>
      <c r="E2050" s="110">
        <f t="shared" si="32"/>
        <v>37193</v>
      </c>
      <c r="F2050" s="69">
        <v>1.1680688122863466E-2</v>
      </c>
    </row>
    <row r="2051" spans="1:6" x14ac:dyDescent="0.3">
      <c r="A2051" s="24">
        <v>36929</v>
      </c>
      <c r="B2051" s="66">
        <v>407.726</v>
      </c>
      <c r="C2051" s="67"/>
      <c r="D2051" s="68">
        <v>0</v>
      </c>
      <c r="E2051" s="110">
        <f t="shared" si="32"/>
        <v>37193</v>
      </c>
      <c r="F2051" s="69">
        <v>1.1680688122863466E-2</v>
      </c>
    </row>
    <row r="2052" spans="1:6" x14ac:dyDescent="0.3">
      <c r="A2052" s="24">
        <v>36930</v>
      </c>
      <c r="B2052" s="66">
        <v>407.726</v>
      </c>
      <c r="C2052" s="67"/>
      <c r="D2052" s="68">
        <v>0</v>
      </c>
      <c r="E2052" s="110">
        <f t="shared" si="32"/>
        <v>37193</v>
      </c>
      <c r="F2052" s="69">
        <v>1.1680688122863466E-2</v>
      </c>
    </row>
    <row r="2053" spans="1:6" x14ac:dyDescent="0.3">
      <c r="A2053" s="24">
        <v>36931</v>
      </c>
      <c r="B2053" s="66">
        <v>407.726</v>
      </c>
      <c r="C2053" s="67"/>
      <c r="D2053" s="68">
        <v>0</v>
      </c>
      <c r="E2053" s="110">
        <f t="shared" si="32"/>
        <v>37193</v>
      </c>
      <c r="F2053" s="69">
        <v>1.1680688122863466E-2</v>
      </c>
    </row>
    <row r="2054" spans="1:6" x14ac:dyDescent="0.3">
      <c r="A2054" s="24">
        <v>36932</v>
      </c>
      <c r="B2054" s="66">
        <v>407.726</v>
      </c>
      <c r="C2054" s="67"/>
      <c r="D2054" s="68">
        <v>0</v>
      </c>
      <c r="E2054" s="110">
        <f t="shared" si="32"/>
        <v>37193</v>
      </c>
      <c r="F2054" s="69">
        <v>1.1680688122863466E-2</v>
      </c>
    </row>
    <row r="2055" spans="1:6" x14ac:dyDescent="0.3">
      <c r="A2055" s="24">
        <v>36933</v>
      </c>
      <c r="B2055" s="66">
        <v>407.726</v>
      </c>
      <c r="C2055" s="67"/>
      <c r="D2055" s="68">
        <v>0</v>
      </c>
      <c r="E2055" s="110">
        <f t="shared" si="32"/>
        <v>37193</v>
      </c>
      <c r="F2055" s="69">
        <v>1.1680688122863466E-2</v>
      </c>
    </row>
    <row r="2056" spans="1:6" x14ac:dyDescent="0.3">
      <c r="A2056" s="24">
        <v>36934</v>
      </c>
      <c r="B2056" s="66">
        <v>407.726</v>
      </c>
      <c r="C2056" s="67"/>
      <c r="D2056" s="68">
        <v>0</v>
      </c>
      <c r="E2056" s="110">
        <f t="shared" si="32"/>
        <v>37193</v>
      </c>
      <c r="F2056" s="69">
        <v>1.1680688122863466E-2</v>
      </c>
    </row>
    <row r="2057" spans="1:6" x14ac:dyDescent="0.3">
      <c r="A2057" s="24">
        <v>36935</v>
      </c>
      <c r="B2057" s="66">
        <v>407.726</v>
      </c>
      <c r="C2057" s="67"/>
      <c r="D2057" s="68">
        <v>0</v>
      </c>
      <c r="E2057" s="110">
        <f t="shared" si="32"/>
        <v>37193</v>
      </c>
      <c r="F2057" s="69">
        <v>1.1680688122863466E-2</v>
      </c>
    </row>
    <row r="2058" spans="1:6" x14ac:dyDescent="0.3">
      <c r="A2058" s="24">
        <v>36936</v>
      </c>
      <c r="B2058" s="66">
        <v>407.726</v>
      </c>
      <c r="C2058" s="67"/>
      <c r="D2058" s="68">
        <v>0</v>
      </c>
      <c r="E2058" s="110">
        <f t="shared" si="32"/>
        <v>37193</v>
      </c>
      <c r="F2058" s="69">
        <v>1.1680688122863466E-2</v>
      </c>
    </row>
    <row r="2059" spans="1:6" x14ac:dyDescent="0.3">
      <c r="A2059" s="24">
        <v>36937</v>
      </c>
      <c r="B2059" s="66">
        <v>407.726</v>
      </c>
      <c r="C2059" s="67"/>
      <c r="D2059" s="68">
        <v>0</v>
      </c>
      <c r="E2059" s="110">
        <f t="shared" si="32"/>
        <v>37193</v>
      </c>
      <c r="F2059" s="69">
        <v>1.1680688122863466E-2</v>
      </c>
    </row>
    <row r="2060" spans="1:6" x14ac:dyDescent="0.3">
      <c r="A2060" s="24">
        <v>36938</v>
      </c>
      <c r="B2060" s="66">
        <v>407.726</v>
      </c>
      <c r="C2060" s="67"/>
      <c r="D2060" s="68">
        <v>0</v>
      </c>
      <c r="E2060" s="110">
        <f t="shared" si="32"/>
        <v>37193</v>
      </c>
      <c r="F2060" s="69">
        <v>1.1680688122863466E-2</v>
      </c>
    </row>
    <row r="2061" spans="1:6" x14ac:dyDescent="0.3">
      <c r="A2061" s="24">
        <v>36939</v>
      </c>
      <c r="B2061" s="66">
        <v>407.726</v>
      </c>
      <c r="C2061" s="67"/>
      <c r="D2061" s="68">
        <v>0</v>
      </c>
      <c r="E2061" s="110">
        <f t="shared" si="32"/>
        <v>37193</v>
      </c>
      <c r="F2061" s="69">
        <v>1.1680688122863466E-2</v>
      </c>
    </row>
    <row r="2062" spans="1:6" x14ac:dyDescent="0.3">
      <c r="A2062" s="24">
        <v>36940</v>
      </c>
      <c r="B2062" s="66">
        <v>407.726</v>
      </c>
      <c r="C2062" s="67"/>
      <c r="D2062" s="68">
        <v>0</v>
      </c>
      <c r="E2062" s="110">
        <f t="shared" si="32"/>
        <v>37193</v>
      </c>
      <c r="F2062" s="69">
        <v>1.1680688122863466E-2</v>
      </c>
    </row>
    <row r="2063" spans="1:6" x14ac:dyDescent="0.3">
      <c r="A2063" s="24">
        <v>36941</v>
      </c>
      <c r="B2063" s="66">
        <v>407.726</v>
      </c>
      <c r="C2063" s="67"/>
      <c r="D2063" s="68">
        <v>0</v>
      </c>
      <c r="E2063" s="110">
        <f t="shared" si="32"/>
        <v>37193</v>
      </c>
      <c r="F2063" s="69">
        <v>1.1680688122863466E-2</v>
      </c>
    </row>
    <row r="2064" spans="1:6" x14ac:dyDescent="0.3">
      <c r="A2064" s="24">
        <v>36942</v>
      </c>
      <c r="B2064" s="66">
        <v>407.726</v>
      </c>
      <c r="C2064" s="67"/>
      <c r="D2064" s="68">
        <v>0</v>
      </c>
      <c r="E2064" s="110">
        <f t="shared" si="32"/>
        <v>37193</v>
      </c>
      <c r="F2064" s="69">
        <v>1.1680688122863466E-2</v>
      </c>
    </row>
    <row r="2065" spans="1:6" x14ac:dyDescent="0.3">
      <c r="A2065" s="24">
        <v>36943</v>
      </c>
      <c r="B2065" s="66">
        <v>407.726</v>
      </c>
      <c r="C2065" s="67"/>
      <c r="D2065" s="68">
        <v>0</v>
      </c>
      <c r="E2065" s="110">
        <f t="shared" si="32"/>
        <v>37193</v>
      </c>
      <c r="F2065" s="69">
        <v>1.1680688122863466E-2</v>
      </c>
    </row>
    <row r="2066" spans="1:6" x14ac:dyDescent="0.3">
      <c r="A2066" s="24">
        <v>36944</v>
      </c>
      <c r="B2066" s="66">
        <v>407.726</v>
      </c>
      <c r="C2066" s="67"/>
      <c r="D2066" s="68">
        <v>0</v>
      </c>
      <c r="E2066" s="110">
        <f t="shared" ref="E2066:E2129" si="33">+E2065</f>
        <v>37193</v>
      </c>
      <c r="F2066" s="69">
        <v>1.1680688122863466E-2</v>
      </c>
    </row>
    <row r="2067" spans="1:6" x14ac:dyDescent="0.3">
      <c r="A2067" s="24">
        <v>36945</v>
      </c>
      <c r="B2067" s="66">
        <v>407.726</v>
      </c>
      <c r="C2067" s="67"/>
      <c r="D2067" s="68">
        <v>0</v>
      </c>
      <c r="E2067" s="110">
        <f t="shared" si="33"/>
        <v>37193</v>
      </c>
      <c r="F2067" s="69">
        <v>1.1680688122863466E-2</v>
      </c>
    </row>
    <row r="2068" spans="1:6" x14ac:dyDescent="0.3">
      <c r="A2068" s="24">
        <v>36946</v>
      </c>
      <c r="B2068" s="66">
        <v>407.726</v>
      </c>
      <c r="C2068" s="67"/>
      <c r="D2068" s="68">
        <v>0</v>
      </c>
      <c r="E2068" s="110">
        <f t="shared" si="33"/>
        <v>37193</v>
      </c>
      <c r="F2068" s="69">
        <v>1.1680688122863466E-2</v>
      </c>
    </row>
    <row r="2069" spans="1:6" x14ac:dyDescent="0.3">
      <c r="A2069" s="24">
        <v>36947</v>
      </c>
      <c r="B2069" s="66">
        <v>407.726</v>
      </c>
      <c r="C2069" s="67"/>
      <c r="D2069" s="68">
        <v>0</v>
      </c>
      <c r="E2069" s="110">
        <f t="shared" si="33"/>
        <v>37193</v>
      </c>
      <c r="F2069" s="69">
        <v>1.1680688122863466E-2</v>
      </c>
    </row>
    <row r="2070" spans="1:6" x14ac:dyDescent="0.3">
      <c r="A2070" s="24">
        <v>36948</v>
      </c>
      <c r="B2070" s="66">
        <v>407.726</v>
      </c>
      <c r="C2070" s="67"/>
      <c r="D2070" s="68">
        <v>0</v>
      </c>
      <c r="E2070" s="110">
        <f t="shared" si="33"/>
        <v>37193</v>
      </c>
      <c r="F2070" s="69">
        <v>1.1680688122863466E-2</v>
      </c>
    </row>
    <row r="2071" spans="1:6" x14ac:dyDescent="0.3">
      <c r="A2071" s="24">
        <v>36949</v>
      </c>
      <c r="B2071" s="66">
        <v>407.726</v>
      </c>
      <c r="C2071" s="67"/>
      <c r="D2071" s="68">
        <v>0</v>
      </c>
      <c r="E2071" s="110">
        <f t="shared" si="33"/>
        <v>37193</v>
      </c>
      <c r="F2071" s="69">
        <v>1.1680688122863466E-2</v>
      </c>
    </row>
    <row r="2072" spans="1:6" x14ac:dyDescent="0.3">
      <c r="A2072" s="24">
        <v>36950</v>
      </c>
      <c r="B2072" s="66">
        <v>407.726</v>
      </c>
      <c r="C2072" s="67"/>
      <c r="D2072" s="68">
        <v>0</v>
      </c>
      <c r="E2072" s="110">
        <f t="shared" si="33"/>
        <v>37193</v>
      </c>
      <c r="F2072" s="69">
        <v>1.1680688122863466E-2</v>
      </c>
    </row>
    <row r="2073" spans="1:6" x14ac:dyDescent="0.3">
      <c r="A2073" s="24">
        <v>36951</v>
      </c>
      <c r="B2073" s="66">
        <v>407.726</v>
      </c>
      <c r="C2073" s="67"/>
      <c r="D2073" s="68">
        <v>0</v>
      </c>
      <c r="E2073" s="110">
        <f t="shared" si="33"/>
        <v>37193</v>
      </c>
      <c r="F2073" s="69">
        <v>1.1680688122863466E-2</v>
      </c>
    </row>
    <row r="2074" spans="1:6" x14ac:dyDescent="0.3">
      <c r="A2074" s="24">
        <v>36952</v>
      </c>
      <c r="B2074" s="66">
        <v>407.726</v>
      </c>
      <c r="C2074" s="67"/>
      <c r="D2074" s="68">
        <v>0</v>
      </c>
      <c r="E2074" s="110">
        <f t="shared" si="33"/>
        <v>37193</v>
      </c>
      <c r="F2074" s="69">
        <v>1.1680688122863466E-2</v>
      </c>
    </row>
    <row r="2075" spans="1:6" x14ac:dyDescent="0.3">
      <c r="A2075" s="24">
        <v>36953</v>
      </c>
      <c r="B2075" s="66">
        <v>407.726</v>
      </c>
      <c r="C2075" s="67"/>
      <c r="D2075" s="68">
        <v>0</v>
      </c>
      <c r="E2075" s="110">
        <f t="shared" si="33"/>
        <v>37193</v>
      </c>
      <c r="F2075" s="69">
        <v>1.1680688122863466E-2</v>
      </c>
    </row>
    <row r="2076" spans="1:6" x14ac:dyDescent="0.3">
      <c r="A2076" s="24">
        <v>36954</v>
      </c>
      <c r="B2076" s="66">
        <v>407.726</v>
      </c>
      <c r="C2076" s="67"/>
      <c r="D2076" s="68">
        <v>0</v>
      </c>
      <c r="E2076" s="110">
        <f t="shared" si="33"/>
        <v>37193</v>
      </c>
      <c r="F2076" s="69">
        <v>1.1680688122863466E-2</v>
      </c>
    </row>
    <row r="2077" spans="1:6" x14ac:dyDescent="0.3">
      <c r="A2077" s="24">
        <v>36955</v>
      </c>
      <c r="B2077" s="66">
        <v>407.726</v>
      </c>
      <c r="C2077" s="67"/>
      <c r="D2077" s="68">
        <v>0</v>
      </c>
      <c r="E2077" s="110">
        <f t="shared" si="33"/>
        <v>37193</v>
      </c>
      <c r="F2077" s="69">
        <v>1.1680688122863466E-2</v>
      </c>
    </row>
    <row r="2078" spans="1:6" x14ac:dyDescent="0.3">
      <c r="A2078" s="24">
        <v>36956</v>
      </c>
      <c r="B2078" s="66">
        <v>407.726</v>
      </c>
      <c r="C2078" s="67"/>
      <c r="D2078" s="68">
        <v>0</v>
      </c>
      <c r="E2078" s="110">
        <f t="shared" si="33"/>
        <v>37193</v>
      </c>
      <c r="F2078" s="69">
        <v>1.1680688122863466E-2</v>
      </c>
    </row>
    <row r="2079" spans="1:6" x14ac:dyDescent="0.3">
      <c r="A2079" s="24">
        <v>36957</v>
      </c>
      <c r="B2079" s="66">
        <v>407.726</v>
      </c>
      <c r="C2079" s="67"/>
      <c r="D2079" s="68">
        <v>0</v>
      </c>
      <c r="E2079" s="110">
        <f t="shared" si="33"/>
        <v>37193</v>
      </c>
      <c r="F2079" s="69">
        <v>1.1680688122863466E-2</v>
      </c>
    </row>
    <row r="2080" spans="1:6" x14ac:dyDescent="0.3">
      <c r="A2080" s="24">
        <v>36958</v>
      </c>
      <c r="B2080" s="66">
        <v>407.726</v>
      </c>
      <c r="C2080" s="67"/>
      <c r="D2080" s="68">
        <v>0</v>
      </c>
      <c r="E2080" s="110">
        <f t="shared" si="33"/>
        <v>37193</v>
      </c>
      <c r="F2080" s="69">
        <v>1.1680688122863466E-2</v>
      </c>
    </row>
    <row r="2081" spans="1:6" x14ac:dyDescent="0.3">
      <c r="A2081" s="24">
        <v>36959</v>
      </c>
      <c r="B2081" s="66">
        <v>407.726</v>
      </c>
      <c r="C2081" s="67"/>
      <c r="D2081" s="68">
        <v>0</v>
      </c>
      <c r="E2081" s="110">
        <f t="shared" si="33"/>
        <v>37193</v>
      </c>
      <c r="F2081" s="69">
        <v>1.1680688122863466E-2</v>
      </c>
    </row>
    <row r="2082" spans="1:6" x14ac:dyDescent="0.3">
      <c r="A2082" s="24">
        <v>36960</v>
      </c>
      <c r="B2082" s="66">
        <v>407.726</v>
      </c>
      <c r="C2082" s="67"/>
      <c r="D2082" s="68">
        <v>0</v>
      </c>
      <c r="E2082" s="110">
        <f t="shared" si="33"/>
        <v>37193</v>
      </c>
      <c r="F2082" s="69">
        <v>1.1680688122863466E-2</v>
      </c>
    </row>
    <row r="2083" spans="1:6" x14ac:dyDescent="0.3">
      <c r="A2083" s="24">
        <v>36961</v>
      </c>
      <c r="B2083" s="66">
        <v>407.726</v>
      </c>
      <c r="C2083" s="67"/>
      <c r="D2083" s="68">
        <v>0</v>
      </c>
      <c r="E2083" s="110">
        <f t="shared" si="33"/>
        <v>37193</v>
      </c>
      <c r="F2083" s="69">
        <v>1.1680688122863466E-2</v>
      </c>
    </row>
    <row r="2084" spans="1:6" x14ac:dyDescent="0.3">
      <c r="A2084" s="24">
        <v>36962</v>
      </c>
      <c r="B2084" s="66">
        <v>407.726</v>
      </c>
      <c r="C2084" s="67"/>
      <c r="D2084" s="68">
        <v>0</v>
      </c>
      <c r="E2084" s="110">
        <f t="shared" si="33"/>
        <v>37193</v>
      </c>
      <c r="F2084" s="69">
        <v>1.1680688122863466E-2</v>
      </c>
    </row>
    <row r="2085" spans="1:6" x14ac:dyDescent="0.3">
      <c r="A2085" s="24">
        <v>36963</v>
      </c>
      <c r="B2085" s="66">
        <v>407.726</v>
      </c>
      <c r="C2085" s="67"/>
      <c r="D2085" s="68">
        <v>0</v>
      </c>
      <c r="E2085" s="110">
        <f t="shared" si="33"/>
        <v>37193</v>
      </c>
      <c r="F2085" s="69">
        <v>1.1680688122863466E-2</v>
      </c>
    </row>
    <row r="2086" spans="1:6" x14ac:dyDescent="0.3">
      <c r="A2086" s="24">
        <v>36964</v>
      </c>
      <c r="B2086" s="66">
        <v>407.726</v>
      </c>
      <c r="C2086" s="67"/>
      <c r="D2086" s="68">
        <v>0</v>
      </c>
      <c r="E2086" s="110">
        <f t="shared" si="33"/>
        <v>37193</v>
      </c>
      <c r="F2086" s="69">
        <v>1.1680688122863466E-2</v>
      </c>
    </row>
    <row r="2087" spans="1:6" x14ac:dyDescent="0.3">
      <c r="A2087" s="24">
        <v>36965</v>
      </c>
      <c r="B2087" s="66">
        <v>407.726</v>
      </c>
      <c r="C2087" s="67"/>
      <c r="D2087" s="68">
        <v>0</v>
      </c>
      <c r="E2087" s="110">
        <f t="shared" si="33"/>
        <v>37193</v>
      </c>
      <c r="F2087" s="69">
        <v>1.1680688122863466E-2</v>
      </c>
    </row>
    <row r="2088" spans="1:6" x14ac:dyDescent="0.3">
      <c r="A2088" s="24">
        <v>36966</v>
      </c>
      <c r="B2088" s="66">
        <v>407.726</v>
      </c>
      <c r="C2088" s="67"/>
      <c r="D2088" s="68">
        <v>0</v>
      </c>
      <c r="E2088" s="110">
        <f t="shared" si="33"/>
        <v>37193</v>
      </c>
      <c r="F2088" s="69">
        <v>1.1680688122863466E-2</v>
      </c>
    </row>
    <row r="2089" spans="1:6" x14ac:dyDescent="0.3">
      <c r="A2089" s="24">
        <v>36967</v>
      </c>
      <c r="B2089" s="66">
        <v>407.726</v>
      </c>
      <c r="C2089" s="67"/>
      <c r="D2089" s="68">
        <v>0</v>
      </c>
      <c r="E2089" s="110">
        <f t="shared" si="33"/>
        <v>37193</v>
      </c>
      <c r="F2089" s="69">
        <v>1.1680688122863466E-2</v>
      </c>
    </row>
    <row r="2090" spans="1:6" x14ac:dyDescent="0.3">
      <c r="A2090" s="24">
        <v>36968</v>
      </c>
      <c r="B2090" s="66">
        <v>407.726</v>
      </c>
      <c r="C2090" s="67"/>
      <c r="D2090" s="68">
        <v>0</v>
      </c>
      <c r="E2090" s="110">
        <f t="shared" si="33"/>
        <v>37193</v>
      </c>
      <c r="F2090" s="69">
        <v>1.1680688122863466E-2</v>
      </c>
    </row>
    <row r="2091" spans="1:6" x14ac:dyDescent="0.3">
      <c r="A2091" s="24">
        <v>36969</v>
      </c>
      <c r="B2091" s="66">
        <v>407.726</v>
      </c>
      <c r="C2091" s="67"/>
      <c r="D2091" s="68">
        <v>0</v>
      </c>
      <c r="E2091" s="110">
        <f t="shared" si="33"/>
        <v>37193</v>
      </c>
      <c r="F2091" s="69">
        <v>1.1680688122863466E-2</v>
      </c>
    </row>
    <row r="2092" spans="1:6" x14ac:dyDescent="0.3">
      <c r="A2092" s="24">
        <v>36970</v>
      </c>
      <c r="B2092" s="66">
        <v>407.726</v>
      </c>
      <c r="C2092" s="67"/>
      <c r="D2092" s="68">
        <v>0</v>
      </c>
      <c r="E2092" s="110">
        <f t="shared" si="33"/>
        <v>37193</v>
      </c>
      <c r="F2092" s="69">
        <v>1.1680688122863466E-2</v>
      </c>
    </row>
    <row r="2093" spans="1:6" x14ac:dyDescent="0.3">
      <c r="A2093" s="24">
        <v>36971</v>
      </c>
      <c r="B2093" s="66">
        <v>407.726</v>
      </c>
      <c r="C2093" s="67"/>
      <c r="D2093" s="68">
        <v>0</v>
      </c>
      <c r="E2093" s="110">
        <f t="shared" si="33"/>
        <v>37193</v>
      </c>
      <c r="F2093" s="69">
        <v>1.1680688122863466E-2</v>
      </c>
    </row>
    <row r="2094" spans="1:6" x14ac:dyDescent="0.3">
      <c r="A2094" s="24">
        <v>36972</v>
      </c>
      <c r="B2094" s="66">
        <v>407.726</v>
      </c>
      <c r="C2094" s="67"/>
      <c r="D2094" s="68">
        <v>0</v>
      </c>
      <c r="E2094" s="110">
        <f t="shared" si="33"/>
        <v>37193</v>
      </c>
      <c r="F2094" s="69">
        <v>1.1680688122863466E-2</v>
      </c>
    </row>
    <row r="2095" spans="1:6" x14ac:dyDescent="0.3">
      <c r="A2095" s="24">
        <v>36973</v>
      </c>
      <c r="B2095" s="66">
        <v>407.726</v>
      </c>
      <c r="C2095" s="67"/>
      <c r="D2095" s="68">
        <v>0</v>
      </c>
      <c r="E2095" s="110">
        <f t="shared" si="33"/>
        <v>37193</v>
      </c>
      <c r="F2095" s="69">
        <v>1.1680688122863466E-2</v>
      </c>
    </row>
    <row r="2096" spans="1:6" x14ac:dyDescent="0.3">
      <c r="A2096" s="24">
        <v>36974</v>
      </c>
      <c r="B2096" s="66">
        <v>407.726</v>
      </c>
      <c r="C2096" s="67"/>
      <c r="D2096" s="68">
        <v>0</v>
      </c>
      <c r="E2096" s="110">
        <f t="shared" si="33"/>
        <v>37193</v>
      </c>
      <c r="F2096" s="69">
        <v>1.1680688122863466E-2</v>
      </c>
    </row>
    <row r="2097" spans="1:6" x14ac:dyDescent="0.3">
      <c r="A2097" s="24">
        <v>36975</v>
      </c>
      <c r="B2097" s="66">
        <v>407.726</v>
      </c>
      <c r="C2097" s="67"/>
      <c r="D2097" s="68">
        <v>0</v>
      </c>
      <c r="E2097" s="110">
        <f t="shared" si="33"/>
        <v>37193</v>
      </c>
      <c r="F2097" s="69">
        <v>1.1680688122863466E-2</v>
      </c>
    </row>
    <row r="2098" spans="1:6" x14ac:dyDescent="0.3">
      <c r="A2098" s="24">
        <v>36976</v>
      </c>
      <c r="B2098" s="66">
        <v>407.726</v>
      </c>
      <c r="C2098" s="67"/>
      <c r="D2098" s="68">
        <v>0</v>
      </c>
      <c r="E2098" s="110">
        <f t="shared" si="33"/>
        <v>37193</v>
      </c>
      <c r="F2098" s="69">
        <v>1.1680688122863466E-2</v>
      </c>
    </row>
    <row r="2099" spans="1:6" x14ac:dyDescent="0.3">
      <c r="A2099" s="24">
        <v>36977</v>
      </c>
      <c r="B2099" s="66">
        <v>407.726</v>
      </c>
      <c r="C2099" s="67"/>
      <c r="D2099" s="68">
        <v>0</v>
      </c>
      <c r="E2099" s="110">
        <f t="shared" si="33"/>
        <v>37193</v>
      </c>
      <c r="F2099" s="69">
        <v>1.1680688122863466E-2</v>
      </c>
    </row>
    <row r="2100" spans="1:6" x14ac:dyDescent="0.3">
      <c r="A2100" s="24">
        <v>36978</v>
      </c>
      <c r="B2100" s="66">
        <v>407.726</v>
      </c>
      <c r="C2100" s="67"/>
      <c r="D2100" s="68">
        <v>0</v>
      </c>
      <c r="E2100" s="110">
        <f t="shared" si="33"/>
        <v>37193</v>
      </c>
      <c r="F2100" s="69">
        <v>1.1680688122863466E-2</v>
      </c>
    </row>
    <row r="2101" spans="1:6" x14ac:dyDescent="0.3">
      <c r="A2101" s="24">
        <v>36979</v>
      </c>
      <c r="B2101" s="66">
        <v>407.726</v>
      </c>
      <c r="C2101" s="67"/>
      <c r="D2101" s="68">
        <v>0</v>
      </c>
      <c r="E2101" s="110">
        <f t="shared" si="33"/>
        <v>37193</v>
      </c>
      <c r="F2101" s="69">
        <v>1.1680688122863466E-2</v>
      </c>
    </row>
    <row r="2102" spans="1:6" x14ac:dyDescent="0.3">
      <c r="A2102" s="24">
        <v>36980</v>
      </c>
      <c r="B2102" s="66">
        <v>407.726</v>
      </c>
      <c r="C2102" s="67"/>
      <c r="D2102" s="68">
        <v>0</v>
      </c>
      <c r="E2102" s="110">
        <f t="shared" si="33"/>
        <v>37193</v>
      </c>
      <c r="F2102" s="69">
        <v>1.1444877552412509E-2</v>
      </c>
    </row>
    <row r="2103" spans="1:6" x14ac:dyDescent="0.3">
      <c r="A2103" s="24">
        <v>36981</v>
      </c>
      <c r="B2103" s="66">
        <v>412.81099999999998</v>
      </c>
      <c r="C2103" s="67"/>
      <c r="D2103" s="68">
        <v>0</v>
      </c>
      <c r="E2103" s="110">
        <f t="shared" si="33"/>
        <v>37193</v>
      </c>
      <c r="F2103" s="69">
        <v>1.1444877552412509E-2</v>
      </c>
    </row>
    <row r="2104" spans="1:6" x14ac:dyDescent="0.3">
      <c r="A2104" s="24">
        <v>36982</v>
      </c>
      <c r="B2104" s="66">
        <v>412.81099999999998</v>
      </c>
      <c r="C2104" s="67"/>
      <c r="D2104" s="68">
        <v>0</v>
      </c>
      <c r="E2104" s="110">
        <f t="shared" si="33"/>
        <v>37193</v>
      </c>
      <c r="F2104" s="69">
        <v>1.1444877552412509E-2</v>
      </c>
    </row>
    <row r="2105" spans="1:6" x14ac:dyDescent="0.3">
      <c r="A2105" s="24">
        <v>36983</v>
      </c>
      <c r="B2105" s="66">
        <v>412.81099999999998</v>
      </c>
      <c r="C2105" s="67"/>
      <c r="D2105" s="68">
        <v>0</v>
      </c>
      <c r="E2105" s="110">
        <f t="shared" si="33"/>
        <v>37193</v>
      </c>
      <c r="F2105" s="69">
        <v>1.1444877552412509E-2</v>
      </c>
    </row>
    <row r="2106" spans="1:6" x14ac:dyDescent="0.3">
      <c r="A2106" s="24">
        <v>36984</v>
      </c>
      <c r="B2106" s="66">
        <v>412.81099999999998</v>
      </c>
      <c r="C2106" s="67"/>
      <c r="D2106" s="68">
        <v>0</v>
      </c>
      <c r="E2106" s="110">
        <f t="shared" si="33"/>
        <v>37193</v>
      </c>
      <c r="F2106" s="69">
        <v>1.1444877552412509E-2</v>
      </c>
    </row>
    <row r="2107" spans="1:6" x14ac:dyDescent="0.3">
      <c r="A2107" s="24">
        <v>36985</v>
      </c>
      <c r="B2107" s="66">
        <v>412.81099999999998</v>
      </c>
      <c r="C2107" s="67"/>
      <c r="D2107" s="68">
        <v>0</v>
      </c>
      <c r="E2107" s="110">
        <f t="shared" si="33"/>
        <v>37193</v>
      </c>
      <c r="F2107" s="69">
        <v>1.1444877552412509E-2</v>
      </c>
    </row>
    <row r="2108" spans="1:6" x14ac:dyDescent="0.3">
      <c r="A2108" s="24">
        <v>36986</v>
      </c>
      <c r="B2108" s="66">
        <v>412.81099999999998</v>
      </c>
      <c r="C2108" s="67"/>
      <c r="D2108" s="68">
        <v>0</v>
      </c>
      <c r="E2108" s="110">
        <f t="shared" si="33"/>
        <v>37193</v>
      </c>
      <c r="F2108" s="69">
        <v>1.1444877552412509E-2</v>
      </c>
    </row>
    <row r="2109" spans="1:6" x14ac:dyDescent="0.3">
      <c r="A2109" s="24">
        <v>36987</v>
      </c>
      <c r="B2109" s="66">
        <v>412.81099999999998</v>
      </c>
      <c r="C2109" s="67"/>
      <c r="D2109" s="68">
        <v>0</v>
      </c>
      <c r="E2109" s="110">
        <f t="shared" si="33"/>
        <v>37193</v>
      </c>
      <c r="F2109" s="69">
        <v>1.1444877552412509E-2</v>
      </c>
    </row>
    <row r="2110" spans="1:6" x14ac:dyDescent="0.3">
      <c r="A2110" s="24">
        <v>36988</v>
      </c>
      <c r="B2110" s="66">
        <v>412.81099999999998</v>
      </c>
      <c r="C2110" s="67"/>
      <c r="D2110" s="68">
        <v>0</v>
      </c>
      <c r="E2110" s="110">
        <f t="shared" si="33"/>
        <v>37193</v>
      </c>
      <c r="F2110" s="69">
        <v>1.1444877552412509E-2</v>
      </c>
    </row>
    <row r="2111" spans="1:6" x14ac:dyDescent="0.3">
      <c r="A2111" s="24">
        <v>36989</v>
      </c>
      <c r="B2111" s="66">
        <v>412.81099999999998</v>
      </c>
      <c r="C2111" s="67"/>
      <c r="D2111" s="68">
        <v>0</v>
      </c>
      <c r="E2111" s="110">
        <f t="shared" si="33"/>
        <v>37193</v>
      </c>
      <c r="F2111" s="69">
        <v>1.1444877552412509E-2</v>
      </c>
    </row>
    <row r="2112" spans="1:6" x14ac:dyDescent="0.3">
      <c r="A2112" s="24">
        <v>36990</v>
      </c>
      <c r="B2112" s="66">
        <v>412.81099999999998</v>
      </c>
      <c r="C2112" s="67"/>
      <c r="D2112" s="68">
        <v>0</v>
      </c>
      <c r="E2112" s="110">
        <f t="shared" si="33"/>
        <v>37193</v>
      </c>
      <c r="F2112" s="69">
        <v>1.1444877552412509E-2</v>
      </c>
    </row>
    <row r="2113" spans="1:6" x14ac:dyDescent="0.3">
      <c r="A2113" s="24">
        <v>36991</v>
      </c>
      <c r="B2113" s="66">
        <v>412.81099999999998</v>
      </c>
      <c r="C2113" s="67"/>
      <c r="D2113" s="68">
        <v>0</v>
      </c>
      <c r="E2113" s="110">
        <f t="shared" si="33"/>
        <v>37193</v>
      </c>
      <c r="F2113" s="69">
        <v>1.1444877552412509E-2</v>
      </c>
    </row>
    <row r="2114" spans="1:6" x14ac:dyDescent="0.3">
      <c r="A2114" s="24">
        <v>36992</v>
      </c>
      <c r="B2114" s="66">
        <v>412.81099999999998</v>
      </c>
      <c r="C2114" s="67"/>
      <c r="D2114" s="68">
        <v>0</v>
      </c>
      <c r="E2114" s="110">
        <f t="shared" si="33"/>
        <v>37193</v>
      </c>
      <c r="F2114" s="69">
        <v>1.1444877552412509E-2</v>
      </c>
    </row>
    <row r="2115" spans="1:6" x14ac:dyDescent="0.3">
      <c r="A2115" s="24">
        <v>36993</v>
      </c>
      <c r="B2115" s="66">
        <v>412.81099999999998</v>
      </c>
      <c r="C2115" s="67"/>
      <c r="D2115" s="68">
        <v>0</v>
      </c>
      <c r="E2115" s="110">
        <f t="shared" si="33"/>
        <v>37193</v>
      </c>
      <c r="F2115" s="69">
        <v>1.1444877552412509E-2</v>
      </c>
    </row>
    <row r="2116" spans="1:6" x14ac:dyDescent="0.3">
      <c r="A2116" s="24">
        <v>36994</v>
      </c>
      <c r="B2116" s="66">
        <v>412.81099999999998</v>
      </c>
      <c r="C2116" s="67"/>
      <c r="D2116" s="68">
        <v>0</v>
      </c>
      <c r="E2116" s="110">
        <f t="shared" si="33"/>
        <v>37193</v>
      </c>
      <c r="F2116" s="69">
        <v>1.1444877552412509E-2</v>
      </c>
    </row>
    <row r="2117" spans="1:6" x14ac:dyDescent="0.3">
      <c r="A2117" s="24">
        <v>36995</v>
      </c>
      <c r="B2117" s="66">
        <v>412.81099999999998</v>
      </c>
      <c r="C2117" s="67"/>
      <c r="D2117" s="68">
        <v>0</v>
      </c>
      <c r="E2117" s="110">
        <f t="shared" si="33"/>
        <v>37193</v>
      </c>
      <c r="F2117" s="69">
        <v>1.1444877552412509E-2</v>
      </c>
    </row>
    <row r="2118" spans="1:6" x14ac:dyDescent="0.3">
      <c r="A2118" s="24">
        <v>36996</v>
      </c>
      <c r="B2118" s="66">
        <v>412.81099999999998</v>
      </c>
      <c r="C2118" s="67"/>
      <c r="D2118" s="68">
        <v>0</v>
      </c>
      <c r="E2118" s="110">
        <f t="shared" si="33"/>
        <v>37193</v>
      </c>
      <c r="F2118" s="69">
        <v>1.1444877552412509E-2</v>
      </c>
    </row>
    <row r="2119" spans="1:6" x14ac:dyDescent="0.3">
      <c r="A2119" s="24">
        <v>36997</v>
      </c>
      <c r="B2119" s="66">
        <v>412.81099999999998</v>
      </c>
      <c r="C2119" s="67"/>
      <c r="D2119" s="68">
        <v>0</v>
      </c>
      <c r="E2119" s="110">
        <f t="shared" si="33"/>
        <v>37193</v>
      </c>
      <c r="F2119" s="69">
        <v>1.1444877552412509E-2</v>
      </c>
    </row>
    <row r="2120" spans="1:6" x14ac:dyDescent="0.3">
      <c r="A2120" s="24">
        <v>36998</v>
      </c>
      <c r="B2120" s="66">
        <v>412.81099999999998</v>
      </c>
      <c r="C2120" s="67"/>
      <c r="D2120" s="68">
        <v>0</v>
      </c>
      <c r="E2120" s="110">
        <f t="shared" si="33"/>
        <v>37193</v>
      </c>
      <c r="F2120" s="69">
        <v>1.1444877552412509E-2</v>
      </c>
    </row>
    <row r="2121" spans="1:6" x14ac:dyDescent="0.3">
      <c r="A2121" s="24">
        <v>36999</v>
      </c>
      <c r="B2121" s="66">
        <v>412.81099999999998</v>
      </c>
      <c r="C2121" s="67"/>
      <c r="D2121" s="68">
        <v>0</v>
      </c>
      <c r="E2121" s="110">
        <f t="shared" si="33"/>
        <v>37193</v>
      </c>
      <c r="F2121" s="69">
        <v>1.1444877552412509E-2</v>
      </c>
    </row>
    <row r="2122" spans="1:6" x14ac:dyDescent="0.3">
      <c r="A2122" s="24">
        <v>37000</v>
      </c>
      <c r="B2122" s="66">
        <v>412.81099999999998</v>
      </c>
      <c r="C2122" s="67"/>
      <c r="D2122" s="68">
        <v>0</v>
      </c>
      <c r="E2122" s="110">
        <f t="shared" si="33"/>
        <v>37193</v>
      </c>
      <c r="F2122" s="69">
        <v>1.1444877552412509E-2</v>
      </c>
    </row>
    <row r="2123" spans="1:6" x14ac:dyDescent="0.3">
      <c r="A2123" s="24">
        <v>37001</v>
      </c>
      <c r="B2123" s="66">
        <v>412.81099999999998</v>
      </c>
      <c r="C2123" s="67"/>
      <c r="D2123" s="68">
        <v>0</v>
      </c>
      <c r="E2123" s="110">
        <f t="shared" si="33"/>
        <v>37193</v>
      </c>
      <c r="F2123" s="69">
        <v>1.1444877552412509E-2</v>
      </c>
    </row>
    <row r="2124" spans="1:6" x14ac:dyDescent="0.3">
      <c r="A2124" s="24">
        <v>37002</v>
      </c>
      <c r="B2124" s="66">
        <v>412.81099999999998</v>
      </c>
      <c r="C2124" s="67"/>
      <c r="D2124" s="68">
        <v>0</v>
      </c>
      <c r="E2124" s="110">
        <f t="shared" si="33"/>
        <v>37193</v>
      </c>
      <c r="F2124" s="69">
        <v>1.1444877552412509E-2</v>
      </c>
    </row>
    <row r="2125" spans="1:6" x14ac:dyDescent="0.3">
      <c r="A2125" s="24">
        <v>37003</v>
      </c>
      <c r="B2125" s="66">
        <v>412.81099999999998</v>
      </c>
      <c r="C2125" s="67"/>
      <c r="D2125" s="68">
        <v>0</v>
      </c>
      <c r="E2125" s="110">
        <f t="shared" si="33"/>
        <v>37193</v>
      </c>
      <c r="F2125" s="69">
        <v>1.1444877552412509E-2</v>
      </c>
    </row>
    <row r="2126" spans="1:6" x14ac:dyDescent="0.3">
      <c r="A2126" s="24">
        <v>37004</v>
      </c>
      <c r="B2126" s="66">
        <v>412.81099999999998</v>
      </c>
      <c r="C2126" s="67"/>
      <c r="D2126" s="68">
        <v>0</v>
      </c>
      <c r="E2126" s="110">
        <f t="shared" si="33"/>
        <v>37193</v>
      </c>
      <c r="F2126" s="69">
        <v>1.1444877552412509E-2</v>
      </c>
    </row>
    <row r="2127" spans="1:6" x14ac:dyDescent="0.3">
      <c r="A2127" s="24">
        <v>37005</v>
      </c>
      <c r="B2127" s="66">
        <v>412.81099999999998</v>
      </c>
      <c r="C2127" s="67"/>
      <c r="D2127" s="68">
        <v>0</v>
      </c>
      <c r="E2127" s="110">
        <f t="shared" si="33"/>
        <v>37193</v>
      </c>
      <c r="F2127" s="69">
        <v>1.1444877552412509E-2</v>
      </c>
    </row>
    <row r="2128" spans="1:6" x14ac:dyDescent="0.3">
      <c r="A2128" s="24">
        <v>37006</v>
      </c>
      <c r="B2128" s="66">
        <v>412.81099999999998</v>
      </c>
      <c r="C2128" s="67"/>
      <c r="D2128" s="68">
        <v>0</v>
      </c>
      <c r="E2128" s="110">
        <f t="shared" si="33"/>
        <v>37193</v>
      </c>
      <c r="F2128" s="69">
        <v>1.1444877552412509E-2</v>
      </c>
    </row>
    <row r="2129" spans="1:6" x14ac:dyDescent="0.3">
      <c r="A2129" s="24">
        <v>37007</v>
      </c>
      <c r="B2129" s="66">
        <v>412.81099999999998</v>
      </c>
      <c r="C2129" s="67"/>
      <c r="D2129" s="68">
        <v>0</v>
      </c>
      <c r="E2129" s="110">
        <f t="shared" si="33"/>
        <v>37193</v>
      </c>
      <c r="F2129" s="69">
        <v>1.1444877552412509E-2</v>
      </c>
    </row>
    <row r="2130" spans="1:6" x14ac:dyDescent="0.3">
      <c r="A2130" s="24">
        <v>37008</v>
      </c>
      <c r="B2130" s="66">
        <v>412.81099999999998</v>
      </c>
      <c r="C2130" s="67"/>
      <c r="D2130" s="68">
        <v>0</v>
      </c>
      <c r="E2130" s="110">
        <f t="shared" ref="E2130:E2193" si="34">+E2129</f>
        <v>37193</v>
      </c>
      <c r="F2130" s="69">
        <v>1.1444877552412509E-2</v>
      </c>
    </row>
    <row r="2131" spans="1:6" x14ac:dyDescent="0.3">
      <c r="A2131" s="24">
        <v>37009</v>
      </c>
      <c r="B2131" s="66">
        <v>412.81099999999998</v>
      </c>
      <c r="C2131" s="67"/>
      <c r="D2131" s="68">
        <v>0</v>
      </c>
      <c r="E2131" s="110">
        <f t="shared" si="34"/>
        <v>37193</v>
      </c>
      <c r="F2131" s="69">
        <v>1.1444877552412509E-2</v>
      </c>
    </row>
    <row r="2132" spans="1:6" x14ac:dyDescent="0.3">
      <c r="A2132" s="24">
        <v>37010</v>
      </c>
      <c r="B2132" s="66">
        <v>412.81099999999998</v>
      </c>
      <c r="C2132" s="67"/>
      <c r="D2132" s="68">
        <v>0</v>
      </c>
      <c r="E2132" s="110">
        <f t="shared" si="34"/>
        <v>37193</v>
      </c>
      <c r="F2132" s="69">
        <v>1.1444877552412509E-2</v>
      </c>
    </row>
    <row r="2133" spans="1:6" x14ac:dyDescent="0.3">
      <c r="A2133" s="24">
        <v>37011</v>
      </c>
      <c r="B2133" s="66">
        <v>412.81099999999998</v>
      </c>
      <c r="C2133" s="67"/>
      <c r="D2133" s="68">
        <v>0</v>
      </c>
      <c r="E2133" s="110">
        <f t="shared" si="34"/>
        <v>37193</v>
      </c>
      <c r="F2133" s="69">
        <v>1.1444877552412509E-2</v>
      </c>
    </row>
    <row r="2134" spans="1:6" x14ac:dyDescent="0.3">
      <c r="A2134" s="24">
        <v>37012</v>
      </c>
      <c r="B2134" s="66">
        <v>412.81099999999998</v>
      </c>
      <c r="C2134" s="67"/>
      <c r="D2134" s="68">
        <v>0</v>
      </c>
      <c r="E2134" s="110">
        <f t="shared" si="34"/>
        <v>37193</v>
      </c>
      <c r="F2134" s="69">
        <v>1.1444877552412509E-2</v>
      </c>
    </row>
    <row r="2135" spans="1:6" x14ac:dyDescent="0.3">
      <c r="A2135" s="24">
        <v>37013</v>
      </c>
      <c r="B2135" s="66">
        <v>412.81099999999998</v>
      </c>
      <c r="C2135" s="67"/>
      <c r="D2135" s="68">
        <v>4.3939481678873076</v>
      </c>
      <c r="E2135" s="110">
        <f t="shared" si="34"/>
        <v>37193</v>
      </c>
      <c r="F2135" s="69">
        <v>1.1426683122655754E-2</v>
      </c>
    </row>
    <row r="2136" spans="1:6" x14ac:dyDescent="0.3">
      <c r="A2136" s="24">
        <v>37014</v>
      </c>
      <c r="B2136" s="66">
        <v>412.81099999999998</v>
      </c>
      <c r="C2136" s="67"/>
      <c r="D2136" s="68">
        <v>0</v>
      </c>
      <c r="E2136" s="110">
        <f t="shared" si="34"/>
        <v>37193</v>
      </c>
      <c r="F2136" s="69">
        <v>1.1426683122655754E-2</v>
      </c>
    </row>
    <row r="2137" spans="1:6" x14ac:dyDescent="0.3">
      <c r="A2137" s="24">
        <v>37015</v>
      </c>
      <c r="B2137" s="66">
        <v>412.81099999999998</v>
      </c>
      <c r="C2137" s="67"/>
      <c r="D2137" s="68">
        <v>0</v>
      </c>
      <c r="E2137" s="110">
        <f t="shared" si="34"/>
        <v>37193</v>
      </c>
      <c r="F2137" s="69">
        <v>1.1426683122655754E-2</v>
      </c>
    </row>
    <row r="2138" spans="1:6" x14ac:dyDescent="0.3">
      <c r="A2138" s="24">
        <v>37016</v>
      </c>
      <c r="B2138" s="66">
        <v>412.81099999999998</v>
      </c>
      <c r="C2138" s="67"/>
      <c r="D2138" s="68">
        <v>0</v>
      </c>
      <c r="E2138" s="110">
        <f t="shared" si="34"/>
        <v>37193</v>
      </c>
      <c r="F2138" s="69">
        <v>1.1426683122655754E-2</v>
      </c>
    </row>
    <row r="2139" spans="1:6" x14ac:dyDescent="0.3">
      <c r="A2139" s="24">
        <v>37017</v>
      </c>
      <c r="B2139" s="66">
        <v>412.81099999999998</v>
      </c>
      <c r="C2139" s="67"/>
      <c r="D2139" s="68">
        <v>0</v>
      </c>
      <c r="E2139" s="110">
        <f t="shared" si="34"/>
        <v>37193</v>
      </c>
      <c r="F2139" s="69">
        <v>1.1426683122655754E-2</v>
      </c>
    </row>
    <row r="2140" spans="1:6" x14ac:dyDescent="0.3">
      <c r="A2140" s="24">
        <v>37018</v>
      </c>
      <c r="B2140" s="66">
        <v>412.81099999999998</v>
      </c>
      <c r="C2140" s="67"/>
      <c r="D2140" s="68">
        <v>0</v>
      </c>
      <c r="E2140" s="110">
        <f t="shared" si="34"/>
        <v>37193</v>
      </c>
      <c r="F2140" s="69">
        <v>1.1426683122655754E-2</v>
      </c>
    </row>
    <row r="2141" spans="1:6" x14ac:dyDescent="0.3">
      <c r="A2141" s="24">
        <v>37019</v>
      </c>
      <c r="B2141" s="66">
        <v>412.81099999999998</v>
      </c>
      <c r="C2141" s="67"/>
      <c r="D2141" s="68">
        <v>0</v>
      </c>
      <c r="E2141" s="110">
        <f t="shared" si="34"/>
        <v>37193</v>
      </c>
      <c r="F2141" s="69">
        <v>1.1426683122655754E-2</v>
      </c>
    </row>
    <row r="2142" spans="1:6" x14ac:dyDescent="0.3">
      <c r="A2142" s="24">
        <v>37020</v>
      </c>
      <c r="B2142" s="66">
        <v>412.81099999999998</v>
      </c>
      <c r="C2142" s="67"/>
      <c r="D2142" s="68">
        <v>0</v>
      </c>
      <c r="E2142" s="110">
        <f t="shared" si="34"/>
        <v>37193</v>
      </c>
      <c r="F2142" s="69">
        <v>1.1426683122655754E-2</v>
      </c>
    </row>
    <row r="2143" spans="1:6" x14ac:dyDescent="0.3">
      <c r="A2143" s="24">
        <v>37021</v>
      </c>
      <c r="B2143" s="66">
        <v>412.81099999999998</v>
      </c>
      <c r="C2143" s="67"/>
      <c r="D2143" s="68">
        <v>0</v>
      </c>
      <c r="E2143" s="110">
        <f t="shared" si="34"/>
        <v>37193</v>
      </c>
      <c r="F2143" s="69">
        <v>1.1426683122655754E-2</v>
      </c>
    </row>
    <row r="2144" spans="1:6" x14ac:dyDescent="0.3">
      <c r="A2144" s="24">
        <v>37022</v>
      </c>
      <c r="B2144" s="66">
        <v>412.81099999999998</v>
      </c>
      <c r="C2144" s="67"/>
      <c r="D2144" s="68">
        <v>0</v>
      </c>
      <c r="E2144" s="110">
        <f t="shared" si="34"/>
        <v>37193</v>
      </c>
      <c r="F2144" s="69">
        <v>1.1426683122655754E-2</v>
      </c>
    </row>
    <row r="2145" spans="1:6" x14ac:dyDescent="0.3">
      <c r="A2145" s="24">
        <v>37023</v>
      </c>
      <c r="B2145" s="66">
        <v>412.81099999999998</v>
      </c>
      <c r="C2145" s="67"/>
      <c r="D2145" s="68">
        <v>0</v>
      </c>
      <c r="E2145" s="110">
        <f t="shared" si="34"/>
        <v>37193</v>
      </c>
      <c r="F2145" s="69">
        <v>1.1426683122655754E-2</v>
      </c>
    </row>
    <row r="2146" spans="1:6" x14ac:dyDescent="0.3">
      <c r="A2146" s="24">
        <v>37024</v>
      </c>
      <c r="B2146" s="66">
        <v>412.81099999999998</v>
      </c>
      <c r="C2146" s="67"/>
      <c r="D2146" s="68">
        <v>0</v>
      </c>
      <c r="E2146" s="110">
        <f t="shared" si="34"/>
        <v>37193</v>
      </c>
      <c r="F2146" s="69">
        <v>1.1426683122655754E-2</v>
      </c>
    </row>
    <row r="2147" spans="1:6" x14ac:dyDescent="0.3">
      <c r="A2147" s="24">
        <v>37025</v>
      </c>
      <c r="B2147" s="66">
        <v>412.81099999999998</v>
      </c>
      <c r="C2147" s="67"/>
      <c r="D2147" s="68">
        <v>0</v>
      </c>
      <c r="E2147" s="110">
        <f t="shared" si="34"/>
        <v>37193</v>
      </c>
      <c r="F2147" s="69">
        <v>1.1426683122655754E-2</v>
      </c>
    </row>
    <row r="2148" spans="1:6" x14ac:dyDescent="0.3">
      <c r="A2148" s="24">
        <v>37026</v>
      </c>
      <c r="B2148" s="66">
        <v>412.81099999999998</v>
      </c>
      <c r="C2148" s="67"/>
      <c r="D2148" s="68">
        <v>0</v>
      </c>
      <c r="E2148" s="110">
        <f t="shared" si="34"/>
        <v>37193</v>
      </c>
      <c r="F2148" s="69">
        <v>1.1426683122655754E-2</v>
      </c>
    </row>
    <row r="2149" spans="1:6" x14ac:dyDescent="0.3">
      <c r="A2149" s="24">
        <v>37027</v>
      </c>
      <c r="B2149" s="66">
        <v>412.81099999999998</v>
      </c>
      <c r="C2149" s="67"/>
      <c r="D2149" s="68">
        <v>0</v>
      </c>
      <c r="E2149" s="110">
        <f t="shared" si="34"/>
        <v>37193</v>
      </c>
      <c r="F2149" s="69">
        <v>1.1426683122655754E-2</v>
      </c>
    </row>
    <row r="2150" spans="1:6" x14ac:dyDescent="0.3">
      <c r="A2150" s="24">
        <v>37028</v>
      </c>
      <c r="B2150" s="66">
        <v>412.81099999999998</v>
      </c>
      <c r="C2150" s="67"/>
      <c r="D2150" s="68">
        <v>0</v>
      </c>
      <c r="E2150" s="110">
        <f t="shared" si="34"/>
        <v>37193</v>
      </c>
      <c r="F2150" s="69">
        <v>1.1426683122655754E-2</v>
      </c>
    </row>
    <row r="2151" spans="1:6" x14ac:dyDescent="0.3">
      <c r="A2151" s="24">
        <v>37029</v>
      </c>
      <c r="B2151" s="66">
        <v>412.81099999999998</v>
      </c>
      <c r="C2151" s="67"/>
      <c r="D2151" s="68">
        <v>0</v>
      </c>
      <c r="E2151" s="110">
        <f t="shared" si="34"/>
        <v>37193</v>
      </c>
      <c r="F2151" s="69">
        <v>1.1426683122655754E-2</v>
      </c>
    </row>
    <row r="2152" spans="1:6" x14ac:dyDescent="0.3">
      <c r="A2152" s="24">
        <v>37030</v>
      </c>
      <c r="B2152" s="66">
        <v>412.81099999999998</v>
      </c>
      <c r="C2152" s="67"/>
      <c r="D2152" s="68">
        <v>0</v>
      </c>
      <c r="E2152" s="110">
        <f t="shared" si="34"/>
        <v>37193</v>
      </c>
      <c r="F2152" s="69">
        <v>1.1426683122655754E-2</v>
      </c>
    </row>
    <row r="2153" spans="1:6" x14ac:dyDescent="0.3">
      <c r="A2153" s="24">
        <v>37031</v>
      </c>
      <c r="B2153" s="66">
        <v>412.81099999999998</v>
      </c>
      <c r="C2153" s="67"/>
      <c r="D2153" s="68">
        <v>0</v>
      </c>
      <c r="E2153" s="110">
        <f t="shared" si="34"/>
        <v>37193</v>
      </c>
      <c r="F2153" s="69">
        <v>1.1426683122655754E-2</v>
      </c>
    </row>
    <row r="2154" spans="1:6" x14ac:dyDescent="0.3">
      <c r="A2154" s="24">
        <v>37032</v>
      </c>
      <c r="B2154" s="66">
        <v>412.81099999999998</v>
      </c>
      <c r="C2154" s="67"/>
      <c r="D2154" s="68">
        <v>0</v>
      </c>
      <c r="E2154" s="110">
        <f t="shared" si="34"/>
        <v>37193</v>
      </c>
      <c r="F2154" s="69">
        <v>1.1426683122655754E-2</v>
      </c>
    </row>
    <row r="2155" spans="1:6" x14ac:dyDescent="0.3">
      <c r="A2155" s="24">
        <v>37033</v>
      </c>
      <c r="B2155" s="66">
        <v>412.81099999999998</v>
      </c>
      <c r="C2155" s="67"/>
      <c r="D2155" s="68">
        <v>0</v>
      </c>
      <c r="E2155" s="110">
        <f t="shared" si="34"/>
        <v>37193</v>
      </c>
      <c r="F2155" s="69">
        <v>1.1426683122655754E-2</v>
      </c>
    </row>
    <row r="2156" spans="1:6" x14ac:dyDescent="0.3">
      <c r="A2156" s="24">
        <v>37034</v>
      </c>
      <c r="B2156" s="66">
        <v>412.81099999999998</v>
      </c>
      <c r="C2156" s="67"/>
      <c r="D2156" s="68">
        <v>0</v>
      </c>
      <c r="E2156" s="110">
        <f t="shared" si="34"/>
        <v>37193</v>
      </c>
      <c r="F2156" s="69">
        <v>1.1426683122655754E-2</v>
      </c>
    </row>
    <row r="2157" spans="1:6" x14ac:dyDescent="0.3">
      <c r="A2157" s="24">
        <v>37035</v>
      </c>
      <c r="B2157" s="66">
        <v>412.81099999999998</v>
      </c>
      <c r="C2157" s="67"/>
      <c r="D2157" s="68">
        <v>0</v>
      </c>
      <c r="E2157" s="110">
        <f t="shared" si="34"/>
        <v>37193</v>
      </c>
      <c r="F2157" s="69">
        <v>1.1426683122655754E-2</v>
      </c>
    </row>
    <row r="2158" spans="1:6" x14ac:dyDescent="0.3">
      <c r="A2158" s="24">
        <v>37036</v>
      </c>
      <c r="B2158" s="66">
        <v>412.81099999999998</v>
      </c>
      <c r="C2158" s="67"/>
      <c r="D2158" s="68">
        <v>0</v>
      </c>
      <c r="E2158" s="110">
        <f t="shared" si="34"/>
        <v>37193</v>
      </c>
      <c r="F2158" s="69">
        <v>1.1426683122655754E-2</v>
      </c>
    </row>
    <row r="2159" spans="1:6" x14ac:dyDescent="0.3">
      <c r="A2159" s="24">
        <v>37037</v>
      </c>
      <c r="B2159" s="66">
        <v>412.81099999999998</v>
      </c>
      <c r="C2159" s="67"/>
      <c r="D2159" s="68">
        <v>0</v>
      </c>
      <c r="E2159" s="110">
        <f t="shared" si="34"/>
        <v>37193</v>
      </c>
      <c r="F2159" s="69">
        <v>1.1426683122655754E-2</v>
      </c>
    </row>
    <row r="2160" spans="1:6" x14ac:dyDescent="0.3">
      <c r="A2160" s="24">
        <v>37038</v>
      </c>
      <c r="B2160" s="66">
        <v>412.81099999999998</v>
      </c>
      <c r="C2160" s="67"/>
      <c r="D2160" s="68">
        <v>0</v>
      </c>
      <c r="E2160" s="110">
        <f t="shared" si="34"/>
        <v>37193</v>
      </c>
      <c r="F2160" s="69">
        <v>1.1426683122655754E-2</v>
      </c>
    </row>
    <row r="2161" spans="1:6" x14ac:dyDescent="0.3">
      <c r="A2161" s="24">
        <v>37039</v>
      </c>
      <c r="B2161" s="66">
        <v>412.81099999999998</v>
      </c>
      <c r="C2161" s="67"/>
      <c r="D2161" s="68">
        <v>0</v>
      </c>
      <c r="E2161" s="110">
        <f t="shared" si="34"/>
        <v>37193</v>
      </c>
      <c r="F2161" s="69">
        <v>1.1426683122655754E-2</v>
      </c>
    </row>
    <row r="2162" spans="1:6" x14ac:dyDescent="0.3">
      <c r="A2162" s="24">
        <v>37040</v>
      </c>
      <c r="B2162" s="66">
        <v>412.81099999999998</v>
      </c>
      <c r="C2162" s="67"/>
      <c r="D2162" s="68">
        <v>0</v>
      </c>
      <c r="E2162" s="110">
        <f t="shared" si="34"/>
        <v>37193</v>
      </c>
      <c r="F2162" s="69">
        <v>1.1426683122655754E-2</v>
      </c>
    </row>
    <row r="2163" spans="1:6" x14ac:dyDescent="0.3">
      <c r="A2163" s="24">
        <v>37041</v>
      </c>
      <c r="B2163" s="66">
        <v>412.81099999999998</v>
      </c>
      <c r="C2163" s="67"/>
      <c r="D2163" s="68">
        <v>0</v>
      </c>
      <c r="E2163" s="110">
        <f t="shared" si="34"/>
        <v>37193</v>
      </c>
      <c r="F2163" s="69">
        <v>1.1426683122655754E-2</v>
      </c>
    </row>
    <row r="2164" spans="1:6" x14ac:dyDescent="0.3">
      <c r="A2164" s="24">
        <v>37042</v>
      </c>
      <c r="B2164" s="66">
        <v>412.81099999999998</v>
      </c>
      <c r="C2164" s="67"/>
      <c r="D2164" s="68">
        <v>0</v>
      </c>
      <c r="E2164" s="110">
        <f t="shared" si="34"/>
        <v>37193</v>
      </c>
      <c r="F2164" s="69">
        <v>1.1426683122655754E-2</v>
      </c>
    </row>
    <row r="2165" spans="1:6" x14ac:dyDescent="0.3">
      <c r="A2165" s="24">
        <v>37043</v>
      </c>
      <c r="B2165" s="66">
        <v>412.81099999999998</v>
      </c>
      <c r="C2165" s="67"/>
      <c r="D2165" s="68">
        <v>0</v>
      </c>
      <c r="E2165" s="110">
        <f t="shared" si="34"/>
        <v>37193</v>
      </c>
      <c r="F2165" s="69">
        <v>1.1426683122655754E-2</v>
      </c>
    </row>
    <row r="2166" spans="1:6" x14ac:dyDescent="0.3">
      <c r="A2166" s="24">
        <v>37044</v>
      </c>
      <c r="B2166" s="66">
        <v>412.81099999999998</v>
      </c>
      <c r="C2166" s="67"/>
      <c r="D2166" s="68">
        <v>0</v>
      </c>
      <c r="E2166" s="110">
        <f t="shared" si="34"/>
        <v>37193</v>
      </c>
      <c r="F2166" s="69">
        <v>1.1426683122655754E-2</v>
      </c>
    </row>
    <row r="2167" spans="1:6" x14ac:dyDescent="0.3">
      <c r="A2167" s="24">
        <v>37045</v>
      </c>
      <c r="B2167" s="66">
        <v>412.81099999999998</v>
      </c>
      <c r="C2167" s="67"/>
      <c r="D2167" s="68">
        <v>0</v>
      </c>
      <c r="E2167" s="110">
        <f t="shared" si="34"/>
        <v>37193</v>
      </c>
      <c r="F2167" s="69">
        <v>1.1426683122655754E-2</v>
      </c>
    </row>
    <row r="2168" spans="1:6" x14ac:dyDescent="0.3">
      <c r="A2168" s="24">
        <v>37046</v>
      </c>
      <c r="B2168" s="66">
        <v>412.81099999999998</v>
      </c>
      <c r="C2168" s="67"/>
      <c r="D2168" s="68">
        <v>0</v>
      </c>
      <c r="E2168" s="110">
        <f t="shared" si="34"/>
        <v>37193</v>
      </c>
      <c r="F2168" s="69">
        <v>1.1426683122655754E-2</v>
      </c>
    </row>
    <row r="2169" spans="1:6" x14ac:dyDescent="0.3">
      <c r="A2169" s="24">
        <v>37047</v>
      </c>
      <c r="B2169" s="66">
        <v>412.81099999999998</v>
      </c>
      <c r="C2169" s="67"/>
      <c r="D2169" s="68">
        <v>0</v>
      </c>
      <c r="E2169" s="110">
        <f t="shared" si="34"/>
        <v>37193</v>
      </c>
      <c r="F2169" s="69">
        <v>1.1426683122655754E-2</v>
      </c>
    </row>
    <row r="2170" spans="1:6" x14ac:dyDescent="0.3">
      <c r="A2170" s="24">
        <v>37048</v>
      </c>
      <c r="B2170" s="66">
        <v>412.81099999999998</v>
      </c>
      <c r="C2170" s="67"/>
      <c r="D2170" s="68">
        <v>0</v>
      </c>
      <c r="E2170" s="110">
        <f t="shared" si="34"/>
        <v>37193</v>
      </c>
      <c r="F2170" s="69">
        <v>1.1426683122655754E-2</v>
      </c>
    </row>
    <row r="2171" spans="1:6" x14ac:dyDescent="0.3">
      <c r="A2171" s="24">
        <v>37049</v>
      </c>
      <c r="B2171" s="66">
        <v>412.81099999999998</v>
      </c>
      <c r="C2171" s="67"/>
      <c r="D2171" s="68">
        <v>0</v>
      </c>
      <c r="E2171" s="110">
        <f t="shared" si="34"/>
        <v>37193</v>
      </c>
      <c r="F2171" s="69">
        <v>1.1426683122655754E-2</v>
      </c>
    </row>
    <row r="2172" spans="1:6" x14ac:dyDescent="0.3">
      <c r="A2172" s="24">
        <v>37050</v>
      </c>
      <c r="B2172" s="66">
        <v>412.81099999999998</v>
      </c>
      <c r="C2172" s="67"/>
      <c r="D2172" s="68">
        <v>0</v>
      </c>
      <c r="E2172" s="110">
        <f t="shared" si="34"/>
        <v>37193</v>
      </c>
      <c r="F2172" s="69">
        <v>1.1426683122655754E-2</v>
      </c>
    </row>
    <row r="2173" spans="1:6" x14ac:dyDescent="0.3">
      <c r="A2173" s="24">
        <v>37051</v>
      </c>
      <c r="B2173" s="66">
        <v>412.81099999999998</v>
      </c>
      <c r="C2173" s="67"/>
      <c r="D2173" s="68">
        <v>0</v>
      </c>
      <c r="E2173" s="110">
        <f t="shared" si="34"/>
        <v>37193</v>
      </c>
      <c r="F2173" s="69">
        <v>1.1426683122655754E-2</v>
      </c>
    </row>
    <row r="2174" spans="1:6" x14ac:dyDescent="0.3">
      <c r="A2174" s="24">
        <v>37052</v>
      </c>
      <c r="B2174" s="66">
        <v>412.81099999999998</v>
      </c>
      <c r="C2174" s="67"/>
      <c r="D2174" s="68">
        <v>0</v>
      </c>
      <c r="E2174" s="110">
        <f t="shared" si="34"/>
        <v>37193</v>
      </c>
      <c r="F2174" s="69">
        <v>1.1426683122655754E-2</v>
      </c>
    </row>
    <row r="2175" spans="1:6" x14ac:dyDescent="0.3">
      <c r="A2175" s="24">
        <v>37053</v>
      </c>
      <c r="B2175" s="66">
        <v>412.81099999999998</v>
      </c>
      <c r="C2175" s="67"/>
      <c r="D2175" s="68">
        <v>0</v>
      </c>
      <c r="E2175" s="110">
        <f t="shared" si="34"/>
        <v>37193</v>
      </c>
      <c r="F2175" s="69">
        <v>1.1426683122655754E-2</v>
      </c>
    </row>
    <row r="2176" spans="1:6" x14ac:dyDescent="0.3">
      <c r="A2176" s="24">
        <v>37054</v>
      </c>
      <c r="B2176" s="66">
        <v>412.81099999999998</v>
      </c>
      <c r="C2176" s="67"/>
      <c r="D2176" s="68">
        <v>0</v>
      </c>
      <c r="E2176" s="110">
        <f t="shared" si="34"/>
        <v>37193</v>
      </c>
      <c r="F2176" s="69">
        <v>1.1426683122655754E-2</v>
      </c>
    </row>
    <row r="2177" spans="1:6" x14ac:dyDescent="0.3">
      <c r="A2177" s="24">
        <v>37055</v>
      </c>
      <c r="B2177" s="66">
        <v>412.81099999999998</v>
      </c>
      <c r="C2177" s="67"/>
      <c r="D2177" s="68">
        <v>0</v>
      </c>
      <c r="E2177" s="110">
        <f t="shared" si="34"/>
        <v>37193</v>
      </c>
      <c r="F2177" s="69">
        <v>1.1426683122655754E-2</v>
      </c>
    </row>
    <row r="2178" spans="1:6" x14ac:dyDescent="0.3">
      <c r="A2178" s="24">
        <v>37056</v>
      </c>
      <c r="B2178" s="66">
        <v>412.81099999999998</v>
      </c>
      <c r="C2178" s="67"/>
      <c r="D2178" s="68">
        <v>0</v>
      </c>
      <c r="E2178" s="110">
        <f t="shared" si="34"/>
        <v>37193</v>
      </c>
      <c r="F2178" s="69">
        <v>1.1426683122655754E-2</v>
      </c>
    </row>
    <row r="2179" spans="1:6" x14ac:dyDescent="0.3">
      <c r="A2179" s="24">
        <v>37057</v>
      </c>
      <c r="B2179" s="66">
        <v>412.81099999999998</v>
      </c>
      <c r="C2179" s="67"/>
      <c r="D2179" s="68">
        <v>0</v>
      </c>
      <c r="E2179" s="110">
        <f t="shared" si="34"/>
        <v>37193</v>
      </c>
      <c r="F2179" s="69">
        <v>1.1426683122655754E-2</v>
      </c>
    </row>
    <row r="2180" spans="1:6" x14ac:dyDescent="0.3">
      <c r="A2180" s="24">
        <v>37058</v>
      </c>
      <c r="B2180" s="66">
        <v>412.81099999999998</v>
      </c>
      <c r="C2180" s="67"/>
      <c r="D2180" s="68">
        <v>0</v>
      </c>
      <c r="E2180" s="110">
        <f t="shared" si="34"/>
        <v>37193</v>
      </c>
      <c r="F2180" s="69">
        <v>1.1426683122655754E-2</v>
      </c>
    </row>
    <row r="2181" spans="1:6" x14ac:dyDescent="0.3">
      <c r="A2181" s="24">
        <v>37059</v>
      </c>
      <c r="B2181" s="66">
        <v>412.81099999999998</v>
      </c>
      <c r="C2181" s="67"/>
      <c r="D2181" s="68">
        <v>0</v>
      </c>
      <c r="E2181" s="110">
        <f t="shared" si="34"/>
        <v>37193</v>
      </c>
      <c r="F2181" s="69">
        <v>1.1426683122655754E-2</v>
      </c>
    </row>
    <row r="2182" spans="1:6" x14ac:dyDescent="0.3">
      <c r="A2182" s="24">
        <v>37060</v>
      </c>
      <c r="B2182" s="66">
        <v>412.81099999999998</v>
      </c>
      <c r="C2182" s="67"/>
      <c r="D2182" s="68">
        <v>0</v>
      </c>
      <c r="E2182" s="110">
        <f t="shared" si="34"/>
        <v>37193</v>
      </c>
      <c r="F2182" s="69">
        <v>1.1426683122655754E-2</v>
      </c>
    </row>
    <row r="2183" spans="1:6" x14ac:dyDescent="0.3">
      <c r="A2183" s="24">
        <v>37061</v>
      </c>
      <c r="B2183" s="66">
        <v>412.81099999999998</v>
      </c>
      <c r="C2183" s="67"/>
      <c r="D2183" s="68">
        <v>0</v>
      </c>
      <c r="E2183" s="110">
        <f t="shared" si="34"/>
        <v>37193</v>
      </c>
      <c r="F2183" s="69">
        <v>1.1426683122655754E-2</v>
      </c>
    </row>
    <row r="2184" spans="1:6" x14ac:dyDescent="0.3">
      <c r="A2184" s="24">
        <v>37062</v>
      </c>
      <c r="B2184" s="66">
        <v>412.81099999999998</v>
      </c>
      <c r="C2184" s="67"/>
      <c r="D2184" s="68">
        <v>0</v>
      </c>
      <c r="E2184" s="110">
        <f t="shared" si="34"/>
        <v>37193</v>
      </c>
      <c r="F2184" s="69">
        <v>1.1426683122655754E-2</v>
      </c>
    </row>
    <row r="2185" spans="1:6" x14ac:dyDescent="0.3">
      <c r="A2185" s="24">
        <v>37063</v>
      </c>
      <c r="B2185" s="66">
        <v>412.81099999999998</v>
      </c>
      <c r="C2185" s="67"/>
      <c r="D2185" s="68">
        <v>0</v>
      </c>
      <c r="E2185" s="110">
        <f t="shared" si="34"/>
        <v>37193</v>
      </c>
      <c r="F2185" s="69">
        <v>1.1426683122655754E-2</v>
      </c>
    </row>
    <row r="2186" spans="1:6" x14ac:dyDescent="0.3">
      <c r="A2186" s="24">
        <v>37064</v>
      </c>
      <c r="B2186" s="66">
        <v>412.81099999999998</v>
      </c>
      <c r="C2186" s="67"/>
      <c r="D2186" s="68">
        <v>0</v>
      </c>
      <c r="E2186" s="110">
        <f t="shared" si="34"/>
        <v>37193</v>
      </c>
      <c r="F2186" s="69">
        <v>1.1426683122655754E-2</v>
      </c>
    </row>
    <row r="2187" spans="1:6" x14ac:dyDescent="0.3">
      <c r="A2187" s="24">
        <v>37065</v>
      </c>
      <c r="B2187" s="66">
        <v>412.81099999999998</v>
      </c>
      <c r="C2187" s="67"/>
      <c r="D2187" s="68">
        <v>0</v>
      </c>
      <c r="E2187" s="110">
        <f t="shared" si="34"/>
        <v>37193</v>
      </c>
      <c r="F2187" s="69">
        <v>1.1426683122655754E-2</v>
      </c>
    </row>
    <row r="2188" spans="1:6" x14ac:dyDescent="0.3">
      <c r="A2188" s="24">
        <v>37066</v>
      </c>
      <c r="B2188" s="66">
        <v>412.81099999999998</v>
      </c>
      <c r="C2188" s="67"/>
      <c r="D2188" s="68">
        <v>0</v>
      </c>
      <c r="E2188" s="110">
        <f t="shared" si="34"/>
        <v>37193</v>
      </c>
      <c r="F2188" s="69">
        <v>1.1426683122655754E-2</v>
      </c>
    </row>
    <row r="2189" spans="1:6" x14ac:dyDescent="0.3">
      <c r="A2189" s="24">
        <v>37067</v>
      </c>
      <c r="B2189" s="66">
        <v>412.81099999999998</v>
      </c>
      <c r="C2189" s="67"/>
      <c r="D2189" s="68">
        <v>0</v>
      </c>
      <c r="E2189" s="110">
        <f t="shared" si="34"/>
        <v>37193</v>
      </c>
      <c r="F2189" s="69">
        <v>1.1426683122655754E-2</v>
      </c>
    </row>
    <row r="2190" spans="1:6" x14ac:dyDescent="0.3">
      <c r="A2190" s="24">
        <v>37068</v>
      </c>
      <c r="B2190" s="66">
        <v>412.81099999999998</v>
      </c>
      <c r="C2190" s="67"/>
      <c r="D2190" s="68">
        <v>0</v>
      </c>
      <c r="E2190" s="110">
        <f t="shared" si="34"/>
        <v>37193</v>
      </c>
      <c r="F2190" s="69">
        <v>1.1426683122655754E-2</v>
      </c>
    </row>
    <row r="2191" spans="1:6" x14ac:dyDescent="0.3">
      <c r="A2191" s="24">
        <v>37069</v>
      </c>
      <c r="B2191" s="66">
        <v>412.81099999999998</v>
      </c>
      <c r="C2191" s="67"/>
      <c r="D2191" s="68">
        <v>0</v>
      </c>
      <c r="E2191" s="110">
        <f t="shared" si="34"/>
        <v>37193</v>
      </c>
      <c r="F2191" s="69">
        <v>1.1426683122655754E-2</v>
      </c>
    </row>
    <row r="2192" spans="1:6" x14ac:dyDescent="0.3">
      <c r="A2192" s="24">
        <v>37070</v>
      </c>
      <c r="B2192" s="66">
        <v>412.81099999999998</v>
      </c>
      <c r="C2192" s="67"/>
      <c r="D2192" s="68">
        <v>0</v>
      </c>
      <c r="E2192" s="110">
        <f t="shared" si="34"/>
        <v>37193</v>
      </c>
      <c r="F2192" s="69">
        <v>1.1426683122655754E-2</v>
      </c>
    </row>
    <row r="2193" spans="1:6" x14ac:dyDescent="0.3">
      <c r="A2193" s="24">
        <v>37071</v>
      </c>
      <c r="B2193" s="66">
        <v>412.81099999999998</v>
      </c>
      <c r="C2193" s="67"/>
      <c r="D2193" s="68">
        <v>0</v>
      </c>
      <c r="E2193" s="110">
        <f t="shared" si="34"/>
        <v>37193</v>
      </c>
      <c r="F2193" s="69">
        <v>1.1279056408492782E-2</v>
      </c>
    </row>
    <row r="2194" spans="1:6" x14ac:dyDescent="0.3">
      <c r="A2194" s="24">
        <v>37072</v>
      </c>
      <c r="B2194" s="66">
        <v>417.10399999999998</v>
      </c>
      <c r="C2194" s="67"/>
      <c r="D2194" s="68">
        <v>0</v>
      </c>
      <c r="E2194" s="110">
        <f t="shared" ref="E2194:E2257" si="35">+E2193</f>
        <v>37193</v>
      </c>
      <c r="F2194" s="69">
        <v>1.1279056408492782E-2</v>
      </c>
    </row>
    <row r="2195" spans="1:6" x14ac:dyDescent="0.3">
      <c r="A2195" s="24">
        <v>37073</v>
      </c>
      <c r="B2195" s="66">
        <v>417.10399999999998</v>
      </c>
      <c r="C2195" s="67"/>
      <c r="D2195" s="68">
        <v>0</v>
      </c>
      <c r="E2195" s="110">
        <f t="shared" si="35"/>
        <v>37193</v>
      </c>
      <c r="F2195" s="69">
        <v>1.1279056408492782E-2</v>
      </c>
    </row>
    <row r="2196" spans="1:6" x14ac:dyDescent="0.3">
      <c r="A2196" s="24">
        <v>37074</v>
      </c>
      <c r="B2196" s="66">
        <v>417.10399999999998</v>
      </c>
      <c r="C2196" s="67"/>
      <c r="D2196" s="68">
        <v>0</v>
      </c>
      <c r="E2196" s="110">
        <f t="shared" si="35"/>
        <v>37193</v>
      </c>
      <c r="F2196" s="69">
        <v>1.1279056408492782E-2</v>
      </c>
    </row>
    <row r="2197" spans="1:6" x14ac:dyDescent="0.3">
      <c r="A2197" s="24">
        <v>37075</v>
      </c>
      <c r="B2197" s="66">
        <v>417.10399999999998</v>
      </c>
      <c r="C2197" s="67"/>
      <c r="D2197" s="68">
        <v>0</v>
      </c>
      <c r="E2197" s="110">
        <f t="shared" si="35"/>
        <v>37193</v>
      </c>
      <c r="F2197" s="69">
        <v>1.1279056408492782E-2</v>
      </c>
    </row>
    <row r="2198" spans="1:6" x14ac:dyDescent="0.3">
      <c r="A2198" s="24">
        <v>37076</v>
      </c>
      <c r="B2198" s="66">
        <v>417.10399999999998</v>
      </c>
      <c r="C2198" s="67"/>
      <c r="D2198" s="68">
        <v>0</v>
      </c>
      <c r="E2198" s="110">
        <f t="shared" si="35"/>
        <v>37193</v>
      </c>
      <c r="F2198" s="69">
        <v>1.1279056408492782E-2</v>
      </c>
    </row>
    <row r="2199" spans="1:6" x14ac:dyDescent="0.3">
      <c r="A2199" s="24">
        <v>37077</v>
      </c>
      <c r="B2199" s="66">
        <v>417.10399999999998</v>
      </c>
      <c r="C2199" s="67"/>
      <c r="D2199" s="68">
        <v>0</v>
      </c>
      <c r="E2199" s="110">
        <f t="shared" si="35"/>
        <v>37193</v>
      </c>
      <c r="F2199" s="69">
        <v>1.1279056408492782E-2</v>
      </c>
    </row>
    <row r="2200" spans="1:6" x14ac:dyDescent="0.3">
      <c r="A2200" s="24">
        <v>37078</v>
      </c>
      <c r="B2200" s="66">
        <v>417.10399999999998</v>
      </c>
      <c r="C2200" s="67"/>
      <c r="D2200" s="68">
        <v>0</v>
      </c>
      <c r="E2200" s="110">
        <f t="shared" si="35"/>
        <v>37193</v>
      </c>
      <c r="F2200" s="69">
        <v>1.1279056408492782E-2</v>
      </c>
    </row>
    <row r="2201" spans="1:6" x14ac:dyDescent="0.3">
      <c r="A2201" s="24">
        <v>37079</v>
      </c>
      <c r="B2201" s="66">
        <v>417.10399999999998</v>
      </c>
      <c r="C2201" s="67"/>
      <c r="D2201" s="68">
        <v>0</v>
      </c>
      <c r="E2201" s="110">
        <f t="shared" si="35"/>
        <v>37193</v>
      </c>
      <c r="F2201" s="69">
        <v>1.1279056408492782E-2</v>
      </c>
    </row>
    <row r="2202" spans="1:6" x14ac:dyDescent="0.3">
      <c r="A2202" s="24">
        <v>37080</v>
      </c>
      <c r="B2202" s="66">
        <v>417.10399999999998</v>
      </c>
      <c r="C2202" s="67"/>
      <c r="D2202" s="68">
        <v>0</v>
      </c>
      <c r="E2202" s="110">
        <f t="shared" si="35"/>
        <v>37193</v>
      </c>
      <c r="F2202" s="69">
        <v>1.1279056408492782E-2</v>
      </c>
    </row>
    <row r="2203" spans="1:6" x14ac:dyDescent="0.3">
      <c r="A2203" s="24">
        <v>37081</v>
      </c>
      <c r="B2203" s="66">
        <v>417.10399999999998</v>
      </c>
      <c r="C2203" s="67"/>
      <c r="D2203" s="68">
        <v>0</v>
      </c>
      <c r="E2203" s="110">
        <f t="shared" si="35"/>
        <v>37193</v>
      </c>
      <c r="F2203" s="69">
        <v>1.1279056408492782E-2</v>
      </c>
    </row>
    <row r="2204" spans="1:6" x14ac:dyDescent="0.3">
      <c r="A2204" s="24">
        <v>37082</v>
      </c>
      <c r="B2204" s="66">
        <v>417.10399999999998</v>
      </c>
      <c r="C2204" s="67"/>
      <c r="D2204" s="68">
        <v>0</v>
      </c>
      <c r="E2204" s="110">
        <f t="shared" si="35"/>
        <v>37193</v>
      </c>
      <c r="F2204" s="69">
        <v>1.1279056408492782E-2</v>
      </c>
    </row>
    <row r="2205" spans="1:6" x14ac:dyDescent="0.3">
      <c r="A2205" s="24">
        <v>37083</v>
      </c>
      <c r="B2205" s="66">
        <v>417.10399999999998</v>
      </c>
      <c r="C2205" s="67"/>
      <c r="D2205" s="68">
        <v>0</v>
      </c>
      <c r="E2205" s="110">
        <f t="shared" si="35"/>
        <v>37193</v>
      </c>
      <c r="F2205" s="69">
        <v>1.1279056408492782E-2</v>
      </c>
    </row>
    <row r="2206" spans="1:6" x14ac:dyDescent="0.3">
      <c r="A2206" s="24">
        <v>37084</v>
      </c>
      <c r="B2206" s="66">
        <v>417.10399999999998</v>
      </c>
      <c r="C2206" s="67"/>
      <c r="D2206" s="68">
        <v>0</v>
      </c>
      <c r="E2206" s="110">
        <f t="shared" si="35"/>
        <v>37193</v>
      </c>
      <c r="F2206" s="69">
        <v>1.1279056408492782E-2</v>
      </c>
    </row>
    <row r="2207" spans="1:6" x14ac:dyDescent="0.3">
      <c r="A2207" s="24">
        <v>37085</v>
      </c>
      <c r="B2207" s="66">
        <v>417.10399999999998</v>
      </c>
      <c r="C2207" s="67"/>
      <c r="D2207" s="68">
        <v>0</v>
      </c>
      <c r="E2207" s="110">
        <f t="shared" si="35"/>
        <v>37193</v>
      </c>
      <c r="F2207" s="69">
        <v>1.1279056408492782E-2</v>
      </c>
    </row>
    <row r="2208" spans="1:6" x14ac:dyDescent="0.3">
      <c r="A2208" s="24">
        <v>37086</v>
      </c>
      <c r="B2208" s="66">
        <v>417.10399999999998</v>
      </c>
      <c r="C2208" s="67"/>
      <c r="D2208" s="68">
        <v>0</v>
      </c>
      <c r="E2208" s="110">
        <f t="shared" si="35"/>
        <v>37193</v>
      </c>
      <c r="F2208" s="69">
        <v>1.1279056408492782E-2</v>
      </c>
    </row>
    <row r="2209" spans="1:6" x14ac:dyDescent="0.3">
      <c r="A2209" s="24">
        <v>37087</v>
      </c>
      <c r="B2209" s="66">
        <v>417.10399999999998</v>
      </c>
      <c r="C2209" s="67"/>
      <c r="D2209" s="68">
        <v>0</v>
      </c>
      <c r="E2209" s="110">
        <f t="shared" si="35"/>
        <v>37193</v>
      </c>
      <c r="F2209" s="69">
        <v>1.1279056408492782E-2</v>
      </c>
    </row>
    <row r="2210" spans="1:6" x14ac:dyDescent="0.3">
      <c r="A2210" s="24">
        <v>37088</v>
      </c>
      <c r="B2210" s="66">
        <v>417.10399999999998</v>
      </c>
      <c r="C2210" s="67"/>
      <c r="D2210" s="68">
        <v>0</v>
      </c>
      <c r="E2210" s="110">
        <f t="shared" si="35"/>
        <v>37193</v>
      </c>
      <c r="F2210" s="69">
        <v>1.1279056408492782E-2</v>
      </c>
    </row>
    <row r="2211" spans="1:6" x14ac:dyDescent="0.3">
      <c r="A2211" s="24">
        <v>37089</v>
      </c>
      <c r="B2211" s="66">
        <v>417.10399999999998</v>
      </c>
      <c r="C2211" s="67"/>
      <c r="D2211" s="68">
        <v>0</v>
      </c>
      <c r="E2211" s="110">
        <f t="shared" si="35"/>
        <v>37193</v>
      </c>
      <c r="F2211" s="69">
        <v>1.1279056408492782E-2</v>
      </c>
    </row>
    <row r="2212" spans="1:6" x14ac:dyDescent="0.3">
      <c r="A2212" s="24">
        <v>37090</v>
      </c>
      <c r="B2212" s="66">
        <v>417.10399999999998</v>
      </c>
      <c r="C2212" s="67"/>
      <c r="D2212" s="68">
        <v>0</v>
      </c>
      <c r="E2212" s="110">
        <f t="shared" si="35"/>
        <v>37193</v>
      </c>
      <c r="F2212" s="69">
        <v>1.1279056408492782E-2</v>
      </c>
    </row>
    <row r="2213" spans="1:6" x14ac:dyDescent="0.3">
      <c r="A2213" s="24">
        <v>37091</v>
      </c>
      <c r="B2213" s="66">
        <v>417.10399999999998</v>
      </c>
      <c r="C2213" s="67"/>
      <c r="D2213" s="68">
        <v>0</v>
      </c>
      <c r="E2213" s="110">
        <f t="shared" si="35"/>
        <v>37193</v>
      </c>
      <c r="F2213" s="69">
        <v>1.1279056408492782E-2</v>
      </c>
    </row>
    <row r="2214" spans="1:6" x14ac:dyDescent="0.3">
      <c r="A2214" s="24">
        <v>37092</v>
      </c>
      <c r="B2214" s="66">
        <v>417.10399999999998</v>
      </c>
      <c r="C2214" s="67"/>
      <c r="D2214" s="68">
        <v>0</v>
      </c>
      <c r="E2214" s="110">
        <f t="shared" si="35"/>
        <v>37193</v>
      </c>
      <c r="F2214" s="69">
        <v>1.1279056408492782E-2</v>
      </c>
    </row>
    <row r="2215" spans="1:6" x14ac:dyDescent="0.3">
      <c r="A2215" s="24">
        <v>37093</v>
      </c>
      <c r="B2215" s="66">
        <v>417.10399999999998</v>
      </c>
      <c r="C2215" s="67"/>
      <c r="D2215" s="68">
        <v>0</v>
      </c>
      <c r="E2215" s="110">
        <f t="shared" si="35"/>
        <v>37193</v>
      </c>
      <c r="F2215" s="69">
        <v>1.1279056408492782E-2</v>
      </c>
    </row>
    <row r="2216" spans="1:6" x14ac:dyDescent="0.3">
      <c r="A2216" s="24">
        <v>37094</v>
      </c>
      <c r="B2216" s="66">
        <v>417.10399999999998</v>
      </c>
      <c r="C2216" s="67"/>
      <c r="D2216" s="68">
        <v>0</v>
      </c>
      <c r="E2216" s="110">
        <f t="shared" si="35"/>
        <v>37193</v>
      </c>
      <c r="F2216" s="69">
        <v>1.1279056408492782E-2</v>
      </c>
    </row>
    <row r="2217" spans="1:6" x14ac:dyDescent="0.3">
      <c r="A2217" s="24">
        <v>37095</v>
      </c>
      <c r="B2217" s="66">
        <v>417.10399999999998</v>
      </c>
      <c r="C2217" s="67"/>
      <c r="D2217" s="68">
        <v>0</v>
      </c>
      <c r="E2217" s="110">
        <f t="shared" si="35"/>
        <v>37193</v>
      </c>
      <c r="F2217" s="69">
        <v>1.1279056408492782E-2</v>
      </c>
    </row>
    <row r="2218" spans="1:6" x14ac:dyDescent="0.3">
      <c r="A2218" s="24">
        <v>37096</v>
      </c>
      <c r="B2218" s="66">
        <v>417.10399999999998</v>
      </c>
      <c r="C2218" s="67"/>
      <c r="D2218" s="68">
        <v>0</v>
      </c>
      <c r="E2218" s="110">
        <f t="shared" si="35"/>
        <v>37193</v>
      </c>
      <c r="F2218" s="69">
        <v>1.1279056408492782E-2</v>
      </c>
    </row>
    <row r="2219" spans="1:6" x14ac:dyDescent="0.3">
      <c r="A2219" s="24">
        <v>37097</v>
      </c>
      <c r="B2219" s="66">
        <v>417.10399999999998</v>
      </c>
      <c r="C2219" s="67"/>
      <c r="D2219" s="68">
        <v>0</v>
      </c>
      <c r="E2219" s="110">
        <f t="shared" si="35"/>
        <v>37193</v>
      </c>
      <c r="F2219" s="69">
        <v>1.1279056408492782E-2</v>
      </c>
    </row>
    <row r="2220" spans="1:6" x14ac:dyDescent="0.3">
      <c r="A2220" s="24">
        <v>37098</v>
      </c>
      <c r="B2220" s="66">
        <v>417.10399999999998</v>
      </c>
      <c r="C2220" s="67"/>
      <c r="D2220" s="68">
        <v>0</v>
      </c>
      <c r="E2220" s="110">
        <f t="shared" si="35"/>
        <v>37193</v>
      </c>
      <c r="F2220" s="69">
        <v>1.1279056408492782E-2</v>
      </c>
    </row>
    <row r="2221" spans="1:6" x14ac:dyDescent="0.3">
      <c r="A2221" s="24">
        <v>37099</v>
      </c>
      <c r="B2221" s="66">
        <v>417.10399999999998</v>
      </c>
      <c r="C2221" s="67"/>
      <c r="D2221" s="68">
        <v>0</v>
      </c>
      <c r="E2221" s="110">
        <f t="shared" si="35"/>
        <v>37193</v>
      </c>
      <c r="F2221" s="69">
        <v>1.1279056408492782E-2</v>
      </c>
    </row>
    <row r="2222" spans="1:6" x14ac:dyDescent="0.3">
      <c r="A2222" s="24">
        <v>37100</v>
      </c>
      <c r="B2222" s="66">
        <v>417.10399999999998</v>
      </c>
      <c r="C2222" s="67"/>
      <c r="D2222" s="68">
        <v>0</v>
      </c>
      <c r="E2222" s="110">
        <f t="shared" si="35"/>
        <v>37193</v>
      </c>
      <c r="F2222" s="69">
        <v>1.1279056408492782E-2</v>
      </c>
    </row>
    <row r="2223" spans="1:6" x14ac:dyDescent="0.3">
      <c r="A2223" s="24">
        <v>37101</v>
      </c>
      <c r="B2223" s="66">
        <v>417.10399999999998</v>
      </c>
      <c r="C2223" s="67"/>
      <c r="D2223" s="68">
        <v>0</v>
      </c>
      <c r="E2223" s="110">
        <f t="shared" si="35"/>
        <v>37193</v>
      </c>
      <c r="F2223" s="69">
        <v>1.1279056408492782E-2</v>
      </c>
    </row>
    <row r="2224" spans="1:6" x14ac:dyDescent="0.3">
      <c r="A2224" s="24">
        <v>37102</v>
      </c>
      <c r="B2224" s="66">
        <v>417.10399999999998</v>
      </c>
      <c r="C2224" s="67"/>
      <c r="D2224" s="68">
        <v>0</v>
      </c>
      <c r="E2224" s="110">
        <f t="shared" si="35"/>
        <v>37193</v>
      </c>
      <c r="F2224" s="69">
        <v>1.1279056408492782E-2</v>
      </c>
    </row>
    <row r="2225" spans="1:6" x14ac:dyDescent="0.3">
      <c r="A2225" s="24">
        <v>37103</v>
      </c>
      <c r="B2225" s="66">
        <v>417.10399999999998</v>
      </c>
      <c r="C2225" s="67"/>
      <c r="D2225" s="68">
        <v>0</v>
      </c>
      <c r="E2225" s="110">
        <f t="shared" si="35"/>
        <v>37193</v>
      </c>
      <c r="F2225" s="69">
        <v>1.1279056408492782E-2</v>
      </c>
    </row>
    <row r="2226" spans="1:6" x14ac:dyDescent="0.3">
      <c r="A2226" s="24">
        <v>37104</v>
      </c>
      <c r="B2226" s="66">
        <v>417.10399999999998</v>
      </c>
      <c r="C2226" s="67"/>
      <c r="D2226" s="68">
        <v>0</v>
      </c>
      <c r="E2226" s="110">
        <f t="shared" si="35"/>
        <v>37193</v>
      </c>
      <c r="F2226" s="69">
        <v>1.1279056408492782E-2</v>
      </c>
    </row>
    <row r="2227" spans="1:6" x14ac:dyDescent="0.3">
      <c r="A2227" s="24">
        <v>37105</v>
      </c>
      <c r="B2227" s="66">
        <v>417.10399999999998</v>
      </c>
      <c r="C2227" s="67"/>
      <c r="D2227" s="68">
        <v>0</v>
      </c>
      <c r="E2227" s="110">
        <f t="shared" si="35"/>
        <v>37193</v>
      </c>
      <c r="F2227" s="69">
        <v>1.1279056408492782E-2</v>
      </c>
    </row>
    <row r="2228" spans="1:6" x14ac:dyDescent="0.3">
      <c r="A2228" s="24">
        <v>37106</v>
      </c>
      <c r="B2228" s="66">
        <v>417.10399999999998</v>
      </c>
      <c r="C2228" s="67"/>
      <c r="D2228" s="68">
        <v>0</v>
      </c>
      <c r="E2228" s="110">
        <f t="shared" si="35"/>
        <v>37193</v>
      </c>
      <c r="F2228" s="69">
        <v>1.1279056408492782E-2</v>
      </c>
    </row>
    <row r="2229" spans="1:6" x14ac:dyDescent="0.3">
      <c r="A2229" s="24">
        <v>37107</v>
      </c>
      <c r="B2229" s="66">
        <v>417.10399999999998</v>
      </c>
      <c r="C2229" s="67"/>
      <c r="D2229" s="68">
        <v>0</v>
      </c>
      <c r="E2229" s="110">
        <f t="shared" si="35"/>
        <v>37193</v>
      </c>
      <c r="F2229" s="69">
        <v>1.1279056408492782E-2</v>
      </c>
    </row>
    <row r="2230" spans="1:6" x14ac:dyDescent="0.3">
      <c r="A2230" s="24">
        <v>37108</v>
      </c>
      <c r="B2230" s="66">
        <v>417.10399999999998</v>
      </c>
      <c r="C2230" s="67"/>
      <c r="D2230" s="68">
        <v>0</v>
      </c>
      <c r="E2230" s="110">
        <f t="shared" si="35"/>
        <v>37193</v>
      </c>
      <c r="F2230" s="69">
        <v>1.1279056408492782E-2</v>
      </c>
    </row>
    <row r="2231" spans="1:6" x14ac:dyDescent="0.3">
      <c r="A2231" s="24">
        <v>37109</v>
      </c>
      <c r="B2231" s="66">
        <v>417.10399999999998</v>
      </c>
      <c r="C2231" s="67"/>
      <c r="D2231" s="68">
        <v>0</v>
      </c>
      <c r="E2231" s="110">
        <f t="shared" si="35"/>
        <v>37193</v>
      </c>
      <c r="F2231" s="69">
        <v>1.1279056408492782E-2</v>
      </c>
    </row>
    <row r="2232" spans="1:6" x14ac:dyDescent="0.3">
      <c r="A2232" s="24">
        <v>37110</v>
      </c>
      <c r="B2232" s="66">
        <v>417.10399999999998</v>
      </c>
      <c r="C2232" s="67"/>
      <c r="D2232" s="68">
        <v>0</v>
      </c>
      <c r="E2232" s="110">
        <f t="shared" si="35"/>
        <v>37193</v>
      </c>
      <c r="F2232" s="69">
        <v>1.1279056408492782E-2</v>
      </c>
    </row>
    <row r="2233" spans="1:6" x14ac:dyDescent="0.3">
      <c r="A2233" s="24">
        <v>37111</v>
      </c>
      <c r="B2233" s="66">
        <v>417.10399999999998</v>
      </c>
      <c r="C2233" s="67"/>
      <c r="D2233" s="68">
        <v>0</v>
      </c>
      <c r="E2233" s="110">
        <f t="shared" si="35"/>
        <v>37193</v>
      </c>
      <c r="F2233" s="69">
        <v>1.1279056408492782E-2</v>
      </c>
    </row>
    <row r="2234" spans="1:6" x14ac:dyDescent="0.3">
      <c r="A2234" s="24">
        <v>37112</v>
      </c>
      <c r="B2234" s="66">
        <v>417.10399999999998</v>
      </c>
      <c r="C2234" s="67"/>
      <c r="D2234" s="68">
        <v>0</v>
      </c>
      <c r="E2234" s="110">
        <f t="shared" si="35"/>
        <v>37193</v>
      </c>
      <c r="F2234" s="69">
        <v>1.1279056408492782E-2</v>
      </c>
    </row>
    <row r="2235" spans="1:6" x14ac:dyDescent="0.3">
      <c r="A2235" s="24">
        <v>37113</v>
      </c>
      <c r="B2235" s="66">
        <v>417.10399999999998</v>
      </c>
      <c r="C2235" s="67"/>
      <c r="D2235" s="68">
        <v>0</v>
      </c>
      <c r="E2235" s="110">
        <f t="shared" si="35"/>
        <v>37193</v>
      </c>
      <c r="F2235" s="69">
        <v>1.1279056408492782E-2</v>
      </c>
    </row>
    <row r="2236" spans="1:6" x14ac:dyDescent="0.3">
      <c r="A2236" s="24">
        <v>37114</v>
      </c>
      <c r="B2236" s="66">
        <v>417.10399999999998</v>
      </c>
      <c r="C2236" s="67"/>
      <c r="D2236" s="68">
        <v>0</v>
      </c>
      <c r="E2236" s="110">
        <f t="shared" si="35"/>
        <v>37193</v>
      </c>
      <c r="F2236" s="69">
        <v>1.1279056408492782E-2</v>
      </c>
    </row>
    <row r="2237" spans="1:6" x14ac:dyDescent="0.3">
      <c r="A2237" s="24">
        <v>37115</v>
      </c>
      <c r="B2237" s="66">
        <v>417.10399999999998</v>
      </c>
      <c r="C2237" s="67"/>
      <c r="D2237" s="68">
        <v>0</v>
      </c>
      <c r="E2237" s="110">
        <f t="shared" si="35"/>
        <v>37193</v>
      </c>
      <c r="F2237" s="69">
        <v>1.1279056408492782E-2</v>
      </c>
    </row>
    <row r="2238" spans="1:6" x14ac:dyDescent="0.3">
      <c r="A2238" s="24">
        <v>37116</v>
      </c>
      <c r="B2238" s="66">
        <v>417.10399999999998</v>
      </c>
      <c r="C2238" s="67"/>
      <c r="D2238" s="68">
        <v>0</v>
      </c>
      <c r="E2238" s="110">
        <f t="shared" si="35"/>
        <v>37193</v>
      </c>
      <c r="F2238" s="69">
        <v>1.1279056408492782E-2</v>
      </c>
    </row>
    <row r="2239" spans="1:6" x14ac:dyDescent="0.3">
      <c r="A2239" s="24">
        <v>37117</v>
      </c>
      <c r="B2239" s="66">
        <v>417.10399999999998</v>
      </c>
      <c r="C2239" s="67"/>
      <c r="D2239" s="68">
        <v>0</v>
      </c>
      <c r="E2239" s="110">
        <f t="shared" si="35"/>
        <v>37193</v>
      </c>
      <c r="F2239" s="69">
        <v>1.1279056408492782E-2</v>
      </c>
    </row>
    <row r="2240" spans="1:6" x14ac:dyDescent="0.3">
      <c r="A2240" s="24">
        <v>37118</v>
      </c>
      <c r="B2240" s="66">
        <v>417.10399999999998</v>
      </c>
      <c r="C2240" s="67"/>
      <c r="D2240" s="68">
        <v>0</v>
      </c>
      <c r="E2240" s="110">
        <f t="shared" si="35"/>
        <v>37193</v>
      </c>
      <c r="F2240" s="69">
        <v>1.1279056408492782E-2</v>
      </c>
    </row>
    <row r="2241" spans="1:6" x14ac:dyDescent="0.3">
      <c r="A2241" s="24">
        <v>37119</v>
      </c>
      <c r="B2241" s="66">
        <v>417.10399999999998</v>
      </c>
      <c r="C2241" s="67"/>
      <c r="D2241" s="68">
        <v>0</v>
      </c>
      <c r="E2241" s="110">
        <f t="shared" si="35"/>
        <v>37193</v>
      </c>
      <c r="F2241" s="69">
        <v>1.1279056408492782E-2</v>
      </c>
    </row>
    <row r="2242" spans="1:6" x14ac:dyDescent="0.3">
      <c r="A2242" s="24">
        <v>37120</v>
      </c>
      <c r="B2242" s="66">
        <v>417.10399999999998</v>
      </c>
      <c r="C2242" s="67"/>
      <c r="D2242" s="68">
        <v>0</v>
      </c>
      <c r="E2242" s="110">
        <f t="shared" si="35"/>
        <v>37193</v>
      </c>
      <c r="F2242" s="69">
        <v>1.1279056408492782E-2</v>
      </c>
    </row>
    <row r="2243" spans="1:6" x14ac:dyDescent="0.3">
      <c r="A2243" s="24">
        <v>37121</v>
      </c>
      <c r="B2243" s="66">
        <v>417.10399999999998</v>
      </c>
      <c r="C2243" s="67"/>
      <c r="D2243" s="68">
        <v>0</v>
      </c>
      <c r="E2243" s="110">
        <f t="shared" si="35"/>
        <v>37193</v>
      </c>
      <c r="F2243" s="69">
        <v>1.1279056408492782E-2</v>
      </c>
    </row>
    <row r="2244" spans="1:6" x14ac:dyDescent="0.3">
      <c r="A2244" s="24">
        <v>37122</v>
      </c>
      <c r="B2244" s="66">
        <v>417.10399999999998</v>
      </c>
      <c r="C2244" s="67"/>
      <c r="D2244" s="68">
        <v>0</v>
      </c>
      <c r="E2244" s="110">
        <f t="shared" si="35"/>
        <v>37193</v>
      </c>
      <c r="F2244" s="69">
        <v>1.1279056408492782E-2</v>
      </c>
    </row>
    <row r="2245" spans="1:6" x14ac:dyDescent="0.3">
      <c r="A2245" s="24">
        <v>37123</v>
      </c>
      <c r="B2245" s="66">
        <v>417.10399999999998</v>
      </c>
      <c r="C2245" s="67"/>
      <c r="D2245" s="68">
        <v>0</v>
      </c>
      <c r="E2245" s="110">
        <f t="shared" si="35"/>
        <v>37193</v>
      </c>
      <c r="F2245" s="69">
        <v>1.1279056408492782E-2</v>
      </c>
    </row>
    <row r="2246" spans="1:6" x14ac:dyDescent="0.3">
      <c r="A2246" s="24">
        <v>37124</v>
      </c>
      <c r="B2246" s="66">
        <v>417.10399999999998</v>
      </c>
      <c r="C2246" s="67"/>
      <c r="D2246" s="68">
        <v>0</v>
      </c>
      <c r="E2246" s="110">
        <f t="shared" si="35"/>
        <v>37193</v>
      </c>
      <c r="F2246" s="69">
        <v>1.1279056408492782E-2</v>
      </c>
    </row>
    <row r="2247" spans="1:6" x14ac:dyDescent="0.3">
      <c r="A2247" s="24">
        <v>37125</v>
      </c>
      <c r="B2247" s="66">
        <v>417.10399999999998</v>
      </c>
      <c r="C2247" s="67"/>
      <c r="D2247" s="68">
        <v>0</v>
      </c>
      <c r="E2247" s="110">
        <f t="shared" si="35"/>
        <v>37193</v>
      </c>
      <c r="F2247" s="69">
        <v>1.1279056408492782E-2</v>
      </c>
    </row>
    <row r="2248" spans="1:6" x14ac:dyDescent="0.3">
      <c r="A2248" s="24">
        <v>37126</v>
      </c>
      <c r="B2248" s="66">
        <v>417.10399999999998</v>
      </c>
      <c r="C2248" s="67"/>
      <c r="D2248" s="68">
        <v>0</v>
      </c>
      <c r="E2248" s="110">
        <f t="shared" si="35"/>
        <v>37193</v>
      </c>
      <c r="F2248" s="69">
        <v>1.1279056408492782E-2</v>
      </c>
    </row>
    <row r="2249" spans="1:6" x14ac:dyDescent="0.3">
      <c r="A2249" s="24">
        <v>37127</v>
      </c>
      <c r="B2249" s="66">
        <v>417.10399999999998</v>
      </c>
      <c r="C2249" s="67"/>
      <c r="D2249" s="68">
        <v>0</v>
      </c>
      <c r="E2249" s="110">
        <f t="shared" si="35"/>
        <v>37193</v>
      </c>
      <c r="F2249" s="69">
        <v>1.1279056408492782E-2</v>
      </c>
    </row>
    <row r="2250" spans="1:6" x14ac:dyDescent="0.3">
      <c r="A2250" s="24">
        <v>37128</v>
      </c>
      <c r="B2250" s="66">
        <v>417.10399999999998</v>
      </c>
      <c r="C2250" s="67"/>
      <c r="D2250" s="68">
        <v>0</v>
      </c>
      <c r="E2250" s="110">
        <f t="shared" si="35"/>
        <v>37193</v>
      </c>
      <c r="F2250" s="69">
        <v>1.1279056408492782E-2</v>
      </c>
    </row>
    <row r="2251" spans="1:6" x14ac:dyDescent="0.3">
      <c r="A2251" s="24">
        <v>37129</v>
      </c>
      <c r="B2251" s="66">
        <v>417.10399999999998</v>
      </c>
      <c r="C2251" s="67"/>
      <c r="D2251" s="68">
        <v>0</v>
      </c>
      <c r="E2251" s="110">
        <f t="shared" si="35"/>
        <v>37193</v>
      </c>
      <c r="F2251" s="69">
        <v>1.1279056408492782E-2</v>
      </c>
    </row>
    <row r="2252" spans="1:6" x14ac:dyDescent="0.3">
      <c r="A2252" s="24">
        <v>37130</v>
      </c>
      <c r="B2252" s="66">
        <v>417.10399999999998</v>
      </c>
      <c r="C2252" s="67"/>
      <c r="D2252" s="68">
        <v>0</v>
      </c>
      <c r="E2252" s="110">
        <f t="shared" si="35"/>
        <v>37193</v>
      </c>
      <c r="F2252" s="69">
        <v>1.1279056408492782E-2</v>
      </c>
    </row>
    <row r="2253" spans="1:6" x14ac:dyDescent="0.3">
      <c r="A2253" s="24">
        <v>37131</v>
      </c>
      <c r="B2253" s="66">
        <v>417.10399999999998</v>
      </c>
      <c r="C2253" s="67"/>
      <c r="D2253" s="68">
        <v>0</v>
      </c>
      <c r="E2253" s="110">
        <f t="shared" si="35"/>
        <v>37193</v>
      </c>
      <c r="F2253" s="69">
        <v>1.1279056408492782E-2</v>
      </c>
    </row>
    <row r="2254" spans="1:6" x14ac:dyDescent="0.3">
      <c r="A2254" s="24">
        <v>37132</v>
      </c>
      <c r="B2254" s="66">
        <v>417.10399999999998</v>
      </c>
      <c r="C2254" s="67"/>
      <c r="D2254" s="68">
        <v>0</v>
      </c>
      <c r="E2254" s="110">
        <f t="shared" si="35"/>
        <v>37193</v>
      </c>
      <c r="F2254" s="69">
        <v>1.1279056408492782E-2</v>
      </c>
    </row>
    <row r="2255" spans="1:6" x14ac:dyDescent="0.3">
      <c r="A2255" s="24">
        <v>37133</v>
      </c>
      <c r="B2255" s="66">
        <v>417.10399999999998</v>
      </c>
      <c r="C2255" s="67"/>
      <c r="D2255" s="68">
        <v>0</v>
      </c>
      <c r="E2255" s="110">
        <f t="shared" si="35"/>
        <v>37193</v>
      </c>
      <c r="F2255" s="69">
        <v>1.1279056408492782E-2</v>
      </c>
    </row>
    <row r="2256" spans="1:6" x14ac:dyDescent="0.3">
      <c r="A2256" s="24">
        <v>37134</v>
      </c>
      <c r="B2256" s="66">
        <v>417.10399999999998</v>
      </c>
      <c r="C2256" s="67"/>
      <c r="D2256" s="68">
        <v>0</v>
      </c>
      <c r="E2256" s="110">
        <f t="shared" si="35"/>
        <v>37193</v>
      </c>
      <c r="F2256" s="69">
        <v>1.1279056408492782E-2</v>
      </c>
    </row>
    <row r="2257" spans="1:6" x14ac:dyDescent="0.3">
      <c r="A2257" s="24">
        <v>37135</v>
      </c>
      <c r="B2257" s="66">
        <v>417.10399999999998</v>
      </c>
      <c r="C2257" s="67"/>
      <c r="D2257" s="68">
        <v>0</v>
      </c>
      <c r="E2257" s="110">
        <f t="shared" si="35"/>
        <v>37193</v>
      </c>
      <c r="F2257" s="69">
        <v>1.1279056408492782E-2</v>
      </c>
    </row>
    <row r="2258" spans="1:6" x14ac:dyDescent="0.3">
      <c r="A2258" s="24">
        <v>37136</v>
      </c>
      <c r="B2258" s="66">
        <v>417.10399999999998</v>
      </c>
      <c r="C2258" s="67"/>
      <c r="D2258" s="68">
        <v>0</v>
      </c>
      <c r="E2258" s="110">
        <f t="shared" ref="E2258:E2321" si="36">+E2257</f>
        <v>37193</v>
      </c>
      <c r="F2258" s="69">
        <v>1.1279056408492782E-2</v>
      </c>
    </row>
    <row r="2259" spans="1:6" x14ac:dyDescent="0.3">
      <c r="A2259" s="24">
        <v>37137</v>
      </c>
      <c r="B2259" s="66">
        <v>417.10399999999998</v>
      </c>
      <c r="C2259" s="67"/>
      <c r="D2259" s="68">
        <v>0</v>
      </c>
      <c r="E2259" s="110">
        <f t="shared" si="36"/>
        <v>37193</v>
      </c>
      <c r="F2259" s="69">
        <v>1.1279056408492782E-2</v>
      </c>
    </row>
    <row r="2260" spans="1:6" x14ac:dyDescent="0.3">
      <c r="A2260" s="24">
        <v>37138</v>
      </c>
      <c r="B2260" s="66">
        <v>417.10399999999998</v>
      </c>
      <c r="C2260" s="67"/>
      <c r="D2260" s="68">
        <v>0</v>
      </c>
      <c r="E2260" s="110">
        <f t="shared" si="36"/>
        <v>37193</v>
      </c>
      <c r="F2260" s="69">
        <v>1.1279056408492782E-2</v>
      </c>
    </row>
    <row r="2261" spans="1:6" x14ac:dyDescent="0.3">
      <c r="A2261" s="24">
        <v>37139</v>
      </c>
      <c r="B2261" s="66">
        <v>417.10399999999998</v>
      </c>
      <c r="C2261" s="67"/>
      <c r="D2261" s="68">
        <v>0</v>
      </c>
      <c r="E2261" s="110">
        <f t="shared" si="36"/>
        <v>37193</v>
      </c>
      <c r="F2261" s="69">
        <v>1.1279056408492782E-2</v>
      </c>
    </row>
    <row r="2262" spans="1:6" x14ac:dyDescent="0.3">
      <c r="A2262" s="24">
        <v>37140</v>
      </c>
      <c r="B2262" s="66">
        <v>417.10399999999998</v>
      </c>
      <c r="C2262" s="67"/>
      <c r="D2262" s="68">
        <v>0</v>
      </c>
      <c r="E2262" s="110">
        <f t="shared" si="36"/>
        <v>37193</v>
      </c>
      <c r="F2262" s="69">
        <v>1.1279056408492782E-2</v>
      </c>
    </row>
    <row r="2263" spans="1:6" x14ac:dyDescent="0.3">
      <c r="A2263" s="24">
        <v>37141</v>
      </c>
      <c r="B2263" s="66">
        <v>417.10399999999998</v>
      </c>
      <c r="C2263" s="67"/>
      <c r="D2263" s="68">
        <v>0</v>
      </c>
      <c r="E2263" s="110">
        <f t="shared" si="36"/>
        <v>37193</v>
      </c>
      <c r="F2263" s="69">
        <v>1.1279056408492782E-2</v>
      </c>
    </row>
    <row r="2264" spans="1:6" x14ac:dyDescent="0.3">
      <c r="A2264" s="24">
        <v>37142</v>
      </c>
      <c r="B2264" s="66">
        <v>417.10399999999998</v>
      </c>
      <c r="C2264" s="67"/>
      <c r="D2264" s="68">
        <v>0</v>
      </c>
      <c r="E2264" s="110">
        <f t="shared" si="36"/>
        <v>37193</v>
      </c>
      <c r="F2264" s="69">
        <v>1.1279056408492782E-2</v>
      </c>
    </row>
    <row r="2265" spans="1:6" x14ac:dyDescent="0.3">
      <c r="A2265" s="24">
        <v>37143</v>
      </c>
      <c r="B2265" s="66">
        <v>417.10399999999998</v>
      </c>
      <c r="C2265" s="67"/>
      <c r="D2265" s="68">
        <v>0</v>
      </c>
      <c r="E2265" s="110">
        <f t="shared" si="36"/>
        <v>37193</v>
      </c>
      <c r="F2265" s="69">
        <v>1.1279056408492782E-2</v>
      </c>
    </row>
    <row r="2266" spans="1:6" x14ac:dyDescent="0.3">
      <c r="A2266" s="24">
        <v>37144</v>
      </c>
      <c r="B2266" s="66">
        <v>417.10399999999998</v>
      </c>
      <c r="C2266" s="67"/>
      <c r="D2266" s="68">
        <v>0</v>
      </c>
      <c r="E2266" s="110">
        <f t="shared" si="36"/>
        <v>37193</v>
      </c>
      <c r="F2266" s="69">
        <v>1.1279056408492782E-2</v>
      </c>
    </row>
    <row r="2267" spans="1:6" x14ac:dyDescent="0.3">
      <c r="A2267" s="24">
        <v>37145</v>
      </c>
      <c r="B2267" s="66">
        <v>417.10399999999998</v>
      </c>
      <c r="C2267" s="67"/>
      <c r="D2267" s="68">
        <v>0</v>
      </c>
      <c r="E2267" s="110">
        <f t="shared" si="36"/>
        <v>37193</v>
      </c>
      <c r="F2267" s="69">
        <v>1.1279056408492782E-2</v>
      </c>
    </row>
    <row r="2268" spans="1:6" x14ac:dyDescent="0.3">
      <c r="A2268" s="24">
        <v>37146</v>
      </c>
      <c r="B2268" s="66">
        <v>417.10399999999998</v>
      </c>
      <c r="C2268" s="67"/>
      <c r="D2268" s="68">
        <v>0</v>
      </c>
      <c r="E2268" s="110">
        <f t="shared" si="36"/>
        <v>37193</v>
      </c>
      <c r="F2268" s="69">
        <v>1.1279056408492782E-2</v>
      </c>
    </row>
    <row r="2269" spans="1:6" x14ac:dyDescent="0.3">
      <c r="A2269" s="24">
        <v>37147</v>
      </c>
      <c r="B2269" s="66">
        <v>417.10399999999998</v>
      </c>
      <c r="C2269" s="67"/>
      <c r="D2269" s="68">
        <v>0</v>
      </c>
      <c r="E2269" s="110">
        <f t="shared" si="36"/>
        <v>37193</v>
      </c>
      <c r="F2269" s="69">
        <v>1.1279056408492782E-2</v>
      </c>
    </row>
    <row r="2270" spans="1:6" x14ac:dyDescent="0.3">
      <c r="A2270" s="24">
        <v>37148</v>
      </c>
      <c r="B2270" s="66">
        <v>417.10399999999998</v>
      </c>
      <c r="C2270" s="67"/>
      <c r="D2270" s="68">
        <v>0</v>
      </c>
      <c r="E2270" s="110">
        <f t="shared" si="36"/>
        <v>37193</v>
      </c>
      <c r="F2270" s="69">
        <v>1.1279056408492782E-2</v>
      </c>
    </row>
    <row r="2271" spans="1:6" x14ac:dyDescent="0.3">
      <c r="A2271" s="24">
        <v>37149</v>
      </c>
      <c r="B2271" s="66">
        <v>417.10399999999998</v>
      </c>
      <c r="C2271" s="67"/>
      <c r="D2271" s="68">
        <v>0</v>
      </c>
      <c r="E2271" s="110">
        <f t="shared" si="36"/>
        <v>37193</v>
      </c>
      <c r="F2271" s="69">
        <v>1.1279056408492782E-2</v>
      </c>
    </row>
    <row r="2272" spans="1:6" x14ac:dyDescent="0.3">
      <c r="A2272" s="24">
        <v>37150</v>
      </c>
      <c r="B2272" s="66">
        <v>417.10399999999998</v>
      </c>
      <c r="C2272" s="67"/>
      <c r="D2272" s="68">
        <v>0</v>
      </c>
      <c r="E2272" s="110">
        <f t="shared" si="36"/>
        <v>37193</v>
      </c>
      <c r="F2272" s="69">
        <v>1.1279056408492782E-2</v>
      </c>
    </row>
    <row r="2273" spans="1:6" x14ac:dyDescent="0.3">
      <c r="A2273" s="24">
        <v>37151</v>
      </c>
      <c r="B2273" s="66">
        <v>417.10399999999998</v>
      </c>
      <c r="C2273" s="67"/>
      <c r="D2273" s="68">
        <v>0</v>
      </c>
      <c r="E2273" s="110">
        <f t="shared" si="36"/>
        <v>37193</v>
      </c>
      <c r="F2273" s="69">
        <v>1.1279056408492782E-2</v>
      </c>
    </row>
    <row r="2274" spans="1:6" x14ac:dyDescent="0.3">
      <c r="A2274" s="24">
        <v>37152</v>
      </c>
      <c r="B2274" s="66">
        <v>417.10399999999998</v>
      </c>
      <c r="C2274" s="67"/>
      <c r="D2274" s="68">
        <v>0</v>
      </c>
      <c r="E2274" s="110">
        <f t="shared" si="36"/>
        <v>37193</v>
      </c>
      <c r="F2274" s="69">
        <v>1.1279056408492782E-2</v>
      </c>
    </row>
    <row r="2275" spans="1:6" x14ac:dyDescent="0.3">
      <c r="A2275" s="24">
        <v>37153</v>
      </c>
      <c r="B2275" s="66">
        <v>417.10399999999998</v>
      </c>
      <c r="C2275" s="67"/>
      <c r="D2275" s="68">
        <v>0</v>
      </c>
      <c r="E2275" s="110">
        <f t="shared" si="36"/>
        <v>37193</v>
      </c>
      <c r="F2275" s="69">
        <v>1.1279056408492782E-2</v>
      </c>
    </row>
    <row r="2276" spans="1:6" x14ac:dyDescent="0.3">
      <c r="A2276" s="24">
        <v>37154</v>
      </c>
      <c r="B2276" s="66">
        <v>417.10399999999998</v>
      </c>
      <c r="C2276" s="67"/>
      <c r="D2276" s="68">
        <v>0</v>
      </c>
      <c r="E2276" s="110">
        <f t="shared" si="36"/>
        <v>37193</v>
      </c>
      <c r="F2276" s="69">
        <v>1.1279056408492782E-2</v>
      </c>
    </row>
    <row r="2277" spans="1:6" x14ac:dyDescent="0.3">
      <c r="A2277" s="24">
        <v>37155</v>
      </c>
      <c r="B2277" s="66">
        <v>417.10399999999998</v>
      </c>
      <c r="C2277" s="67"/>
      <c r="D2277" s="68">
        <v>0</v>
      </c>
      <c r="E2277" s="110">
        <f t="shared" si="36"/>
        <v>37193</v>
      </c>
      <c r="F2277" s="69">
        <v>1.1279056408492782E-2</v>
      </c>
    </row>
    <row r="2278" spans="1:6" x14ac:dyDescent="0.3">
      <c r="A2278" s="24">
        <v>37156</v>
      </c>
      <c r="B2278" s="66">
        <v>417.10399999999998</v>
      </c>
      <c r="C2278" s="67"/>
      <c r="D2278" s="68">
        <v>0</v>
      </c>
      <c r="E2278" s="110">
        <f t="shared" si="36"/>
        <v>37193</v>
      </c>
      <c r="F2278" s="69">
        <v>1.1279056408492782E-2</v>
      </c>
    </row>
    <row r="2279" spans="1:6" x14ac:dyDescent="0.3">
      <c r="A2279" s="24">
        <v>37157</v>
      </c>
      <c r="B2279" s="66">
        <v>417.10399999999998</v>
      </c>
      <c r="C2279" s="67"/>
      <c r="D2279" s="68">
        <v>0</v>
      </c>
      <c r="E2279" s="110">
        <f t="shared" si="36"/>
        <v>37193</v>
      </c>
      <c r="F2279" s="69">
        <v>1.1279056408492782E-2</v>
      </c>
    </row>
    <row r="2280" spans="1:6" x14ac:dyDescent="0.3">
      <c r="A2280" s="24">
        <v>37158</v>
      </c>
      <c r="B2280" s="66">
        <v>417.10399999999998</v>
      </c>
      <c r="C2280" s="67"/>
      <c r="D2280" s="68">
        <v>0</v>
      </c>
      <c r="E2280" s="110">
        <f t="shared" si="36"/>
        <v>37193</v>
      </c>
      <c r="F2280" s="69">
        <v>1.1279056408492782E-2</v>
      </c>
    </row>
    <row r="2281" spans="1:6" x14ac:dyDescent="0.3">
      <c r="A2281" s="24">
        <v>37159</v>
      </c>
      <c r="B2281" s="66">
        <v>417.10399999999998</v>
      </c>
      <c r="C2281" s="67"/>
      <c r="D2281" s="68">
        <v>0</v>
      </c>
      <c r="E2281" s="110">
        <f t="shared" si="36"/>
        <v>37193</v>
      </c>
      <c r="F2281" s="69">
        <v>1.1279056408492782E-2</v>
      </c>
    </row>
    <row r="2282" spans="1:6" x14ac:dyDescent="0.3">
      <c r="A2282" s="24">
        <v>37160</v>
      </c>
      <c r="B2282" s="66">
        <v>417.10399999999998</v>
      </c>
      <c r="C2282" s="67"/>
      <c r="D2282" s="68">
        <v>0</v>
      </c>
      <c r="E2282" s="110">
        <f t="shared" si="36"/>
        <v>37193</v>
      </c>
      <c r="F2282" s="69">
        <v>1.1279056408492782E-2</v>
      </c>
    </row>
    <row r="2283" spans="1:6" x14ac:dyDescent="0.3">
      <c r="A2283" s="24">
        <v>37161</v>
      </c>
      <c r="B2283" s="66">
        <v>417.10399999999998</v>
      </c>
      <c r="C2283" s="67"/>
      <c r="D2283" s="68">
        <v>0</v>
      </c>
      <c r="E2283" s="110">
        <f t="shared" si="36"/>
        <v>37193</v>
      </c>
      <c r="F2283" s="69">
        <v>1.1279056408492782E-2</v>
      </c>
    </row>
    <row r="2284" spans="1:6" x14ac:dyDescent="0.3">
      <c r="A2284" s="24">
        <v>37162</v>
      </c>
      <c r="B2284" s="66">
        <v>417.10399999999998</v>
      </c>
      <c r="C2284" s="67"/>
      <c r="D2284" s="68">
        <v>0</v>
      </c>
      <c r="E2284" s="110">
        <f t="shared" si="36"/>
        <v>37193</v>
      </c>
      <c r="F2284" s="69">
        <v>1.1279056408492782E-2</v>
      </c>
    </row>
    <row r="2285" spans="1:6" x14ac:dyDescent="0.3">
      <c r="A2285" s="24">
        <v>37163</v>
      </c>
      <c r="B2285" s="66">
        <v>417.10399999999998</v>
      </c>
      <c r="C2285" s="67"/>
      <c r="D2285" s="68">
        <v>0</v>
      </c>
      <c r="E2285" s="110">
        <f t="shared" si="36"/>
        <v>37193</v>
      </c>
      <c r="F2285" s="69">
        <v>1.1082619120359844E-2</v>
      </c>
    </row>
    <row r="2286" spans="1:6" x14ac:dyDescent="0.3">
      <c r="A2286" s="24">
        <v>37164</v>
      </c>
      <c r="B2286" s="66">
        <v>423.73599999999999</v>
      </c>
      <c r="C2286" s="67"/>
      <c r="D2286" s="68">
        <v>0</v>
      </c>
      <c r="E2286" s="110">
        <f t="shared" si="36"/>
        <v>37193</v>
      </c>
      <c r="F2286" s="69">
        <v>1.1082619120359844E-2</v>
      </c>
    </row>
    <row r="2287" spans="1:6" x14ac:dyDescent="0.3">
      <c r="A2287" s="24">
        <v>37165</v>
      </c>
      <c r="B2287" s="66">
        <v>423.73599999999999</v>
      </c>
      <c r="C2287" s="67"/>
      <c r="D2287" s="68">
        <v>0</v>
      </c>
      <c r="E2287" s="110">
        <f t="shared" si="36"/>
        <v>37193</v>
      </c>
      <c r="F2287" s="69">
        <v>1.1082619120359844E-2</v>
      </c>
    </row>
    <row r="2288" spans="1:6" x14ac:dyDescent="0.3">
      <c r="A2288" s="24">
        <v>37166</v>
      </c>
      <c r="B2288" s="66">
        <v>423.73599999999999</v>
      </c>
      <c r="C2288" s="67"/>
      <c r="D2288" s="68">
        <v>0</v>
      </c>
      <c r="E2288" s="110">
        <f t="shared" si="36"/>
        <v>37193</v>
      </c>
      <c r="F2288" s="69">
        <v>1.1082619120359844E-2</v>
      </c>
    </row>
    <row r="2289" spans="1:6" x14ac:dyDescent="0.3">
      <c r="A2289" s="24">
        <v>37167</v>
      </c>
      <c r="B2289" s="66">
        <v>423.73599999999999</v>
      </c>
      <c r="C2289" s="67"/>
      <c r="D2289" s="68">
        <v>0</v>
      </c>
      <c r="E2289" s="110">
        <f t="shared" si="36"/>
        <v>37193</v>
      </c>
      <c r="F2289" s="69">
        <v>1.1082619120359844E-2</v>
      </c>
    </row>
    <row r="2290" spans="1:6" x14ac:dyDescent="0.3">
      <c r="A2290" s="24">
        <v>37168</v>
      </c>
      <c r="B2290" s="66">
        <v>423.73599999999999</v>
      </c>
      <c r="C2290" s="67"/>
      <c r="D2290" s="68">
        <v>0</v>
      </c>
      <c r="E2290" s="110">
        <f t="shared" si="36"/>
        <v>37193</v>
      </c>
      <c r="F2290" s="69">
        <v>1.1082619120359844E-2</v>
      </c>
    </row>
    <row r="2291" spans="1:6" x14ac:dyDescent="0.3">
      <c r="A2291" s="24">
        <v>37169</v>
      </c>
      <c r="B2291" s="66">
        <v>423.73599999999999</v>
      </c>
      <c r="C2291" s="67"/>
      <c r="D2291" s="68">
        <v>0</v>
      </c>
      <c r="E2291" s="110">
        <f t="shared" si="36"/>
        <v>37193</v>
      </c>
      <c r="F2291" s="69">
        <v>1.1082619120359844E-2</v>
      </c>
    </row>
    <row r="2292" spans="1:6" x14ac:dyDescent="0.3">
      <c r="A2292" s="24">
        <v>37170</v>
      </c>
      <c r="B2292" s="66">
        <v>423.73599999999999</v>
      </c>
      <c r="C2292" s="67"/>
      <c r="D2292" s="68">
        <v>0</v>
      </c>
      <c r="E2292" s="110">
        <f t="shared" si="36"/>
        <v>37193</v>
      </c>
      <c r="F2292" s="69">
        <v>1.1082619120359844E-2</v>
      </c>
    </row>
    <row r="2293" spans="1:6" x14ac:dyDescent="0.3">
      <c r="A2293" s="24">
        <v>37171</v>
      </c>
      <c r="B2293" s="66">
        <v>423.73599999999999</v>
      </c>
      <c r="C2293" s="67"/>
      <c r="D2293" s="68">
        <v>0</v>
      </c>
      <c r="E2293" s="110">
        <f t="shared" si="36"/>
        <v>37193</v>
      </c>
      <c r="F2293" s="69">
        <v>1.1082619120359844E-2</v>
      </c>
    </row>
    <row r="2294" spans="1:6" x14ac:dyDescent="0.3">
      <c r="A2294" s="24">
        <v>37172</v>
      </c>
      <c r="B2294" s="66">
        <v>423.73599999999999</v>
      </c>
      <c r="C2294" s="67"/>
      <c r="D2294" s="68">
        <v>0</v>
      </c>
      <c r="E2294" s="110">
        <f t="shared" si="36"/>
        <v>37193</v>
      </c>
      <c r="F2294" s="69">
        <v>1.1082619120359844E-2</v>
      </c>
    </row>
    <row r="2295" spans="1:6" x14ac:dyDescent="0.3">
      <c r="A2295" s="24">
        <v>37173</v>
      </c>
      <c r="B2295" s="66">
        <v>423.73599999999999</v>
      </c>
      <c r="C2295" s="67"/>
      <c r="D2295" s="68">
        <v>0</v>
      </c>
      <c r="E2295" s="110">
        <f t="shared" si="36"/>
        <v>37193</v>
      </c>
      <c r="F2295" s="69">
        <v>1.1082619120359844E-2</v>
      </c>
    </row>
    <row r="2296" spans="1:6" x14ac:dyDescent="0.3">
      <c r="A2296" s="24">
        <v>37174</v>
      </c>
      <c r="B2296" s="66">
        <v>423.73599999999999</v>
      </c>
      <c r="C2296" s="67"/>
      <c r="D2296" s="68">
        <v>0</v>
      </c>
      <c r="E2296" s="110">
        <f t="shared" si="36"/>
        <v>37193</v>
      </c>
      <c r="F2296" s="69">
        <v>1.1082619120359844E-2</v>
      </c>
    </row>
    <row r="2297" spans="1:6" x14ac:dyDescent="0.3">
      <c r="A2297" s="24">
        <v>37175</v>
      </c>
      <c r="B2297" s="66">
        <v>423.73599999999999</v>
      </c>
      <c r="C2297" s="67"/>
      <c r="D2297" s="68">
        <v>0</v>
      </c>
      <c r="E2297" s="110">
        <f t="shared" si="36"/>
        <v>37193</v>
      </c>
      <c r="F2297" s="69">
        <v>1.1082619120359844E-2</v>
      </c>
    </row>
    <row r="2298" spans="1:6" x14ac:dyDescent="0.3">
      <c r="A2298" s="24">
        <v>37176</v>
      </c>
      <c r="B2298" s="66">
        <v>423.73599999999999</v>
      </c>
      <c r="C2298" s="67"/>
      <c r="D2298" s="68">
        <v>0</v>
      </c>
      <c r="E2298" s="110">
        <f t="shared" si="36"/>
        <v>37193</v>
      </c>
      <c r="F2298" s="69">
        <v>1.1082619120359844E-2</v>
      </c>
    </row>
    <row r="2299" spans="1:6" x14ac:dyDescent="0.3">
      <c r="A2299" s="24">
        <v>37177</v>
      </c>
      <c r="B2299" s="66">
        <v>423.73599999999999</v>
      </c>
      <c r="C2299" s="67"/>
      <c r="D2299" s="68">
        <v>0</v>
      </c>
      <c r="E2299" s="110">
        <f t="shared" si="36"/>
        <v>37193</v>
      </c>
      <c r="F2299" s="69">
        <v>1.1082619120359844E-2</v>
      </c>
    </row>
    <row r="2300" spans="1:6" x14ac:dyDescent="0.3">
      <c r="A2300" s="24">
        <v>37178</v>
      </c>
      <c r="B2300" s="66">
        <v>423.73599999999999</v>
      </c>
      <c r="C2300" s="67"/>
      <c r="D2300" s="68">
        <v>0</v>
      </c>
      <c r="E2300" s="110">
        <f t="shared" si="36"/>
        <v>37193</v>
      </c>
      <c r="F2300" s="69">
        <v>1.1082619120359844E-2</v>
      </c>
    </row>
    <row r="2301" spans="1:6" x14ac:dyDescent="0.3">
      <c r="A2301" s="24">
        <v>37179</v>
      </c>
      <c r="B2301" s="66">
        <v>423.73599999999999</v>
      </c>
      <c r="C2301" s="67"/>
      <c r="D2301" s="68">
        <v>0</v>
      </c>
      <c r="E2301" s="110">
        <f t="shared" si="36"/>
        <v>37193</v>
      </c>
      <c r="F2301" s="69">
        <v>1.1082619120359844E-2</v>
      </c>
    </row>
    <row r="2302" spans="1:6" x14ac:dyDescent="0.3">
      <c r="A2302" s="24">
        <v>37180</v>
      </c>
      <c r="B2302" s="66">
        <v>423.73599999999999</v>
      </c>
      <c r="C2302" s="67"/>
      <c r="D2302" s="68">
        <v>0</v>
      </c>
      <c r="E2302" s="110">
        <f t="shared" si="36"/>
        <v>37193</v>
      </c>
      <c r="F2302" s="69">
        <v>1.1082619120359844E-2</v>
      </c>
    </row>
    <row r="2303" spans="1:6" x14ac:dyDescent="0.3">
      <c r="A2303" s="24">
        <v>37181</v>
      </c>
      <c r="B2303" s="66">
        <v>423.73599999999999</v>
      </c>
      <c r="C2303" s="67"/>
      <c r="D2303" s="68">
        <v>0</v>
      </c>
      <c r="E2303" s="110">
        <f t="shared" si="36"/>
        <v>37193</v>
      </c>
      <c r="F2303" s="69">
        <v>1.1082619120359844E-2</v>
      </c>
    </row>
    <row r="2304" spans="1:6" x14ac:dyDescent="0.3">
      <c r="A2304" s="24">
        <v>37182</v>
      </c>
      <c r="B2304" s="66">
        <v>423.73599999999999</v>
      </c>
      <c r="C2304" s="67"/>
      <c r="D2304" s="68">
        <v>0</v>
      </c>
      <c r="E2304" s="110">
        <f t="shared" si="36"/>
        <v>37193</v>
      </c>
      <c r="F2304" s="69">
        <v>1.1082619120359844E-2</v>
      </c>
    </row>
    <row r="2305" spans="1:6" x14ac:dyDescent="0.3">
      <c r="A2305" s="24">
        <v>37183</v>
      </c>
      <c r="B2305" s="66">
        <v>423.73599999999999</v>
      </c>
      <c r="C2305" s="67"/>
      <c r="D2305" s="68">
        <v>0</v>
      </c>
      <c r="E2305" s="110">
        <f t="shared" si="36"/>
        <v>37193</v>
      </c>
      <c r="F2305" s="69">
        <v>1.1082619120359844E-2</v>
      </c>
    </row>
    <row r="2306" spans="1:6" x14ac:dyDescent="0.3">
      <c r="A2306" s="24">
        <v>37184</v>
      </c>
      <c r="B2306" s="66">
        <v>423.73599999999999</v>
      </c>
      <c r="C2306" s="67"/>
      <c r="D2306" s="68">
        <v>0</v>
      </c>
      <c r="E2306" s="110">
        <f t="shared" si="36"/>
        <v>37193</v>
      </c>
      <c r="F2306" s="69">
        <v>1.1082619120359844E-2</v>
      </c>
    </row>
    <row r="2307" spans="1:6" x14ac:dyDescent="0.3">
      <c r="A2307" s="24">
        <v>37185</v>
      </c>
      <c r="B2307" s="66">
        <v>423.73599999999999</v>
      </c>
      <c r="C2307" s="67"/>
      <c r="D2307" s="68">
        <v>0</v>
      </c>
      <c r="E2307" s="110">
        <f t="shared" si="36"/>
        <v>37193</v>
      </c>
      <c r="F2307" s="69">
        <v>1.1082619120359844E-2</v>
      </c>
    </row>
    <row r="2308" spans="1:6" x14ac:dyDescent="0.3">
      <c r="A2308" s="24">
        <v>37186</v>
      </c>
      <c r="B2308" s="66">
        <v>423.73599999999999</v>
      </c>
      <c r="C2308" s="67"/>
      <c r="D2308" s="68">
        <v>0</v>
      </c>
      <c r="E2308" s="110">
        <f t="shared" si="36"/>
        <v>37193</v>
      </c>
      <c r="F2308" s="69">
        <v>1.1082619120359844E-2</v>
      </c>
    </row>
    <row r="2309" spans="1:6" x14ac:dyDescent="0.3">
      <c r="A2309" s="24">
        <v>37187</v>
      </c>
      <c r="B2309" s="66">
        <v>423.73599999999999</v>
      </c>
      <c r="C2309" s="67"/>
      <c r="D2309" s="68">
        <v>0</v>
      </c>
      <c r="E2309" s="110">
        <f t="shared" si="36"/>
        <v>37193</v>
      </c>
      <c r="F2309" s="69">
        <v>1.1082619120359844E-2</v>
      </c>
    </row>
    <row r="2310" spans="1:6" x14ac:dyDescent="0.3">
      <c r="A2310" s="24">
        <v>37188</v>
      </c>
      <c r="B2310" s="66">
        <v>423.73599999999999</v>
      </c>
      <c r="C2310" s="67"/>
      <c r="D2310" s="68">
        <v>0</v>
      </c>
      <c r="E2310" s="110">
        <f t="shared" si="36"/>
        <v>37193</v>
      </c>
      <c r="F2310" s="69">
        <v>1.1082619120359844E-2</v>
      </c>
    </row>
    <row r="2311" spans="1:6" x14ac:dyDescent="0.3">
      <c r="A2311" s="24">
        <v>37189</v>
      </c>
      <c r="B2311" s="66">
        <v>423.73599999999999</v>
      </c>
      <c r="C2311" s="67"/>
      <c r="D2311" s="68">
        <v>0</v>
      </c>
      <c r="E2311" s="110">
        <f t="shared" si="36"/>
        <v>37193</v>
      </c>
      <c r="F2311" s="69">
        <v>1.1082619120359844E-2</v>
      </c>
    </row>
    <row r="2312" spans="1:6" x14ac:dyDescent="0.3">
      <c r="A2312" s="24">
        <v>37190</v>
      </c>
      <c r="B2312" s="66">
        <v>423.73599999999999</v>
      </c>
      <c r="C2312" s="67"/>
      <c r="D2312" s="68">
        <v>0</v>
      </c>
      <c r="E2312" s="110">
        <f t="shared" si="36"/>
        <v>37193</v>
      </c>
      <c r="F2312" s="69">
        <v>1.1082619120359844E-2</v>
      </c>
    </row>
    <row r="2313" spans="1:6" x14ac:dyDescent="0.3">
      <c r="A2313" s="24">
        <v>37191</v>
      </c>
      <c r="B2313" s="66">
        <v>423.73599999999999</v>
      </c>
      <c r="C2313" s="67"/>
      <c r="D2313" s="68">
        <v>0</v>
      </c>
      <c r="E2313" s="110">
        <f t="shared" si="36"/>
        <v>37193</v>
      </c>
      <c r="F2313" s="69">
        <v>1.1082619120359844E-2</v>
      </c>
    </row>
    <row r="2314" spans="1:6" x14ac:dyDescent="0.3">
      <c r="A2314" s="24">
        <v>37192</v>
      </c>
      <c r="B2314" s="66">
        <v>423.73599999999999</v>
      </c>
      <c r="C2314" s="67"/>
      <c r="D2314" s="68">
        <v>0</v>
      </c>
      <c r="E2314" s="110">
        <f t="shared" si="36"/>
        <v>37193</v>
      </c>
      <c r="F2314" s="69">
        <v>1.1082619120359844E-2</v>
      </c>
    </row>
    <row r="2315" spans="1:6" x14ac:dyDescent="0.3">
      <c r="A2315" s="24">
        <v>37193</v>
      </c>
      <c r="B2315" s="66">
        <v>423.73599999999999</v>
      </c>
      <c r="C2315" s="67"/>
      <c r="D2315" s="68">
        <v>0</v>
      </c>
      <c r="E2315" s="110">
        <f t="shared" si="36"/>
        <v>37193</v>
      </c>
      <c r="F2315" s="69">
        <v>1.1082619120359844E-2</v>
      </c>
    </row>
    <row r="2316" spans="1:6" x14ac:dyDescent="0.3">
      <c r="A2316" s="24">
        <v>37194</v>
      </c>
      <c r="B2316" s="66">
        <v>423.73599999999999</v>
      </c>
      <c r="C2316" s="67"/>
      <c r="D2316" s="68">
        <v>0</v>
      </c>
      <c r="E2316" s="110">
        <f t="shared" si="36"/>
        <v>37193</v>
      </c>
      <c r="F2316" s="69">
        <v>1.1082619120359844E-2</v>
      </c>
    </row>
    <row r="2317" spans="1:6" x14ac:dyDescent="0.3">
      <c r="A2317" s="24">
        <v>37195</v>
      </c>
      <c r="B2317" s="66">
        <v>423.73599999999999</v>
      </c>
      <c r="C2317" s="67"/>
      <c r="D2317" s="68">
        <v>0</v>
      </c>
      <c r="E2317" s="110">
        <f t="shared" si="36"/>
        <v>37193</v>
      </c>
      <c r="F2317" s="69">
        <v>1.1082619120359844E-2</v>
      </c>
    </row>
    <row r="2318" spans="1:6" x14ac:dyDescent="0.3">
      <c r="A2318" s="24">
        <v>37196</v>
      </c>
      <c r="B2318" s="66">
        <v>423.73599999999999</v>
      </c>
      <c r="C2318" s="67"/>
      <c r="D2318" s="68">
        <v>0</v>
      </c>
      <c r="E2318" s="110">
        <f t="shared" si="36"/>
        <v>37193</v>
      </c>
      <c r="F2318" s="69">
        <v>1.1082619120359844E-2</v>
      </c>
    </row>
    <row r="2319" spans="1:6" x14ac:dyDescent="0.3">
      <c r="A2319" s="24">
        <v>37197</v>
      </c>
      <c r="B2319" s="66">
        <v>423.73599999999999</v>
      </c>
      <c r="C2319" s="67"/>
      <c r="D2319" s="68">
        <v>0</v>
      </c>
      <c r="E2319" s="110">
        <f t="shared" si="36"/>
        <v>37193</v>
      </c>
      <c r="F2319" s="69">
        <v>1.1082619120359844E-2</v>
      </c>
    </row>
    <row r="2320" spans="1:6" x14ac:dyDescent="0.3">
      <c r="A2320" s="24">
        <v>37198</v>
      </c>
      <c r="B2320" s="66">
        <v>423.73599999999999</v>
      </c>
      <c r="C2320" s="67"/>
      <c r="D2320" s="68">
        <v>0</v>
      </c>
      <c r="E2320" s="110">
        <f t="shared" si="36"/>
        <v>37193</v>
      </c>
      <c r="F2320" s="69">
        <v>1.1082619120359844E-2</v>
      </c>
    </row>
    <row r="2321" spans="1:6" x14ac:dyDescent="0.3">
      <c r="A2321" s="24">
        <v>37199</v>
      </c>
      <c r="B2321" s="66">
        <v>423.73599999999999</v>
      </c>
      <c r="C2321" s="67"/>
      <c r="D2321" s="68">
        <v>0</v>
      </c>
      <c r="E2321" s="110">
        <f t="shared" si="36"/>
        <v>37193</v>
      </c>
      <c r="F2321" s="69">
        <v>1.1082619120359844E-2</v>
      </c>
    </row>
    <row r="2322" spans="1:6" x14ac:dyDescent="0.3">
      <c r="A2322" s="24">
        <v>37200</v>
      </c>
      <c r="B2322" s="66">
        <v>423.73599999999999</v>
      </c>
      <c r="C2322" s="67"/>
      <c r="D2322" s="68">
        <v>0</v>
      </c>
      <c r="E2322" s="110">
        <f t="shared" ref="E2322:E2385" si="37">+E2321</f>
        <v>37193</v>
      </c>
      <c r="F2322" s="69">
        <v>1.1082619120359844E-2</v>
      </c>
    </row>
    <row r="2323" spans="1:6" x14ac:dyDescent="0.3">
      <c r="A2323" s="24">
        <v>37201</v>
      </c>
      <c r="B2323" s="66">
        <v>423.73599999999999</v>
      </c>
      <c r="C2323" s="67"/>
      <c r="D2323" s="68">
        <v>0</v>
      </c>
      <c r="E2323" s="110">
        <f t="shared" si="37"/>
        <v>37193</v>
      </c>
      <c r="F2323" s="69">
        <v>1.1082619120359844E-2</v>
      </c>
    </row>
    <row r="2324" spans="1:6" x14ac:dyDescent="0.3">
      <c r="A2324" s="24">
        <v>37202</v>
      </c>
      <c r="B2324" s="66">
        <v>423.73599999999999</v>
      </c>
      <c r="C2324" s="67"/>
      <c r="D2324" s="68">
        <v>0</v>
      </c>
      <c r="E2324" s="110">
        <f t="shared" si="37"/>
        <v>37193</v>
      </c>
      <c r="F2324" s="69">
        <v>1.1082619120359844E-2</v>
      </c>
    </row>
    <row r="2325" spans="1:6" x14ac:dyDescent="0.3">
      <c r="A2325" s="24">
        <v>37203</v>
      </c>
      <c r="B2325" s="66">
        <v>423.73599999999999</v>
      </c>
      <c r="C2325" s="67"/>
      <c r="D2325" s="68">
        <v>0</v>
      </c>
      <c r="E2325" s="110">
        <f t="shared" si="37"/>
        <v>37193</v>
      </c>
      <c r="F2325" s="69">
        <v>1.1082619120359844E-2</v>
      </c>
    </row>
    <row r="2326" spans="1:6" x14ac:dyDescent="0.3">
      <c r="A2326" s="24">
        <v>37204</v>
      </c>
      <c r="B2326" s="66">
        <v>423.73599999999999</v>
      </c>
      <c r="C2326" s="67"/>
      <c r="D2326" s="68">
        <v>0</v>
      </c>
      <c r="E2326" s="110">
        <f t="shared" si="37"/>
        <v>37193</v>
      </c>
      <c r="F2326" s="69">
        <v>1.1082619120359844E-2</v>
      </c>
    </row>
    <row r="2327" spans="1:6" x14ac:dyDescent="0.3">
      <c r="A2327" s="24">
        <v>37205</v>
      </c>
      <c r="B2327" s="66">
        <v>423.73599999999999</v>
      </c>
      <c r="C2327" s="67"/>
      <c r="D2327" s="68">
        <v>0</v>
      </c>
      <c r="E2327" s="110">
        <f t="shared" si="37"/>
        <v>37193</v>
      </c>
      <c r="F2327" s="69">
        <v>1.1082619120359844E-2</v>
      </c>
    </row>
    <row r="2328" spans="1:6" x14ac:dyDescent="0.3">
      <c r="A2328" s="24">
        <v>37206</v>
      </c>
      <c r="B2328" s="66">
        <v>423.73599999999999</v>
      </c>
      <c r="C2328" s="67"/>
      <c r="D2328" s="68">
        <v>0</v>
      </c>
      <c r="E2328" s="110">
        <f t="shared" si="37"/>
        <v>37193</v>
      </c>
      <c r="F2328" s="69">
        <v>1.1082619120359844E-2</v>
      </c>
    </row>
    <row r="2329" spans="1:6" x14ac:dyDescent="0.3">
      <c r="A2329" s="24">
        <v>37207</v>
      </c>
      <c r="B2329" s="66">
        <v>423.73599999999999</v>
      </c>
      <c r="C2329" s="67"/>
      <c r="D2329" s="68">
        <v>0</v>
      </c>
      <c r="E2329" s="110">
        <f t="shared" si="37"/>
        <v>37193</v>
      </c>
      <c r="F2329" s="69">
        <v>1.1082619120359844E-2</v>
      </c>
    </row>
    <row r="2330" spans="1:6" x14ac:dyDescent="0.3">
      <c r="A2330" s="24">
        <v>37208</v>
      </c>
      <c r="B2330" s="66">
        <v>423.73599999999999</v>
      </c>
      <c r="C2330" s="67"/>
      <c r="D2330" s="68">
        <v>0</v>
      </c>
      <c r="E2330" s="110">
        <f t="shared" si="37"/>
        <v>37193</v>
      </c>
      <c r="F2330" s="69">
        <v>1.1082619120359844E-2</v>
      </c>
    </row>
    <row r="2331" spans="1:6" x14ac:dyDescent="0.3">
      <c r="A2331" s="24">
        <v>37209</v>
      </c>
      <c r="B2331" s="66">
        <v>423.73599999999999</v>
      </c>
      <c r="C2331" s="67"/>
      <c r="D2331" s="68">
        <v>0</v>
      </c>
      <c r="E2331" s="110">
        <f t="shared" si="37"/>
        <v>37193</v>
      </c>
      <c r="F2331" s="69">
        <v>1.1082619120359844E-2</v>
      </c>
    </row>
    <row r="2332" spans="1:6" x14ac:dyDescent="0.3">
      <c r="A2332" s="24">
        <v>37210</v>
      </c>
      <c r="B2332" s="66">
        <v>423.73599999999999</v>
      </c>
      <c r="C2332" s="67"/>
      <c r="D2332" s="68">
        <v>0</v>
      </c>
      <c r="E2332" s="110">
        <f t="shared" si="37"/>
        <v>37193</v>
      </c>
      <c r="F2332" s="69">
        <v>1.1082619120359844E-2</v>
      </c>
    </row>
    <row r="2333" spans="1:6" x14ac:dyDescent="0.3">
      <c r="A2333" s="24">
        <v>37211</v>
      </c>
      <c r="B2333" s="66">
        <v>423.73599999999999</v>
      </c>
      <c r="C2333" s="67"/>
      <c r="D2333" s="68">
        <v>0</v>
      </c>
      <c r="E2333" s="110">
        <f t="shared" si="37"/>
        <v>37193</v>
      </c>
      <c r="F2333" s="69">
        <v>1.1082619120359844E-2</v>
      </c>
    </row>
    <row r="2334" spans="1:6" x14ac:dyDescent="0.3">
      <c r="A2334" s="24">
        <v>37212</v>
      </c>
      <c r="B2334" s="66">
        <v>423.73599999999999</v>
      </c>
      <c r="C2334" s="67"/>
      <c r="D2334" s="68">
        <v>0</v>
      </c>
      <c r="E2334" s="110">
        <f t="shared" si="37"/>
        <v>37193</v>
      </c>
      <c r="F2334" s="69">
        <v>1.1082619120359844E-2</v>
      </c>
    </row>
    <row r="2335" spans="1:6" x14ac:dyDescent="0.3">
      <c r="A2335" s="24">
        <v>37213</v>
      </c>
      <c r="B2335" s="66">
        <v>423.73599999999999</v>
      </c>
      <c r="C2335" s="67"/>
      <c r="D2335" s="68">
        <v>0</v>
      </c>
      <c r="E2335" s="110">
        <f t="shared" si="37"/>
        <v>37193</v>
      </c>
      <c r="F2335" s="69">
        <v>1.1082619120359844E-2</v>
      </c>
    </row>
    <row r="2336" spans="1:6" x14ac:dyDescent="0.3">
      <c r="A2336" s="24">
        <v>37214</v>
      </c>
      <c r="B2336" s="66">
        <v>423.73599999999999</v>
      </c>
      <c r="C2336" s="67"/>
      <c r="D2336" s="68">
        <v>0</v>
      </c>
      <c r="E2336" s="110">
        <f t="shared" si="37"/>
        <v>37193</v>
      </c>
      <c r="F2336" s="69">
        <v>1.1082619120359844E-2</v>
      </c>
    </row>
    <row r="2337" spans="1:6" x14ac:dyDescent="0.3">
      <c r="A2337" s="24">
        <v>37215</v>
      </c>
      <c r="B2337" s="66">
        <v>423.73599999999999</v>
      </c>
      <c r="C2337" s="67"/>
      <c r="D2337" s="68">
        <v>0</v>
      </c>
      <c r="E2337" s="110">
        <f t="shared" si="37"/>
        <v>37193</v>
      </c>
      <c r="F2337" s="69">
        <v>1.1082619120359844E-2</v>
      </c>
    </row>
    <row r="2338" spans="1:6" x14ac:dyDescent="0.3">
      <c r="A2338" s="24">
        <v>37216</v>
      </c>
      <c r="B2338" s="66">
        <v>423.73599999999999</v>
      </c>
      <c r="C2338" s="67"/>
      <c r="D2338" s="68">
        <v>0</v>
      </c>
      <c r="E2338" s="110">
        <f t="shared" si="37"/>
        <v>37193</v>
      </c>
      <c r="F2338" s="69">
        <v>1.1082619120359844E-2</v>
      </c>
    </row>
    <row r="2339" spans="1:6" x14ac:dyDescent="0.3">
      <c r="A2339" s="24">
        <v>37217</v>
      </c>
      <c r="B2339" s="66">
        <v>423.73599999999999</v>
      </c>
      <c r="C2339" s="67"/>
      <c r="D2339" s="68">
        <v>0</v>
      </c>
      <c r="E2339" s="110">
        <f t="shared" si="37"/>
        <v>37193</v>
      </c>
      <c r="F2339" s="69">
        <v>1.1082619120359844E-2</v>
      </c>
    </row>
    <row r="2340" spans="1:6" x14ac:dyDescent="0.3">
      <c r="A2340" s="24">
        <v>37218</v>
      </c>
      <c r="B2340" s="66">
        <v>423.73599999999999</v>
      </c>
      <c r="C2340" s="67"/>
      <c r="D2340" s="68">
        <v>0</v>
      </c>
      <c r="E2340" s="110">
        <f t="shared" si="37"/>
        <v>37193</v>
      </c>
      <c r="F2340" s="69">
        <v>1.1082619120359844E-2</v>
      </c>
    </row>
    <row r="2341" spans="1:6" x14ac:dyDescent="0.3">
      <c r="A2341" s="24">
        <v>37219</v>
      </c>
      <c r="B2341" s="66">
        <v>423.73599999999999</v>
      </c>
      <c r="C2341" s="67"/>
      <c r="D2341" s="68">
        <v>0</v>
      </c>
      <c r="E2341" s="110">
        <f t="shared" si="37"/>
        <v>37193</v>
      </c>
      <c r="F2341" s="69">
        <v>1.1082619120359844E-2</v>
      </c>
    </row>
    <row r="2342" spans="1:6" x14ac:dyDescent="0.3">
      <c r="A2342" s="24">
        <v>37220</v>
      </c>
      <c r="B2342" s="66">
        <v>423.73599999999999</v>
      </c>
      <c r="C2342" s="67"/>
      <c r="D2342" s="68">
        <v>0</v>
      </c>
      <c r="E2342" s="110">
        <f t="shared" si="37"/>
        <v>37193</v>
      </c>
      <c r="F2342" s="69">
        <v>1.1082619120359844E-2</v>
      </c>
    </row>
    <row r="2343" spans="1:6" x14ac:dyDescent="0.3">
      <c r="A2343" s="24">
        <v>37221</v>
      </c>
      <c r="B2343" s="66">
        <v>423.73599999999999</v>
      </c>
      <c r="C2343" s="67"/>
      <c r="D2343" s="68">
        <v>0</v>
      </c>
      <c r="E2343" s="110">
        <f t="shared" si="37"/>
        <v>37193</v>
      </c>
      <c r="F2343" s="69">
        <v>1.1082619120359844E-2</v>
      </c>
    </row>
    <row r="2344" spans="1:6" x14ac:dyDescent="0.3">
      <c r="A2344" s="24">
        <v>37222</v>
      </c>
      <c r="B2344" s="66">
        <v>423.73599999999999</v>
      </c>
      <c r="C2344" s="67"/>
      <c r="D2344" s="68">
        <v>0</v>
      </c>
      <c r="E2344" s="110">
        <f t="shared" si="37"/>
        <v>37193</v>
      </c>
      <c r="F2344" s="69">
        <v>1.1082619120359844E-2</v>
      </c>
    </row>
    <row r="2345" spans="1:6" x14ac:dyDescent="0.3">
      <c r="A2345" s="24">
        <v>37223</v>
      </c>
      <c r="B2345" s="66">
        <v>423.73599999999999</v>
      </c>
      <c r="C2345" s="67"/>
      <c r="D2345" s="68">
        <v>0</v>
      </c>
      <c r="E2345" s="110">
        <f t="shared" si="37"/>
        <v>37193</v>
      </c>
      <c r="F2345" s="69">
        <v>1.1082619120359844E-2</v>
      </c>
    </row>
    <row r="2346" spans="1:6" x14ac:dyDescent="0.3">
      <c r="A2346" s="24">
        <v>37224</v>
      </c>
      <c r="B2346" s="66">
        <v>423.73599999999999</v>
      </c>
      <c r="C2346" s="67"/>
      <c r="D2346" s="68">
        <v>0</v>
      </c>
      <c r="E2346" s="110">
        <f t="shared" si="37"/>
        <v>37193</v>
      </c>
      <c r="F2346" s="69">
        <v>1.1082619120359844E-2</v>
      </c>
    </row>
    <row r="2347" spans="1:6" x14ac:dyDescent="0.3">
      <c r="A2347" s="24">
        <v>37225</v>
      </c>
      <c r="B2347" s="66">
        <v>423.73599999999999</v>
      </c>
      <c r="C2347" s="67"/>
      <c r="D2347" s="68">
        <v>0</v>
      </c>
      <c r="E2347" s="110">
        <f t="shared" si="37"/>
        <v>37193</v>
      </c>
      <c r="F2347" s="69">
        <v>1.1082619120359844E-2</v>
      </c>
    </row>
    <row r="2348" spans="1:6" x14ac:dyDescent="0.3">
      <c r="A2348" s="24">
        <v>37226</v>
      </c>
      <c r="B2348" s="66">
        <v>423.73599999999999</v>
      </c>
      <c r="C2348" s="67"/>
      <c r="D2348" s="68">
        <v>0</v>
      </c>
      <c r="E2348" s="110">
        <f t="shared" si="37"/>
        <v>37193</v>
      </c>
      <c r="F2348" s="69">
        <v>1.1082619120359844E-2</v>
      </c>
    </row>
    <row r="2349" spans="1:6" x14ac:dyDescent="0.3">
      <c r="A2349" s="24">
        <v>37227</v>
      </c>
      <c r="B2349" s="66">
        <v>423.73599999999999</v>
      </c>
      <c r="C2349" s="67"/>
      <c r="D2349" s="68">
        <v>0</v>
      </c>
      <c r="E2349" s="110">
        <f t="shared" si="37"/>
        <v>37193</v>
      </c>
      <c r="F2349" s="69">
        <v>1.1082619120359844E-2</v>
      </c>
    </row>
    <row r="2350" spans="1:6" x14ac:dyDescent="0.3">
      <c r="A2350" s="24">
        <v>37228</v>
      </c>
      <c r="B2350" s="66">
        <v>423.73599999999999</v>
      </c>
      <c r="C2350" s="67"/>
      <c r="D2350" s="68">
        <v>0</v>
      </c>
      <c r="E2350" s="110">
        <f t="shared" si="37"/>
        <v>37193</v>
      </c>
      <c r="F2350" s="69">
        <v>1.1082619120359844E-2</v>
      </c>
    </row>
    <row r="2351" spans="1:6" x14ac:dyDescent="0.3">
      <c r="A2351" s="24">
        <v>37229</v>
      </c>
      <c r="B2351" s="66">
        <v>423.73599999999999</v>
      </c>
      <c r="C2351" s="67"/>
      <c r="D2351" s="68">
        <v>0</v>
      </c>
      <c r="E2351" s="110">
        <f t="shared" si="37"/>
        <v>37193</v>
      </c>
      <c r="F2351" s="69">
        <v>1.1082619120359844E-2</v>
      </c>
    </row>
    <row r="2352" spans="1:6" x14ac:dyDescent="0.3">
      <c r="A2352" s="24">
        <v>37230</v>
      </c>
      <c r="B2352" s="66">
        <v>423.73599999999999</v>
      </c>
      <c r="C2352" s="67"/>
      <c r="D2352" s="68">
        <v>0</v>
      </c>
      <c r="E2352" s="110">
        <f t="shared" si="37"/>
        <v>37193</v>
      </c>
      <c r="F2352" s="69">
        <v>1.1082619120359844E-2</v>
      </c>
    </row>
    <row r="2353" spans="1:6" x14ac:dyDescent="0.3">
      <c r="A2353" s="24">
        <v>37231</v>
      </c>
      <c r="B2353" s="66">
        <v>423.73599999999999</v>
      </c>
      <c r="C2353" s="67"/>
      <c r="D2353" s="68">
        <v>0</v>
      </c>
      <c r="E2353" s="110">
        <f t="shared" si="37"/>
        <v>37193</v>
      </c>
      <c r="F2353" s="69">
        <v>1.1082619120359844E-2</v>
      </c>
    </row>
    <row r="2354" spans="1:6" x14ac:dyDescent="0.3">
      <c r="A2354" s="24">
        <v>37232</v>
      </c>
      <c r="B2354" s="66">
        <v>423.73599999999999</v>
      </c>
      <c r="C2354" s="67"/>
      <c r="D2354" s="68">
        <v>0</v>
      </c>
      <c r="E2354" s="110">
        <f t="shared" si="37"/>
        <v>37193</v>
      </c>
      <c r="F2354" s="69">
        <v>1.1082619120359844E-2</v>
      </c>
    </row>
    <row r="2355" spans="1:6" x14ac:dyDescent="0.3">
      <c r="A2355" s="24">
        <v>37233</v>
      </c>
      <c r="B2355" s="66">
        <v>423.73599999999999</v>
      </c>
      <c r="C2355" s="67"/>
      <c r="D2355" s="68">
        <v>0</v>
      </c>
      <c r="E2355" s="110">
        <f t="shared" si="37"/>
        <v>37193</v>
      </c>
      <c r="F2355" s="69">
        <v>1.1082619120359844E-2</v>
      </c>
    </row>
    <row r="2356" spans="1:6" x14ac:dyDescent="0.3">
      <c r="A2356" s="24">
        <v>37234</v>
      </c>
      <c r="B2356" s="66">
        <v>423.73599999999999</v>
      </c>
      <c r="C2356" s="67"/>
      <c r="D2356" s="68">
        <v>0</v>
      </c>
      <c r="E2356" s="110">
        <f t="shared" si="37"/>
        <v>37193</v>
      </c>
      <c r="F2356" s="69">
        <v>1.1082619120359844E-2</v>
      </c>
    </row>
    <row r="2357" spans="1:6" x14ac:dyDescent="0.3">
      <c r="A2357" s="24">
        <v>37235</v>
      </c>
      <c r="B2357" s="66">
        <v>423.73599999999999</v>
      </c>
      <c r="C2357" s="67"/>
      <c r="D2357" s="68">
        <v>0</v>
      </c>
      <c r="E2357" s="110">
        <f t="shared" si="37"/>
        <v>37193</v>
      </c>
      <c r="F2357" s="69">
        <v>1.1082619120359844E-2</v>
      </c>
    </row>
    <row r="2358" spans="1:6" x14ac:dyDescent="0.3">
      <c r="A2358" s="24">
        <v>37236</v>
      </c>
      <c r="B2358" s="66">
        <v>423.73599999999999</v>
      </c>
      <c r="C2358" s="67"/>
      <c r="D2358" s="68">
        <v>0</v>
      </c>
      <c r="E2358" s="110">
        <f t="shared" si="37"/>
        <v>37193</v>
      </c>
      <c r="F2358" s="69">
        <v>1.1082619120359844E-2</v>
      </c>
    </row>
    <row r="2359" spans="1:6" x14ac:dyDescent="0.3">
      <c r="A2359" s="24">
        <v>37237</v>
      </c>
      <c r="B2359" s="66">
        <v>423.73599999999999</v>
      </c>
      <c r="C2359" s="67"/>
      <c r="D2359" s="68">
        <v>0</v>
      </c>
      <c r="E2359" s="110">
        <f t="shared" si="37"/>
        <v>37193</v>
      </c>
      <c r="F2359" s="69">
        <v>1.1082619120359844E-2</v>
      </c>
    </row>
    <row r="2360" spans="1:6" x14ac:dyDescent="0.3">
      <c r="A2360" s="24">
        <v>37238</v>
      </c>
      <c r="B2360" s="66">
        <v>423.73599999999999</v>
      </c>
      <c r="C2360" s="67"/>
      <c r="D2360" s="68">
        <v>0</v>
      </c>
      <c r="E2360" s="110">
        <f t="shared" si="37"/>
        <v>37193</v>
      </c>
      <c r="F2360" s="69">
        <v>1.1082619120359844E-2</v>
      </c>
    </row>
    <row r="2361" spans="1:6" x14ac:dyDescent="0.3">
      <c r="A2361" s="24">
        <v>37239</v>
      </c>
      <c r="B2361" s="66">
        <v>423.73599999999999</v>
      </c>
      <c r="C2361" s="67"/>
      <c r="D2361" s="68">
        <v>0</v>
      </c>
      <c r="E2361" s="110">
        <f t="shared" si="37"/>
        <v>37193</v>
      </c>
      <c r="F2361" s="69">
        <v>1.1082619120359844E-2</v>
      </c>
    </row>
    <row r="2362" spans="1:6" x14ac:dyDescent="0.3">
      <c r="A2362" s="24">
        <v>37240</v>
      </c>
      <c r="B2362" s="66">
        <v>423.73599999999999</v>
      </c>
      <c r="C2362" s="67"/>
      <c r="D2362" s="68">
        <v>0</v>
      </c>
      <c r="E2362" s="110">
        <f t="shared" si="37"/>
        <v>37193</v>
      </c>
      <c r="F2362" s="69">
        <v>1.1082619120359844E-2</v>
      </c>
    </row>
    <row r="2363" spans="1:6" x14ac:dyDescent="0.3">
      <c r="A2363" s="24">
        <v>37241</v>
      </c>
      <c r="B2363" s="66">
        <v>423.73599999999999</v>
      </c>
      <c r="C2363" s="67"/>
      <c r="D2363" s="68">
        <v>0</v>
      </c>
      <c r="E2363" s="110">
        <f t="shared" si="37"/>
        <v>37193</v>
      </c>
      <c r="F2363" s="69">
        <v>1.1082619120359844E-2</v>
      </c>
    </row>
    <row r="2364" spans="1:6" x14ac:dyDescent="0.3">
      <c r="A2364" s="24">
        <v>37242</v>
      </c>
      <c r="B2364" s="66">
        <v>423.73599999999999</v>
      </c>
      <c r="C2364" s="67"/>
      <c r="D2364" s="68">
        <v>0</v>
      </c>
      <c r="E2364" s="110">
        <f t="shared" si="37"/>
        <v>37193</v>
      </c>
      <c r="F2364" s="69">
        <v>1.1082619120359844E-2</v>
      </c>
    </row>
    <row r="2365" spans="1:6" x14ac:dyDescent="0.3">
      <c r="A2365" s="24">
        <v>37243</v>
      </c>
      <c r="B2365" s="66">
        <v>423.73599999999999</v>
      </c>
      <c r="C2365" s="67"/>
      <c r="D2365" s="68">
        <v>0</v>
      </c>
      <c r="E2365" s="110">
        <f t="shared" si="37"/>
        <v>37193</v>
      </c>
      <c r="F2365" s="69">
        <v>1.1082619120359844E-2</v>
      </c>
    </row>
    <row r="2366" spans="1:6" x14ac:dyDescent="0.3">
      <c r="A2366" s="24">
        <v>37244</v>
      </c>
      <c r="B2366" s="66">
        <v>423.73599999999999</v>
      </c>
      <c r="C2366" s="67"/>
      <c r="D2366" s="68">
        <v>0</v>
      </c>
      <c r="E2366" s="110">
        <f t="shared" si="37"/>
        <v>37193</v>
      </c>
      <c r="F2366" s="69">
        <v>1.1082619120359844E-2</v>
      </c>
    </row>
    <row r="2367" spans="1:6" x14ac:dyDescent="0.3">
      <c r="A2367" s="24">
        <v>37245</v>
      </c>
      <c r="B2367" s="66">
        <v>423.73599999999999</v>
      </c>
      <c r="C2367" s="67"/>
      <c r="D2367" s="68">
        <v>0</v>
      </c>
      <c r="E2367" s="110">
        <f t="shared" si="37"/>
        <v>37193</v>
      </c>
      <c r="F2367" s="69">
        <v>1.1082619120359844E-2</v>
      </c>
    </row>
    <row r="2368" spans="1:6" x14ac:dyDescent="0.3">
      <c r="A2368" s="24">
        <v>37246</v>
      </c>
      <c r="B2368" s="66">
        <v>423.73599999999999</v>
      </c>
      <c r="C2368" s="67"/>
      <c r="D2368" s="68">
        <v>0</v>
      </c>
      <c r="E2368" s="110">
        <f t="shared" si="37"/>
        <v>37193</v>
      </c>
      <c r="F2368" s="69">
        <v>1.1082619120359844E-2</v>
      </c>
    </row>
    <row r="2369" spans="1:6" x14ac:dyDescent="0.3">
      <c r="A2369" s="24">
        <v>37247</v>
      </c>
      <c r="B2369" s="66">
        <v>423.73599999999999</v>
      </c>
      <c r="C2369" s="67"/>
      <c r="D2369" s="68">
        <v>0</v>
      </c>
      <c r="E2369" s="110">
        <f t="shared" si="37"/>
        <v>37193</v>
      </c>
      <c r="F2369" s="69">
        <v>1.1082619120359844E-2</v>
      </c>
    </row>
    <row r="2370" spans="1:6" x14ac:dyDescent="0.3">
      <c r="A2370" s="24">
        <v>37248</v>
      </c>
      <c r="B2370" s="66">
        <v>423.73599999999999</v>
      </c>
      <c r="C2370" s="67"/>
      <c r="D2370" s="68">
        <v>0</v>
      </c>
      <c r="E2370" s="110">
        <f t="shared" si="37"/>
        <v>37193</v>
      </c>
      <c r="F2370" s="69">
        <v>1.1082619120359844E-2</v>
      </c>
    </row>
    <row r="2371" spans="1:6" x14ac:dyDescent="0.3">
      <c r="A2371" s="24">
        <v>37249</v>
      </c>
      <c r="B2371" s="66">
        <v>423.73599999999999</v>
      </c>
      <c r="C2371" s="67"/>
      <c r="D2371" s="68">
        <v>0</v>
      </c>
      <c r="E2371" s="110">
        <f t="shared" si="37"/>
        <v>37193</v>
      </c>
      <c r="F2371" s="69">
        <v>1.1082619120359844E-2</v>
      </c>
    </row>
    <row r="2372" spans="1:6" x14ac:dyDescent="0.3">
      <c r="A2372" s="24">
        <v>37250</v>
      </c>
      <c r="B2372" s="66">
        <v>423.73599999999999</v>
      </c>
      <c r="C2372" s="67"/>
      <c r="D2372" s="68">
        <v>0</v>
      </c>
      <c r="E2372" s="110">
        <f t="shared" si="37"/>
        <v>37193</v>
      </c>
      <c r="F2372" s="69">
        <v>1.1082619120359844E-2</v>
      </c>
    </row>
    <row r="2373" spans="1:6" x14ac:dyDescent="0.3">
      <c r="A2373" s="24">
        <v>37251</v>
      </c>
      <c r="B2373" s="66">
        <v>423.73599999999999</v>
      </c>
      <c r="C2373" s="67"/>
      <c r="D2373" s="68">
        <v>0</v>
      </c>
      <c r="E2373" s="110">
        <f t="shared" si="37"/>
        <v>37193</v>
      </c>
      <c r="F2373" s="69">
        <v>1.1082619120359844E-2</v>
      </c>
    </row>
    <row r="2374" spans="1:6" x14ac:dyDescent="0.3">
      <c r="A2374" s="24">
        <v>37252</v>
      </c>
      <c r="B2374" s="66">
        <v>423.73599999999999</v>
      </c>
      <c r="C2374" s="67"/>
      <c r="D2374" s="68">
        <v>0</v>
      </c>
      <c r="E2374" s="110">
        <f t="shared" si="37"/>
        <v>37193</v>
      </c>
      <c r="F2374" s="69">
        <v>1.1082619120359844E-2</v>
      </c>
    </row>
    <row r="2375" spans="1:6" x14ac:dyDescent="0.3">
      <c r="A2375" s="24">
        <v>37253</v>
      </c>
      <c r="B2375" s="66">
        <v>423.73599999999999</v>
      </c>
      <c r="C2375" s="67"/>
      <c r="D2375" s="68">
        <v>0</v>
      </c>
      <c r="E2375" s="110">
        <f t="shared" si="37"/>
        <v>37193</v>
      </c>
      <c r="F2375" s="69">
        <v>1.1082619120359844E-2</v>
      </c>
    </row>
    <row r="2376" spans="1:6" x14ac:dyDescent="0.3">
      <c r="A2376" s="24">
        <v>37254</v>
      </c>
      <c r="B2376" s="66">
        <v>423.73599999999999</v>
      </c>
      <c r="C2376" s="67"/>
      <c r="D2376" s="68">
        <v>0</v>
      </c>
      <c r="E2376" s="110">
        <f t="shared" si="37"/>
        <v>37193</v>
      </c>
      <c r="F2376" s="69">
        <v>1.1082619120359844E-2</v>
      </c>
    </row>
    <row r="2377" spans="1:6" x14ac:dyDescent="0.3">
      <c r="A2377" s="24">
        <v>37255</v>
      </c>
      <c r="B2377" s="66">
        <v>423.73599999999999</v>
      </c>
      <c r="C2377" s="67"/>
      <c r="D2377" s="68">
        <v>0</v>
      </c>
      <c r="E2377" s="110">
        <f t="shared" si="37"/>
        <v>37193</v>
      </c>
      <c r="F2377" s="69">
        <v>1.0776718109434541E-2</v>
      </c>
    </row>
    <row r="2378" spans="1:6" x14ac:dyDescent="0.3">
      <c r="A2378" s="24">
        <v>37256</v>
      </c>
      <c r="B2378" s="66">
        <v>426.35900000000004</v>
      </c>
      <c r="C2378" s="67"/>
      <c r="D2378" s="68">
        <v>0</v>
      </c>
      <c r="E2378" s="110">
        <f t="shared" si="37"/>
        <v>37193</v>
      </c>
      <c r="F2378" s="69">
        <v>1.0776718109434541E-2</v>
      </c>
    </row>
    <row r="2379" spans="1:6" x14ac:dyDescent="0.3">
      <c r="A2379" s="24">
        <v>37257</v>
      </c>
      <c r="B2379" s="66">
        <v>426.35900000000004</v>
      </c>
      <c r="C2379" s="67"/>
      <c r="D2379" s="68">
        <v>0</v>
      </c>
      <c r="E2379" s="110">
        <f t="shared" si="37"/>
        <v>37193</v>
      </c>
      <c r="F2379" s="69">
        <v>1.0776718109434541E-2</v>
      </c>
    </row>
    <row r="2380" spans="1:6" x14ac:dyDescent="0.3">
      <c r="A2380" s="24">
        <v>37258</v>
      </c>
      <c r="B2380" s="66">
        <v>426.35900000000004</v>
      </c>
      <c r="C2380" s="67"/>
      <c r="D2380" s="68">
        <v>0</v>
      </c>
      <c r="E2380" s="110">
        <f t="shared" si="37"/>
        <v>37193</v>
      </c>
      <c r="F2380" s="69">
        <v>1.0776718109434541E-2</v>
      </c>
    </row>
    <row r="2381" spans="1:6" x14ac:dyDescent="0.3">
      <c r="A2381" s="24">
        <v>37259</v>
      </c>
      <c r="B2381" s="66">
        <v>426.35900000000004</v>
      </c>
      <c r="C2381" s="67"/>
      <c r="D2381" s="68">
        <v>0</v>
      </c>
      <c r="E2381" s="110">
        <f t="shared" si="37"/>
        <v>37193</v>
      </c>
      <c r="F2381" s="69">
        <v>1.0776718109434541E-2</v>
      </c>
    </row>
    <row r="2382" spans="1:6" x14ac:dyDescent="0.3">
      <c r="A2382" s="24">
        <v>37260</v>
      </c>
      <c r="B2382" s="66">
        <v>426.35900000000004</v>
      </c>
      <c r="C2382" s="67"/>
      <c r="D2382" s="68">
        <v>0</v>
      </c>
      <c r="E2382" s="110">
        <f t="shared" si="37"/>
        <v>37193</v>
      </c>
      <c r="F2382" s="69">
        <v>1.0776718109434541E-2</v>
      </c>
    </row>
    <row r="2383" spans="1:6" x14ac:dyDescent="0.3">
      <c r="A2383" s="24">
        <v>37261</v>
      </c>
      <c r="B2383" s="66">
        <v>426.35900000000004</v>
      </c>
      <c r="C2383" s="67"/>
      <c r="D2383" s="68">
        <v>0</v>
      </c>
      <c r="E2383" s="110">
        <f t="shared" si="37"/>
        <v>37193</v>
      </c>
      <c r="F2383" s="69">
        <v>1.0776718109434541E-2</v>
      </c>
    </row>
    <row r="2384" spans="1:6" x14ac:dyDescent="0.3">
      <c r="A2384" s="24">
        <v>37262</v>
      </c>
      <c r="B2384" s="66">
        <v>426.35900000000004</v>
      </c>
      <c r="C2384" s="67"/>
      <c r="D2384" s="68">
        <v>0</v>
      </c>
      <c r="E2384" s="110">
        <f t="shared" si="37"/>
        <v>37193</v>
      </c>
      <c r="F2384" s="69">
        <v>1.0776718109434541E-2</v>
      </c>
    </row>
    <row r="2385" spans="1:6" x14ac:dyDescent="0.3">
      <c r="A2385" s="24">
        <v>37263</v>
      </c>
      <c r="B2385" s="66">
        <v>426.35900000000004</v>
      </c>
      <c r="C2385" s="67"/>
      <c r="D2385" s="68">
        <v>0</v>
      </c>
      <c r="E2385" s="110">
        <f t="shared" si="37"/>
        <v>37193</v>
      </c>
      <c r="F2385" s="69">
        <v>1.0776718109434541E-2</v>
      </c>
    </row>
    <row r="2386" spans="1:6" x14ac:dyDescent="0.3">
      <c r="A2386" s="24">
        <v>37264</v>
      </c>
      <c r="B2386" s="66">
        <v>426.35900000000004</v>
      </c>
      <c r="C2386" s="67"/>
      <c r="D2386" s="68">
        <v>0</v>
      </c>
      <c r="E2386" s="110">
        <f t="shared" ref="E2386:E2449" si="38">+E2385</f>
        <v>37193</v>
      </c>
      <c r="F2386" s="69">
        <v>1.0776718109434541E-2</v>
      </c>
    </row>
    <row r="2387" spans="1:6" x14ac:dyDescent="0.3">
      <c r="A2387" s="24">
        <v>37265</v>
      </c>
      <c r="B2387" s="66">
        <v>426.35900000000004</v>
      </c>
      <c r="C2387" s="67"/>
      <c r="D2387" s="68">
        <v>0</v>
      </c>
      <c r="E2387" s="110">
        <f t="shared" si="38"/>
        <v>37193</v>
      </c>
      <c r="F2387" s="69">
        <v>1.0776718109434541E-2</v>
      </c>
    </row>
    <row r="2388" spans="1:6" x14ac:dyDescent="0.3">
      <c r="A2388" s="24">
        <v>37266</v>
      </c>
      <c r="B2388" s="66">
        <v>426.35900000000004</v>
      </c>
      <c r="C2388" s="67"/>
      <c r="D2388" s="68">
        <v>0</v>
      </c>
      <c r="E2388" s="110">
        <f t="shared" si="38"/>
        <v>37193</v>
      </c>
      <c r="F2388" s="69">
        <v>1.0776718109434541E-2</v>
      </c>
    </row>
    <row r="2389" spans="1:6" x14ac:dyDescent="0.3">
      <c r="A2389" s="24">
        <v>37267</v>
      </c>
      <c r="B2389" s="66">
        <v>426.35900000000004</v>
      </c>
      <c r="C2389" s="67"/>
      <c r="D2389" s="68">
        <v>0</v>
      </c>
      <c r="E2389" s="110">
        <f t="shared" si="38"/>
        <v>37193</v>
      </c>
      <c r="F2389" s="69">
        <v>1.0776718109434541E-2</v>
      </c>
    </row>
    <row r="2390" spans="1:6" x14ac:dyDescent="0.3">
      <c r="A2390" s="24">
        <v>37268</v>
      </c>
      <c r="B2390" s="66">
        <v>426.35900000000004</v>
      </c>
      <c r="C2390" s="67"/>
      <c r="D2390" s="68">
        <v>0</v>
      </c>
      <c r="E2390" s="110">
        <f t="shared" si="38"/>
        <v>37193</v>
      </c>
      <c r="F2390" s="69">
        <v>1.0776718109434541E-2</v>
      </c>
    </row>
    <row r="2391" spans="1:6" x14ac:dyDescent="0.3">
      <c r="A2391" s="24">
        <v>37269</v>
      </c>
      <c r="B2391" s="66">
        <v>426.35900000000004</v>
      </c>
      <c r="C2391" s="67"/>
      <c r="D2391" s="68">
        <v>0</v>
      </c>
      <c r="E2391" s="110">
        <f t="shared" si="38"/>
        <v>37193</v>
      </c>
      <c r="F2391" s="69">
        <v>1.0776718109434541E-2</v>
      </c>
    </row>
    <row r="2392" spans="1:6" x14ac:dyDescent="0.3">
      <c r="A2392" s="24">
        <v>37270</v>
      </c>
      <c r="B2392" s="66">
        <v>426.35900000000004</v>
      </c>
      <c r="C2392" s="67"/>
      <c r="D2392" s="68">
        <v>0</v>
      </c>
      <c r="E2392" s="110">
        <f t="shared" si="38"/>
        <v>37193</v>
      </c>
      <c r="F2392" s="69">
        <v>1.0776718109434541E-2</v>
      </c>
    </row>
    <row r="2393" spans="1:6" x14ac:dyDescent="0.3">
      <c r="A2393" s="24">
        <v>37271</v>
      </c>
      <c r="B2393" s="66">
        <v>426.35900000000004</v>
      </c>
      <c r="C2393" s="67"/>
      <c r="D2393" s="68">
        <v>0</v>
      </c>
      <c r="E2393" s="110">
        <f t="shared" si="38"/>
        <v>37193</v>
      </c>
      <c r="F2393" s="69">
        <v>1.0776718109434541E-2</v>
      </c>
    </row>
    <row r="2394" spans="1:6" x14ac:dyDescent="0.3">
      <c r="A2394" s="24">
        <v>37272</v>
      </c>
      <c r="B2394" s="66">
        <v>426.35900000000004</v>
      </c>
      <c r="C2394" s="67"/>
      <c r="D2394" s="68">
        <v>0</v>
      </c>
      <c r="E2394" s="110">
        <f t="shared" si="38"/>
        <v>37193</v>
      </c>
      <c r="F2394" s="69">
        <v>1.0776718109434541E-2</v>
      </c>
    </row>
    <row r="2395" spans="1:6" x14ac:dyDescent="0.3">
      <c r="A2395" s="24">
        <v>37273</v>
      </c>
      <c r="B2395" s="66">
        <v>426.35900000000004</v>
      </c>
      <c r="C2395" s="67"/>
      <c r="D2395" s="68">
        <v>0</v>
      </c>
      <c r="E2395" s="110">
        <f t="shared" si="38"/>
        <v>37193</v>
      </c>
      <c r="F2395" s="69">
        <v>1.0776718109434541E-2</v>
      </c>
    </row>
    <row r="2396" spans="1:6" x14ac:dyDescent="0.3">
      <c r="A2396" s="24">
        <v>37274</v>
      </c>
      <c r="B2396" s="66">
        <v>426.35900000000004</v>
      </c>
      <c r="C2396" s="67"/>
      <c r="D2396" s="68">
        <v>0</v>
      </c>
      <c r="E2396" s="110">
        <f t="shared" si="38"/>
        <v>37193</v>
      </c>
      <c r="F2396" s="69">
        <v>1.0776718109434541E-2</v>
      </c>
    </row>
    <row r="2397" spans="1:6" x14ac:dyDescent="0.3">
      <c r="A2397" s="24">
        <v>37275</v>
      </c>
      <c r="B2397" s="66">
        <v>426.35900000000004</v>
      </c>
      <c r="C2397" s="67"/>
      <c r="D2397" s="68">
        <v>0</v>
      </c>
      <c r="E2397" s="110">
        <f t="shared" si="38"/>
        <v>37193</v>
      </c>
      <c r="F2397" s="69">
        <v>1.0776718109434541E-2</v>
      </c>
    </row>
    <row r="2398" spans="1:6" x14ac:dyDescent="0.3">
      <c r="A2398" s="24">
        <v>37276</v>
      </c>
      <c r="B2398" s="66">
        <v>426.35900000000004</v>
      </c>
      <c r="C2398" s="67"/>
      <c r="D2398" s="68">
        <v>0</v>
      </c>
      <c r="E2398" s="110">
        <f t="shared" si="38"/>
        <v>37193</v>
      </c>
      <c r="F2398" s="69">
        <v>1.0776718109434541E-2</v>
      </c>
    </row>
    <row r="2399" spans="1:6" x14ac:dyDescent="0.3">
      <c r="A2399" s="24">
        <v>37277</v>
      </c>
      <c r="B2399" s="66">
        <v>426.35900000000004</v>
      </c>
      <c r="C2399" s="67"/>
      <c r="D2399" s="68">
        <v>0</v>
      </c>
      <c r="E2399" s="110">
        <f t="shared" si="38"/>
        <v>37193</v>
      </c>
      <c r="F2399" s="69">
        <v>1.0776718109434541E-2</v>
      </c>
    </row>
    <row r="2400" spans="1:6" x14ac:dyDescent="0.3">
      <c r="A2400" s="24">
        <v>37278</v>
      </c>
      <c r="B2400" s="66">
        <v>426.35900000000004</v>
      </c>
      <c r="C2400" s="67"/>
      <c r="D2400" s="68">
        <v>0</v>
      </c>
      <c r="E2400" s="110">
        <f t="shared" si="38"/>
        <v>37193</v>
      </c>
      <c r="F2400" s="69">
        <v>1.0776718109434541E-2</v>
      </c>
    </row>
    <row r="2401" spans="1:6" x14ac:dyDescent="0.3">
      <c r="A2401" s="24">
        <v>37279</v>
      </c>
      <c r="B2401" s="66">
        <v>426.35900000000004</v>
      </c>
      <c r="C2401" s="67"/>
      <c r="D2401" s="68">
        <v>0</v>
      </c>
      <c r="E2401" s="110">
        <f t="shared" si="38"/>
        <v>37193</v>
      </c>
      <c r="F2401" s="69">
        <v>1.0776718109434541E-2</v>
      </c>
    </row>
    <row r="2402" spans="1:6" x14ac:dyDescent="0.3">
      <c r="A2402" s="24">
        <v>37280</v>
      </c>
      <c r="B2402" s="66">
        <v>426.35900000000004</v>
      </c>
      <c r="C2402" s="67"/>
      <c r="D2402" s="68">
        <v>0</v>
      </c>
      <c r="E2402" s="110">
        <f t="shared" si="38"/>
        <v>37193</v>
      </c>
      <c r="F2402" s="69">
        <v>1.0776718109434541E-2</v>
      </c>
    </row>
    <row r="2403" spans="1:6" x14ac:dyDescent="0.3">
      <c r="A2403" s="24">
        <v>37281</v>
      </c>
      <c r="B2403" s="66">
        <v>426.35900000000004</v>
      </c>
      <c r="C2403" s="67"/>
      <c r="D2403" s="68">
        <v>0</v>
      </c>
      <c r="E2403" s="110">
        <f t="shared" si="38"/>
        <v>37193</v>
      </c>
      <c r="F2403" s="69">
        <v>1.0776718109434541E-2</v>
      </c>
    </row>
    <row r="2404" spans="1:6" x14ac:dyDescent="0.3">
      <c r="A2404" s="24">
        <v>37282</v>
      </c>
      <c r="B2404" s="66">
        <v>426.35900000000004</v>
      </c>
      <c r="C2404" s="67"/>
      <c r="D2404" s="68">
        <v>0</v>
      </c>
      <c r="E2404" s="110">
        <f t="shared" si="38"/>
        <v>37193</v>
      </c>
      <c r="F2404" s="69">
        <v>1.0776718109434541E-2</v>
      </c>
    </row>
    <row r="2405" spans="1:6" x14ac:dyDescent="0.3">
      <c r="A2405" s="24">
        <v>37283</v>
      </c>
      <c r="B2405" s="66">
        <v>426.35900000000004</v>
      </c>
      <c r="C2405" s="67"/>
      <c r="D2405" s="68">
        <v>0</v>
      </c>
      <c r="E2405" s="110">
        <f t="shared" si="38"/>
        <v>37193</v>
      </c>
      <c r="F2405" s="69">
        <v>1.0776718109434541E-2</v>
      </c>
    </row>
    <row r="2406" spans="1:6" x14ac:dyDescent="0.3">
      <c r="A2406" s="24">
        <v>37284</v>
      </c>
      <c r="B2406" s="66">
        <v>426.35900000000004</v>
      </c>
      <c r="C2406" s="67"/>
      <c r="D2406" s="68">
        <v>0</v>
      </c>
      <c r="E2406" s="110">
        <f t="shared" si="38"/>
        <v>37193</v>
      </c>
      <c r="F2406" s="69">
        <v>1.0776718109434541E-2</v>
      </c>
    </row>
    <row r="2407" spans="1:6" x14ac:dyDescent="0.3">
      <c r="A2407" s="24">
        <v>37285</v>
      </c>
      <c r="B2407" s="66">
        <v>426.35900000000004</v>
      </c>
      <c r="C2407" s="67"/>
      <c r="D2407" s="68">
        <v>0</v>
      </c>
      <c r="E2407" s="110">
        <f t="shared" si="38"/>
        <v>37193</v>
      </c>
      <c r="F2407" s="69">
        <v>1.0776718109434541E-2</v>
      </c>
    </row>
    <row r="2408" spans="1:6" x14ac:dyDescent="0.3">
      <c r="A2408" s="24">
        <v>37286</v>
      </c>
      <c r="B2408" s="66">
        <v>426.35900000000004</v>
      </c>
      <c r="C2408" s="67"/>
      <c r="D2408" s="68">
        <v>0</v>
      </c>
      <c r="E2408" s="110">
        <f t="shared" si="38"/>
        <v>37193</v>
      </c>
      <c r="F2408" s="69">
        <v>1.0776718109434541E-2</v>
      </c>
    </row>
    <row r="2409" spans="1:6" x14ac:dyDescent="0.3">
      <c r="A2409" s="24">
        <v>37287</v>
      </c>
      <c r="B2409" s="66">
        <v>426.35900000000004</v>
      </c>
      <c r="C2409" s="67"/>
      <c r="D2409" s="68">
        <v>0</v>
      </c>
      <c r="E2409" s="110">
        <f t="shared" si="38"/>
        <v>37193</v>
      </c>
      <c r="F2409" s="69">
        <v>1.0776718109434541E-2</v>
      </c>
    </row>
    <row r="2410" spans="1:6" x14ac:dyDescent="0.3">
      <c r="A2410" s="24">
        <v>37288</v>
      </c>
      <c r="B2410" s="66">
        <v>426.35900000000004</v>
      </c>
      <c r="C2410" s="67"/>
      <c r="D2410" s="68">
        <v>0</v>
      </c>
      <c r="E2410" s="110">
        <f t="shared" si="38"/>
        <v>37193</v>
      </c>
      <c r="F2410" s="69">
        <v>1.0776718109434541E-2</v>
      </c>
    </row>
    <row r="2411" spans="1:6" x14ac:dyDescent="0.3">
      <c r="A2411" s="24">
        <v>37289</v>
      </c>
      <c r="B2411" s="66">
        <v>426.35900000000004</v>
      </c>
      <c r="C2411" s="67"/>
      <c r="D2411" s="68">
        <v>0</v>
      </c>
      <c r="E2411" s="110">
        <f t="shared" si="38"/>
        <v>37193</v>
      </c>
      <c r="F2411" s="69">
        <v>1.0776718109434541E-2</v>
      </c>
    </row>
    <row r="2412" spans="1:6" x14ac:dyDescent="0.3">
      <c r="A2412" s="24">
        <v>37290</v>
      </c>
      <c r="B2412" s="66">
        <v>426.35900000000004</v>
      </c>
      <c r="C2412" s="67"/>
      <c r="D2412" s="68">
        <v>0</v>
      </c>
      <c r="E2412" s="110">
        <f t="shared" si="38"/>
        <v>37193</v>
      </c>
      <c r="F2412" s="69">
        <v>1.0776718109434541E-2</v>
      </c>
    </row>
    <row r="2413" spans="1:6" x14ac:dyDescent="0.3">
      <c r="A2413" s="24">
        <v>37291</v>
      </c>
      <c r="B2413" s="66">
        <v>426.35900000000004</v>
      </c>
      <c r="C2413" s="67"/>
      <c r="D2413" s="68">
        <v>0</v>
      </c>
      <c r="E2413" s="110">
        <f t="shared" si="38"/>
        <v>37193</v>
      </c>
      <c r="F2413" s="69">
        <v>1.0776718109434541E-2</v>
      </c>
    </row>
    <row r="2414" spans="1:6" x14ac:dyDescent="0.3">
      <c r="A2414" s="24">
        <v>37292</v>
      </c>
      <c r="B2414" s="66">
        <v>426.35900000000004</v>
      </c>
      <c r="C2414" s="67"/>
      <c r="D2414" s="68">
        <v>0</v>
      </c>
      <c r="E2414" s="110">
        <f t="shared" si="38"/>
        <v>37193</v>
      </c>
      <c r="F2414" s="69">
        <v>1.0776718109434541E-2</v>
      </c>
    </row>
    <row r="2415" spans="1:6" x14ac:dyDescent="0.3">
      <c r="A2415" s="24">
        <v>37293</v>
      </c>
      <c r="B2415" s="66">
        <v>426.35900000000004</v>
      </c>
      <c r="C2415" s="67"/>
      <c r="D2415" s="68">
        <v>0</v>
      </c>
      <c r="E2415" s="110">
        <f t="shared" si="38"/>
        <v>37193</v>
      </c>
      <c r="F2415" s="69">
        <v>1.0776718109434541E-2</v>
      </c>
    </row>
    <row r="2416" spans="1:6" x14ac:dyDescent="0.3">
      <c r="A2416" s="24">
        <v>37294</v>
      </c>
      <c r="B2416" s="66">
        <v>426.35900000000004</v>
      </c>
      <c r="C2416" s="67"/>
      <c r="D2416" s="68">
        <v>0</v>
      </c>
      <c r="E2416" s="110">
        <f t="shared" si="38"/>
        <v>37193</v>
      </c>
      <c r="F2416" s="69">
        <v>1.0776718109434541E-2</v>
      </c>
    </row>
    <row r="2417" spans="1:6" x14ac:dyDescent="0.3">
      <c r="A2417" s="24">
        <v>37295</v>
      </c>
      <c r="B2417" s="66">
        <v>426.35900000000004</v>
      </c>
      <c r="C2417" s="67"/>
      <c r="D2417" s="68">
        <v>0</v>
      </c>
      <c r="E2417" s="110">
        <f t="shared" si="38"/>
        <v>37193</v>
      </c>
      <c r="F2417" s="69">
        <v>1.0776718109434541E-2</v>
      </c>
    </row>
    <row r="2418" spans="1:6" x14ac:dyDescent="0.3">
      <c r="A2418" s="24">
        <v>37296</v>
      </c>
      <c r="B2418" s="66">
        <v>426.35900000000004</v>
      </c>
      <c r="C2418" s="67"/>
      <c r="D2418" s="68">
        <v>0</v>
      </c>
      <c r="E2418" s="110">
        <f t="shared" si="38"/>
        <v>37193</v>
      </c>
      <c r="F2418" s="69">
        <v>1.0776718109434541E-2</v>
      </c>
    </row>
    <row r="2419" spans="1:6" x14ac:dyDescent="0.3">
      <c r="A2419" s="24">
        <v>37297</v>
      </c>
      <c r="B2419" s="66">
        <v>426.35900000000004</v>
      </c>
      <c r="C2419" s="67"/>
      <c r="D2419" s="68">
        <v>0</v>
      </c>
      <c r="E2419" s="110">
        <f t="shared" si="38"/>
        <v>37193</v>
      </c>
      <c r="F2419" s="69">
        <v>1.0776718109434541E-2</v>
      </c>
    </row>
    <row r="2420" spans="1:6" x14ac:dyDescent="0.3">
      <c r="A2420" s="24">
        <v>37298</v>
      </c>
      <c r="B2420" s="66">
        <v>426.35900000000004</v>
      </c>
      <c r="C2420" s="67"/>
      <c r="D2420" s="68">
        <v>0</v>
      </c>
      <c r="E2420" s="110">
        <f t="shared" si="38"/>
        <v>37193</v>
      </c>
      <c r="F2420" s="69">
        <v>1.0776718109434541E-2</v>
      </c>
    </row>
    <row r="2421" spans="1:6" x14ac:dyDescent="0.3">
      <c r="A2421" s="24">
        <v>37299</v>
      </c>
      <c r="B2421" s="66">
        <v>426.35900000000004</v>
      </c>
      <c r="C2421" s="67"/>
      <c r="D2421" s="68">
        <v>0</v>
      </c>
      <c r="E2421" s="110">
        <f t="shared" si="38"/>
        <v>37193</v>
      </c>
      <c r="F2421" s="69">
        <v>1.0776718109434541E-2</v>
      </c>
    </row>
    <row r="2422" spans="1:6" x14ac:dyDescent="0.3">
      <c r="A2422" s="24">
        <v>37300</v>
      </c>
      <c r="B2422" s="66">
        <v>426.35900000000004</v>
      </c>
      <c r="C2422" s="67"/>
      <c r="D2422" s="68">
        <v>0</v>
      </c>
      <c r="E2422" s="110">
        <f t="shared" si="38"/>
        <v>37193</v>
      </c>
      <c r="F2422" s="69">
        <v>1.0776718109434541E-2</v>
      </c>
    </row>
    <row r="2423" spans="1:6" x14ac:dyDescent="0.3">
      <c r="A2423" s="24">
        <v>37301</v>
      </c>
      <c r="B2423" s="66">
        <v>426.35900000000004</v>
      </c>
      <c r="C2423" s="67"/>
      <c r="D2423" s="68">
        <v>0</v>
      </c>
      <c r="E2423" s="110">
        <f t="shared" si="38"/>
        <v>37193</v>
      </c>
      <c r="F2423" s="69">
        <v>1.0776718109434541E-2</v>
      </c>
    </row>
    <row r="2424" spans="1:6" x14ac:dyDescent="0.3">
      <c r="A2424" s="24">
        <v>37302</v>
      </c>
      <c r="B2424" s="66">
        <v>426.35900000000004</v>
      </c>
      <c r="C2424" s="67"/>
      <c r="D2424" s="68">
        <v>0</v>
      </c>
      <c r="E2424" s="110">
        <f t="shared" si="38"/>
        <v>37193</v>
      </c>
      <c r="F2424" s="69">
        <v>1.0776718109434541E-2</v>
      </c>
    </row>
    <row r="2425" spans="1:6" x14ac:dyDescent="0.3">
      <c r="A2425" s="24">
        <v>37303</v>
      </c>
      <c r="B2425" s="66">
        <v>426.35900000000004</v>
      </c>
      <c r="C2425" s="67"/>
      <c r="D2425" s="68">
        <v>0</v>
      </c>
      <c r="E2425" s="110">
        <f t="shared" si="38"/>
        <v>37193</v>
      </c>
      <c r="F2425" s="69">
        <v>1.0776718109434541E-2</v>
      </c>
    </row>
    <row r="2426" spans="1:6" x14ac:dyDescent="0.3">
      <c r="A2426" s="24">
        <v>37304</v>
      </c>
      <c r="B2426" s="66">
        <v>426.35900000000004</v>
      </c>
      <c r="C2426" s="67"/>
      <c r="D2426" s="68">
        <v>0</v>
      </c>
      <c r="E2426" s="110">
        <f t="shared" si="38"/>
        <v>37193</v>
      </c>
      <c r="F2426" s="69">
        <v>1.0776718109434541E-2</v>
      </c>
    </row>
    <row r="2427" spans="1:6" x14ac:dyDescent="0.3">
      <c r="A2427" s="24">
        <v>37305</v>
      </c>
      <c r="B2427" s="66">
        <v>426.35900000000004</v>
      </c>
      <c r="C2427" s="67"/>
      <c r="D2427" s="68">
        <v>0</v>
      </c>
      <c r="E2427" s="110">
        <f t="shared" si="38"/>
        <v>37193</v>
      </c>
      <c r="F2427" s="69">
        <v>1.0776718109434541E-2</v>
      </c>
    </row>
    <row r="2428" spans="1:6" x14ac:dyDescent="0.3">
      <c r="A2428" s="24">
        <v>37306</v>
      </c>
      <c r="B2428" s="66">
        <v>426.35900000000004</v>
      </c>
      <c r="C2428" s="67"/>
      <c r="D2428" s="68">
        <v>0</v>
      </c>
      <c r="E2428" s="110">
        <f t="shared" si="38"/>
        <v>37193</v>
      </c>
      <c r="F2428" s="69">
        <v>1.0776718109434541E-2</v>
      </c>
    </row>
    <row r="2429" spans="1:6" x14ac:dyDescent="0.3">
      <c r="A2429" s="24">
        <v>37307</v>
      </c>
      <c r="B2429" s="66">
        <v>426.35900000000004</v>
      </c>
      <c r="C2429" s="67"/>
      <c r="D2429" s="68">
        <v>0</v>
      </c>
      <c r="E2429" s="110">
        <f t="shared" si="38"/>
        <v>37193</v>
      </c>
      <c r="F2429" s="69">
        <v>1.0776718109434541E-2</v>
      </c>
    </row>
    <row r="2430" spans="1:6" x14ac:dyDescent="0.3">
      <c r="A2430" s="24">
        <v>37308</v>
      </c>
      <c r="B2430" s="66">
        <v>426.35900000000004</v>
      </c>
      <c r="C2430" s="67"/>
      <c r="D2430" s="68">
        <v>0</v>
      </c>
      <c r="E2430" s="110">
        <f t="shared" si="38"/>
        <v>37193</v>
      </c>
      <c r="F2430" s="69">
        <v>1.0776718109434541E-2</v>
      </c>
    </row>
    <row r="2431" spans="1:6" x14ac:dyDescent="0.3">
      <c r="A2431" s="24">
        <v>37309</v>
      </c>
      <c r="B2431" s="66">
        <v>426.35900000000004</v>
      </c>
      <c r="C2431" s="67"/>
      <c r="D2431" s="68">
        <v>0</v>
      </c>
      <c r="E2431" s="110">
        <f t="shared" si="38"/>
        <v>37193</v>
      </c>
      <c r="F2431" s="69">
        <v>1.0776718109434541E-2</v>
      </c>
    </row>
    <row r="2432" spans="1:6" x14ac:dyDescent="0.3">
      <c r="A2432" s="24">
        <v>37310</v>
      </c>
      <c r="B2432" s="66">
        <v>426.35900000000004</v>
      </c>
      <c r="C2432" s="67"/>
      <c r="D2432" s="68">
        <v>0</v>
      </c>
      <c r="E2432" s="110">
        <f t="shared" si="38"/>
        <v>37193</v>
      </c>
      <c r="F2432" s="69">
        <v>1.0776718109434541E-2</v>
      </c>
    </row>
    <row r="2433" spans="1:6" x14ac:dyDescent="0.3">
      <c r="A2433" s="24">
        <v>37311</v>
      </c>
      <c r="B2433" s="66">
        <v>426.35900000000004</v>
      </c>
      <c r="C2433" s="67"/>
      <c r="D2433" s="68">
        <v>0</v>
      </c>
      <c r="E2433" s="110">
        <f t="shared" si="38"/>
        <v>37193</v>
      </c>
      <c r="F2433" s="69">
        <v>1.0776718109434541E-2</v>
      </c>
    </row>
    <row r="2434" spans="1:6" x14ac:dyDescent="0.3">
      <c r="A2434" s="24">
        <v>37312</v>
      </c>
      <c r="B2434" s="66">
        <v>426.35900000000004</v>
      </c>
      <c r="C2434" s="67"/>
      <c r="D2434" s="68">
        <v>0</v>
      </c>
      <c r="E2434" s="110">
        <f t="shared" si="38"/>
        <v>37193</v>
      </c>
      <c r="F2434" s="69">
        <v>1.0776718109434541E-2</v>
      </c>
    </row>
    <row r="2435" spans="1:6" x14ac:dyDescent="0.3">
      <c r="A2435" s="24">
        <v>37313</v>
      </c>
      <c r="B2435" s="66">
        <v>426.35900000000004</v>
      </c>
      <c r="C2435" s="67"/>
      <c r="D2435" s="68">
        <v>0</v>
      </c>
      <c r="E2435" s="110">
        <f t="shared" si="38"/>
        <v>37193</v>
      </c>
      <c r="F2435" s="69">
        <v>1.0776718109434541E-2</v>
      </c>
    </row>
    <row r="2436" spans="1:6" x14ac:dyDescent="0.3">
      <c r="A2436" s="24">
        <v>37314</v>
      </c>
      <c r="B2436" s="66">
        <v>426.35900000000004</v>
      </c>
      <c r="C2436" s="67"/>
      <c r="D2436" s="68">
        <v>0</v>
      </c>
      <c r="E2436" s="110">
        <f t="shared" si="38"/>
        <v>37193</v>
      </c>
      <c r="F2436" s="69">
        <v>1.0776718109434541E-2</v>
      </c>
    </row>
    <row r="2437" spans="1:6" x14ac:dyDescent="0.3">
      <c r="A2437" s="24">
        <v>37315</v>
      </c>
      <c r="B2437" s="66">
        <v>426.35900000000004</v>
      </c>
      <c r="C2437" s="67"/>
      <c r="D2437" s="68">
        <v>0</v>
      </c>
      <c r="E2437" s="110">
        <f t="shared" si="38"/>
        <v>37193</v>
      </c>
      <c r="F2437" s="69">
        <v>1.0776718109434541E-2</v>
      </c>
    </row>
    <row r="2438" spans="1:6" x14ac:dyDescent="0.3">
      <c r="A2438" s="24">
        <v>37316</v>
      </c>
      <c r="B2438" s="66">
        <v>426.35900000000004</v>
      </c>
      <c r="C2438" s="67"/>
      <c r="D2438" s="68">
        <v>0</v>
      </c>
      <c r="E2438" s="110">
        <f t="shared" si="38"/>
        <v>37193</v>
      </c>
      <c r="F2438" s="69">
        <v>1.0776718109434541E-2</v>
      </c>
    </row>
    <row r="2439" spans="1:6" x14ac:dyDescent="0.3">
      <c r="A2439" s="24">
        <v>37317</v>
      </c>
      <c r="B2439" s="66">
        <v>426.35900000000004</v>
      </c>
      <c r="C2439" s="67"/>
      <c r="D2439" s="68">
        <v>0</v>
      </c>
      <c r="E2439" s="110">
        <f t="shared" si="38"/>
        <v>37193</v>
      </c>
      <c r="F2439" s="69">
        <v>1.0776718109434541E-2</v>
      </c>
    </row>
    <row r="2440" spans="1:6" x14ac:dyDescent="0.3">
      <c r="A2440" s="24">
        <v>37318</v>
      </c>
      <c r="B2440" s="66">
        <v>426.35900000000004</v>
      </c>
      <c r="C2440" s="67"/>
      <c r="D2440" s="68">
        <v>0</v>
      </c>
      <c r="E2440" s="110">
        <f t="shared" si="38"/>
        <v>37193</v>
      </c>
      <c r="F2440" s="69">
        <v>1.0776718109434541E-2</v>
      </c>
    </row>
    <row r="2441" spans="1:6" x14ac:dyDescent="0.3">
      <c r="A2441" s="24">
        <v>37319</v>
      </c>
      <c r="B2441" s="66">
        <v>426.35900000000004</v>
      </c>
      <c r="C2441" s="67"/>
      <c r="D2441" s="68">
        <v>0</v>
      </c>
      <c r="E2441" s="110">
        <f t="shared" si="38"/>
        <v>37193</v>
      </c>
      <c r="F2441" s="69">
        <v>1.0776718109434541E-2</v>
      </c>
    </row>
    <row r="2442" spans="1:6" x14ac:dyDescent="0.3">
      <c r="A2442" s="24">
        <v>37320</v>
      </c>
      <c r="B2442" s="66">
        <v>426.35900000000004</v>
      </c>
      <c r="C2442" s="67"/>
      <c r="D2442" s="68">
        <v>0</v>
      </c>
      <c r="E2442" s="110">
        <f t="shared" si="38"/>
        <v>37193</v>
      </c>
      <c r="F2442" s="69">
        <v>1.0776718109434541E-2</v>
      </c>
    </row>
    <row r="2443" spans="1:6" x14ac:dyDescent="0.3">
      <c r="A2443" s="24">
        <v>37321</v>
      </c>
      <c r="B2443" s="66">
        <v>426.35900000000004</v>
      </c>
      <c r="C2443" s="67"/>
      <c r="D2443" s="68">
        <v>0</v>
      </c>
      <c r="E2443" s="110">
        <f t="shared" si="38"/>
        <v>37193</v>
      </c>
      <c r="F2443" s="69">
        <v>1.0776718109434541E-2</v>
      </c>
    </row>
    <row r="2444" spans="1:6" x14ac:dyDescent="0.3">
      <c r="A2444" s="24">
        <v>37322</v>
      </c>
      <c r="B2444" s="66">
        <v>426.35900000000004</v>
      </c>
      <c r="C2444" s="67"/>
      <c r="D2444" s="68">
        <v>0</v>
      </c>
      <c r="E2444" s="110">
        <f t="shared" si="38"/>
        <v>37193</v>
      </c>
      <c r="F2444" s="69">
        <v>1.0776718109434541E-2</v>
      </c>
    </row>
    <row r="2445" spans="1:6" x14ac:dyDescent="0.3">
      <c r="A2445" s="24">
        <v>37323</v>
      </c>
      <c r="B2445" s="66">
        <v>426.35900000000004</v>
      </c>
      <c r="C2445" s="67"/>
      <c r="D2445" s="68">
        <v>0</v>
      </c>
      <c r="E2445" s="110">
        <f t="shared" si="38"/>
        <v>37193</v>
      </c>
      <c r="F2445" s="69">
        <v>1.0776718109434541E-2</v>
      </c>
    </row>
    <row r="2446" spans="1:6" x14ac:dyDescent="0.3">
      <c r="A2446" s="24">
        <v>37324</v>
      </c>
      <c r="B2446" s="66">
        <v>426.35900000000004</v>
      </c>
      <c r="C2446" s="67"/>
      <c r="D2446" s="68">
        <v>0</v>
      </c>
      <c r="E2446" s="110">
        <f t="shared" si="38"/>
        <v>37193</v>
      </c>
      <c r="F2446" s="69">
        <v>1.0776718109434541E-2</v>
      </c>
    </row>
    <row r="2447" spans="1:6" x14ac:dyDescent="0.3">
      <c r="A2447" s="24">
        <v>37325</v>
      </c>
      <c r="B2447" s="66">
        <v>426.35900000000004</v>
      </c>
      <c r="C2447" s="67"/>
      <c r="D2447" s="68">
        <v>0</v>
      </c>
      <c r="E2447" s="110">
        <f t="shared" si="38"/>
        <v>37193</v>
      </c>
      <c r="F2447" s="69">
        <v>1.0776718109434541E-2</v>
      </c>
    </row>
    <row r="2448" spans="1:6" x14ac:dyDescent="0.3">
      <c r="A2448" s="24">
        <v>37326</v>
      </c>
      <c r="B2448" s="66">
        <v>426.35900000000004</v>
      </c>
      <c r="C2448" s="67"/>
      <c r="D2448" s="68">
        <v>0</v>
      </c>
      <c r="E2448" s="110">
        <f t="shared" si="38"/>
        <v>37193</v>
      </c>
      <c r="F2448" s="69">
        <v>1.0776718109434541E-2</v>
      </c>
    </row>
    <row r="2449" spans="1:6" x14ac:dyDescent="0.3">
      <c r="A2449" s="24">
        <v>37327</v>
      </c>
      <c r="B2449" s="66">
        <v>426.35900000000004</v>
      </c>
      <c r="C2449" s="67"/>
      <c r="D2449" s="68">
        <v>0</v>
      </c>
      <c r="E2449" s="110">
        <f t="shared" si="38"/>
        <v>37193</v>
      </c>
      <c r="F2449" s="69">
        <v>1.0776718109434541E-2</v>
      </c>
    </row>
    <row r="2450" spans="1:6" x14ac:dyDescent="0.3">
      <c r="A2450" s="24">
        <v>37328</v>
      </c>
      <c r="B2450" s="66">
        <v>426.35900000000004</v>
      </c>
      <c r="C2450" s="67"/>
      <c r="D2450" s="68">
        <v>0</v>
      </c>
      <c r="E2450" s="110">
        <f t="shared" ref="E2450:E2513" si="39">+E2449</f>
        <v>37193</v>
      </c>
      <c r="F2450" s="69">
        <v>1.0776718109434541E-2</v>
      </c>
    </row>
    <row r="2451" spans="1:6" x14ac:dyDescent="0.3">
      <c r="A2451" s="24">
        <v>37329</v>
      </c>
      <c r="B2451" s="66">
        <v>426.35900000000004</v>
      </c>
      <c r="C2451" s="67"/>
      <c r="D2451" s="68">
        <v>0</v>
      </c>
      <c r="E2451" s="110">
        <f t="shared" si="39"/>
        <v>37193</v>
      </c>
      <c r="F2451" s="69">
        <v>1.0776718109434541E-2</v>
      </c>
    </row>
    <row r="2452" spans="1:6" x14ac:dyDescent="0.3">
      <c r="A2452" s="24">
        <v>37330</v>
      </c>
      <c r="B2452" s="66">
        <v>426.35900000000004</v>
      </c>
      <c r="C2452" s="67"/>
      <c r="D2452" s="68">
        <v>0</v>
      </c>
      <c r="E2452" s="110">
        <f t="shared" si="39"/>
        <v>37193</v>
      </c>
      <c r="F2452" s="69">
        <v>1.0776718109434541E-2</v>
      </c>
    </row>
    <row r="2453" spans="1:6" x14ac:dyDescent="0.3">
      <c r="A2453" s="24">
        <v>37331</v>
      </c>
      <c r="B2453" s="66">
        <v>426.35900000000004</v>
      </c>
      <c r="C2453" s="67"/>
      <c r="D2453" s="68">
        <v>0</v>
      </c>
      <c r="E2453" s="110">
        <f t="shared" si="39"/>
        <v>37193</v>
      </c>
      <c r="F2453" s="69">
        <v>1.0776718109434541E-2</v>
      </c>
    </row>
    <row r="2454" spans="1:6" x14ac:dyDescent="0.3">
      <c r="A2454" s="24">
        <v>37332</v>
      </c>
      <c r="B2454" s="66">
        <v>426.35900000000004</v>
      </c>
      <c r="C2454" s="67"/>
      <c r="D2454" s="68">
        <v>0</v>
      </c>
      <c r="E2454" s="110">
        <f t="shared" si="39"/>
        <v>37193</v>
      </c>
      <c r="F2454" s="69">
        <v>1.0776718109434541E-2</v>
      </c>
    </row>
    <row r="2455" spans="1:6" x14ac:dyDescent="0.3">
      <c r="A2455" s="24">
        <v>37333</v>
      </c>
      <c r="B2455" s="66">
        <v>426.35900000000004</v>
      </c>
      <c r="C2455" s="67"/>
      <c r="D2455" s="68">
        <v>0</v>
      </c>
      <c r="E2455" s="110">
        <f t="shared" si="39"/>
        <v>37193</v>
      </c>
      <c r="F2455" s="69">
        <v>1.0776718109434541E-2</v>
      </c>
    </row>
    <row r="2456" spans="1:6" x14ac:dyDescent="0.3">
      <c r="A2456" s="24">
        <v>37334</v>
      </c>
      <c r="B2456" s="66">
        <v>426.35900000000004</v>
      </c>
      <c r="C2456" s="67"/>
      <c r="D2456" s="68">
        <v>0</v>
      </c>
      <c r="E2456" s="110">
        <f t="shared" si="39"/>
        <v>37193</v>
      </c>
      <c r="F2456" s="69">
        <v>1.0776718109434541E-2</v>
      </c>
    </row>
    <row r="2457" spans="1:6" x14ac:dyDescent="0.3">
      <c r="A2457" s="24">
        <v>37335</v>
      </c>
      <c r="B2457" s="66">
        <v>426.35900000000004</v>
      </c>
      <c r="C2457" s="67"/>
      <c r="D2457" s="68">
        <v>0</v>
      </c>
      <c r="E2457" s="110">
        <f t="shared" si="39"/>
        <v>37193</v>
      </c>
      <c r="F2457" s="69">
        <v>1.0776718109434541E-2</v>
      </c>
    </row>
    <row r="2458" spans="1:6" x14ac:dyDescent="0.3">
      <c r="A2458" s="24">
        <v>37336</v>
      </c>
      <c r="B2458" s="66">
        <v>426.35900000000004</v>
      </c>
      <c r="C2458" s="67"/>
      <c r="D2458" s="68">
        <v>0</v>
      </c>
      <c r="E2458" s="110">
        <f t="shared" si="39"/>
        <v>37193</v>
      </c>
      <c r="F2458" s="69">
        <v>1.0776718109434541E-2</v>
      </c>
    </row>
    <row r="2459" spans="1:6" x14ac:dyDescent="0.3">
      <c r="A2459" s="24">
        <v>37337</v>
      </c>
      <c r="B2459" s="66">
        <v>426.35900000000004</v>
      </c>
      <c r="C2459" s="67"/>
      <c r="D2459" s="68">
        <v>0</v>
      </c>
      <c r="E2459" s="110">
        <f t="shared" si="39"/>
        <v>37193</v>
      </c>
      <c r="F2459" s="69">
        <v>1.0776718109434541E-2</v>
      </c>
    </row>
    <row r="2460" spans="1:6" x14ac:dyDescent="0.3">
      <c r="A2460" s="24">
        <v>37338</v>
      </c>
      <c r="B2460" s="66">
        <v>426.35900000000004</v>
      </c>
      <c r="C2460" s="67"/>
      <c r="D2460" s="68">
        <v>0</v>
      </c>
      <c r="E2460" s="110">
        <f t="shared" si="39"/>
        <v>37193</v>
      </c>
      <c r="F2460" s="69">
        <v>1.0776718109434541E-2</v>
      </c>
    </row>
    <row r="2461" spans="1:6" x14ac:dyDescent="0.3">
      <c r="A2461" s="24">
        <v>37339</v>
      </c>
      <c r="B2461" s="66">
        <v>426.35900000000004</v>
      </c>
      <c r="C2461" s="67"/>
      <c r="D2461" s="68">
        <v>0</v>
      </c>
      <c r="E2461" s="110">
        <f t="shared" si="39"/>
        <v>37193</v>
      </c>
      <c r="F2461" s="69">
        <v>1.0776718109434541E-2</v>
      </c>
    </row>
    <row r="2462" spans="1:6" x14ac:dyDescent="0.3">
      <c r="A2462" s="24">
        <v>37340</v>
      </c>
      <c r="B2462" s="66">
        <v>426.35900000000004</v>
      </c>
      <c r="C2462" s="67"/>
      <c r="D2462" s="68">
        <v>0</v>
      </c>
      <c r="E2462" s="110">
        <f t="shared" si="39"/>
        <v>37193</v>
      </c>
      <c r="F2462" s="69">
        <v>1.0776718109434541E-2</v>
      </c>
    </row>
    <row r="2463" spans="1:6" x14ac:dyDescent="0.3">
      <c r="A2463" s="24">
        <v>37341</v>
      </c>
      <c r="B2463" s="66">
        <v>426.35900000000004</v>
      </c>
      <c r="C2463" s="67"/>
      <c r="D2463" s="68">
        <v>0</v>
      </c>
      <c r="E2463" s="110">
        <f t="shared" si="39"/>
        <v>37193</v>
      </c>
      <c r="F2463" s="69">
        <v>1.0776718109434541E-2</v>
      </c>
    </row>
    <row r="2464" spans="1:6" x14ac:dyDescent="0.3">
      <c r="A2464" s="24">
        <v>37342</v>
      </c>
      <c r="B2464" s="66">
        <v>426.35900000000004</v>
      </c>
      <c r="C2464" s="67"/>
      <c r="D2464" s="68">
        <v>0</v>
      </c>
      <c r="E2464" s="110">
        <f t="shared" si="39"/>
        <v>37193</v>
      </c>
      <c r="F2464" s="69">
        <v>1.0776718109434541E-2</v>
      </c>
    </row>
    <row r="2465" spans="1:6" x14ac:dyDescent="0.3">
      <c r="A2465" s="24">
        <v>37343</v>
      </c>
      <c r="B2465" s="66">
        <v>426.35900000000004</v>
      </c>
      <c r="C2465" s="67"/>
      <c r="D2465" s="68">
        <v>0</v>
      </c>
      <c r="E2465" s="110">
        <f t="shared" si="39"/>
        <v>37193</v>
      </c>
      <c r="F2465" s="69">
        <v>1.0776718109434541E-2</v>
      </c>
    </row>
    <row r="2466" spans="1:6" x14ac:dyDescent="0.3">
      <c r="A2466" s="24">
        <v>37344</v>
      </c>
      <c r="B2466" s="66">
        <v>426.35900000000004</v>
      </c>
      <c r="C2466" s="67"/>
      <c r="D2466" s="68">
        <v>0</v>
      </c>
      <c r="E2466" s="110">
        <f t="shared" si="39"/>
        <v>37193</v>
      </c>
      <c r="F2466" s="69">
        <v>1.0776718109434541E-2</v>
      </c>
    </row>
    <row r="2467" spans="1:6" x14ac:dyDescent="0.3">
      <c r="A2467" s="24">
        <v>37345</v>
      </c>
      <c r="B2467" s="66">
        <v>426.35900000000004</v>
      </c>
      <c r="C2467" s="67"/>
      <c r="D2467" s="68">
        <v>0</v>
      </c>
      <c r="E2467" s="110">
        <f t="shared" si="39"/>
        <v>37193</v>
      </c>
      <c r="F2467" s="69">
        <v>1.0643970649733917E-2</v>
      </c>
    </row>
    <row r="2468" spans="1:6" x14ac:dyDescent="0.3">
      <c r="A2468" s="24">
        <v>37346</v>
      </c>
      <c r="B2468" s="66">
        <v>428.84</v>
      </c>
      <c r="C2468" s="67"/>
      <c r="D2468" s="68">
        <v>0</v>
      </c>
      <c r="E2468" s="110">
        <f t="shared" si="39"/>
        <v>37193</v>
      </c>
      <c r="F2468" s="69">
        <v>1.0643970649733917E-2</v>
      </c>
    </row>
    <row r="2469" spans="1:6" x14ac:dyDescent="0.3">
      <c r="A2469" s="24">
        <v>37347</v>
      </c>
      <c r="B2469" s="66">
        <v>428.84</v>
      </c>
      <c r="C2469" s="67"/>
      <c r="D2469" s="68">
        <v>0</v>
      </c>
      <c r="E2469" s="110">
        <f t="shared" si="39"/>
        <v>37193</v>
      </c>
      <c r="F2469" s="69">
        <v>1.0643970649733917E-2</v>
      </c>
    </row>
    <row r="2470" spans="1:6" x14ac:dyDescent="0.3">
      <c r="A2470" s="24">
        <v>37348</v>
      </c>
      <c r="B2470" s="66">
        <v>428.84</v>
      </c>
      <c r="C2470" s="67"/>
      <c r="D2470" s="68">
        <v>0</v>
      </c>
      <c r="E2470" s="110">
        <f t="shared" si="39"/>
        <v>37193</v>
      </c>
      <c r="F2470" s="69">
        <v>1.0643970649733917E-2</v>
      </c>
    </row>
    <row r="2471" spans="1:6" x14ac:dyDescent="0.3">
      <c r="A2471" s="24">
        <v>37349</v>
      </c>
      <c r="B2471" s="66">
        <v>428.84</v>
      </c>
      <c r="C2471" s="67"/>
      <c r="D2471" s="68">
        <v>0</v>
      </c>
      <c r="E2471" s="110">
        <f t="shared" si="39"/>
        <v>37193</v>
      </c>
      <c r="F2471" s="69">
        <v>1.0643970649733917E-2</v>
      </c>
    </row>
    <row r="2472" spans="1:6" x14ac:dyDescent="0.3">
      <c r="A2472" s="24">
        <v>37350</v>
      </c>
      <c r="B2472" s="66">
        <v>428.84</v>
      </c>
      <c r="C2472" s="67"/>
      <c r="D2472" s="68">
        <v>0</v>
      </c>
      <c r="E2472" s="110">
        <f t="shared" si="39"/>
        <v>37193</v>
      </c>
      <c r="F2472" s="69">
        <v>1.0643970649733917E-2</v>
      </c>
    </row>
    <row r="2473" spans="1:6" x14ac:dyDescent="0.3">
      <c r="A2473" s="24">
        <v>37351</v>
      </c>
      <c r="B2473" s="66">
        <v>428.84</v>
      </c>
      <c r="C2473" s="67"/>
      <c r="D2473" s="68">
        <v>0</v>
      </c>
      <c r="E2473" s="110">
        <f t="shared" si="39"/>
        <v>37193</v>
      </c>
      <c r="F2473" s="69">
        <v>1.0643970649733917E-2</v>
      </c>
    </row>
    <row r="2474" spans="1:6" x14ac:dyDescent="0.3">
      <c r="A2474" s="24">
        <v>37352</v>
      </c>
      <c r="B2474" s="66">
        <v>428.84</v>
      </c>
      <c r="C2474" s="67"/>
      <c r="D2474" s="68">
        <v>0</v>
      </c>
      <c r="E2474" s="110">
        <f t="shared" si="39"/>
        <v>37193</v>
      </c>
      <c r="F2474" s="69">
        <v>1.0643970649733917E-2</v>
      </c>
    </row>
    <row r="2475" spans="1:6" x14ac:dyDescent="0.3">
      <c r="A2475" s="24">
        <v>37353</v>
      </c>
      <c r="B2475" s="66">
        <v>428.84</v>
      </c>
      <c r="C2475" s="67"/>
      <c r="D2475" s="68">
        <v>0</v>
      </c>
      <c r="E2475" s="110">
        <f t="shared" si="39"/>
        <v>37193</v>
      </c>
      <c r="F2475" s="69">
        <v>1.0643970649733917E-2</v>
      </c>
    </row>
    <row r="2476" spans="1:6" x14ac:dyDescent="0.3">
      <c r="A2476" s="24">
        <v>37354</v>
      </c>
      <c r="B2476" s="66">
        <v>428.84</v>
      </c>
      <c r="C2476" s="67"/>
      <c r="D2476" s="68">
        <v>0</v>
      </c>
      <c r="E2476" s="110">
        <f t="shared" si="39"/>
        <v>37193</v>
      </c>
      <c r="F2476" s="69">
        <v>1.0643970649733917E-2</v>
      </c>
    </row>
    <row r="2477" spans="1:6" x14ac:dyDescent="0.3">
      <c r="A2477" s="24">
        <v>37355</v>
      </c>
      <c r="B2477" s="66">
        <v>428.84</v>
      </c>
      <c r="C2477" s="67"/>
      <c r="D2477" s="68">
        <v>0</v>
      </c>
      <c r="E2477" s="110">
        <f t="shared" si="39"/>
        <v>37193</v>
      </c>
      <c r="F2477" s="69">
        <v>1.0643970649733917E-2</v>
      </c>
    </row>
    <row r="2478" spans="1:6" x14ac:dyDescent="0.3">
      <c r="A2478" s="24">
        <v>37356</v>
      </c>
      <c r="B2478" s="66">
        <v>428.84</v>
      </c>
      <c r="C2478" s="67"/>
      <c r="D2478" s="68">
        <v>0</v>
      </c>
      <c r="E2478" s="110">
        <f t="shared" si="39"/>
        <v>37193</v>
      </c>
      <c r="F2478" s="69">
        <v>1.0643970649733917E-2</v>
      </c>
    </row>
    <row r="2479" spans="1:6" x14ac:dyDescent="0.3">
      <c r="A2479" s="24">
        <v>37357</v>
      </c>
      <c r="B2479" s="66">
        <v>428.84</v>
      </c>
      <c r="C2479" s="67"/>
      <c r="D2479" s="68">
        <v>0</v>
      </c>
      <c r="E2479" s="110">
        <f t="shared" si="39"/>
        <v>37193</v>
      </c>
      <c r="F2479" s="69">
        <v>1.0643970649733917E-2</v>
      </c>
    </row>
    <row r="2480" spans="1:6" x14ac:dyDescent="0.3">
      <c r="A2480" s="24">
        <v>37358</v>
      </c>
      <c r="B2480" s="66">
        <v>428.84</v>
      </c>
      <c r="C2480" s="67"/>
      <c r="D2480" s="68">
        <v>0</v>
      </c>
      <c r="E2480" s="110">
        <f t="shared" si="39"/>
        <v>37193</v>
      </c>
      <c r="F2480" s="69">
        <v>1.0643970649733917E-2</v>
      </c>
    </row>
    <row r="2481" spans="1:6" x14ac:dyDescent="0.3">
      <c r="A2481" s="24">
        <v>37359</v>
      </c>
      <c r="B2481" s="66">
        <v>428.84</v>
      </c>
      <c r="C2481" s="67"/>
      <c r="D2481" s="68">
        <v>0</v>
      </c>
      <c r="E2481" s="110">
        <f t="shared" si="39"/>
        <v>37193</v>
      </c>
      <c r="F2481" s="69">
        <v>1.0643970649733917E-2</v>
      </c>
    </row>
    <row r="2482" spans="1:6" x14ac:dyDescent="0.3">
      <c r="A2482" s="24">
        <v>37360</v>
      </c>
      <c r="B2482" s="66">
        <v>428.84</v>
      </c>
      <c r="C2482" s="67"/>
      <c r="D2482" s="68">
        <v>0</v>
      </c>
      <c r="E2482" s="110">
        <f t="shared" si="39"/>
        <v>37193</v>
      </c>
      <c r="F2482" s="69">
        <v>1.0643970649733917E-2</v>
      </c>
    </row>
    <row r="2483" spans="1:6" x14ac:dyDescent="0.3">
      <c r="A2483" s="24">
        <v>37361</v>
      </c>
      <c r="B2483" s="66">
        <v>428.84</v>
      </c>
      <c r="C2483" s="67"/>
      <c r="D2483" s="68">
        <v>0</v>
      </c>
      <c r="E2483" s="110">
        <f t="shared" si="39"/>
        <v>37193</v>
      </c>
      <c r="F2483" s="69">
        <v>1.0643970649733917E-2</v>
      </c>
    </row>
    <row r="2484" spans="1:6" x14ac:dyDescent="0.3">
      <c r="A2484" s="24">
        <v>37362</v>
      </c>
      <c r="B2484" s="66">
        <v>428.84</v>
      </c>
      <c r="C2484" s="67"/>
      <c r="D2484" s="68">
        <v>0</v>
      </c>
      <c r="E2484" s="110">
        <f t="shared" si="39"/>
        <v>37193</v>
      </c>
      <c r="F2484" s="69">
        <v>1.0643970649733917E-2</v>
      </c>
    </row>
    <row r="2485" spans="1:6" x14ac:dyDescent="0.3">
      <c r="A2485" s="24">
        <v>37363</v>
      </c>
      <c r="B2485" s="66">
        <v>428.84</v>
      </c>
      <c r="C2485" s="67"/>
      <c r="D2485" s="68">
        <v>0</v>
      </c>
      <c r="E2485" s="110">
        <f t="shared" si="39"/>
        <v>37193</v>
      </c>
      <c r="F2485" s="69">
        <v>1.0643970649733917E-2</v>
      </c>
    </row>
    <row r="2486" spans="1:6" x14ac:dyDescent="0.3">
      <c r="A2486" s="24">
        <v>37364</v>
      </c>
      <c r="B2486" s="66">
        <v>428.84</v>
      </c>
      <c r="C2486" s="67"/>
      <c r="D2486" s="68">
        <v>0</v>
      </c>
      <c r="E2486" s="110">
        <f t="shared" si="39"/>
        <v>37193</v>
      </c>
      <c r="F2486" s="69">
        <v>1.0643970649733917E-2</v>
      </c>
    </row>
    <row r="2487" spans="1:6" x14ac:dyDescent="0.3">
      <c r="A2487" s="24">
        <v>37365</v>
      </c>
      <c r="B2487" s="66">
        <v>428.84</v>
      </c>
      <c r="C2487" s="67"/>
      <c r="D2487" s="68">
        <v>0</v>
      </c>
      <c r="E2487" s="110">
        <f t="shared" si="39"/>
        <v>37193</v>
      </c>
      <c r="F2487" s="69">
        <v>1.0643970649733917E-2</v>
      </c>
    </row>
    <row r="2488" spans="1:6" x14ac:dyDescent="0.3">
      <c r="A2488" s="24">
        <v>37366</v>
      </c>
      <c r="B2488" s="66">
        <v>428.84</v>
      </c>
      <c r="C2488" s="67"/>
      <c r="D2488" s="68">
        <v>0</v>
      </c>
      <c r="E2488" s="110">
        <f t="shared" si="39"/>
        <v>37193</v>
      </c>
      <c r="F2488" s="69">
        <v>1.0643970649733917E-2</v>
      </c>
    </row>
    <row r="2489" spans="1:6" x14ac:dyDescent="0.3">
      <c r="A2489" s="24">
        <v>37367</v>
      </c>
      <c r="B2489" s="66">
        <v>428.84</v>
      </c>
      <c r="C2489" s="67"/>
      <c r="D2489" s="68">
        <v>0</v>
      </c>
      <c r="E2489" s="110">
        <f t="shared" si="39"/>
        <v>37193</v>
      </c>
      <c r="F2489" s="69">
        <v>1.0643970649733917E-2</v>
      </c>
    </row>
    <row r="2490" spans="1:6" x14ac:dyDescent="0.3">
      <c r="A2490" s="24">
        <v>37368</v>
      </c>
      <c r="B2490" s="66">
        <v>428.84</v>
      </c>
      <c r="C2490" s="67"/>
      <c r="D2490" s="68">
        <v>0</v>
      </c>
      <c r="E2490" s="110">
        <f t="shared" si="39"/>
        <v>37193</v>
      </c>
      <c r="F2490" s="69">
        <v>1.0643970649733917E-2</v>
      </c>
    </row>
    <row r="2491" spans="1:6" x14ac:dyDescent="0.3">
      <c r="A2491" s="24">
        <v>37369</v>
      </c>
      <c r="B2491" s="66">
        <v>428.84</v>
      </c>
      <c r="C2491" s="67"/>
      <c r="D2491" s="68">
        <v>0</v>
      </c>
      <c r="E2491" s="110">
        <f t="shared" si="39"/>
        <v>37193</v>
      </c>
      <c r="F2491" s="69">
        <v>1.0643970649733917E-2</v>
      </c>
    </row>
    <row r="2492" spans="1:6" x14ac:dyDescent="0.3">
      <c r="A2492" s="24">
        <v>37370</v>
      </c>
      <c r="B2492" s="66">
        <v>428.84</v>
      </c>
      <c r="C2492" s="67"/>
      <c r="D2492" s="68">
        <v>0</v>
      </c>
      <c r="E2492" s="110">
        <f t="shared" si="39"/>
        <v>37193</v>
      </c>
      <c r="F2492" s="69">
        <v>1.0643970649733917E-2</v>
      </c>
    </row>
    <row r="2493" spans="1:6" x14ac:dyDescent="0.3">
      <c r="A2493" s="24">
        <v>37371</v>
      </c>
      <c r="B2493" s="66">
        <v>428.84</v>
      </c>
      <c r="C2493" s="67"/>
      <c r="D2493" s="68">
        <v>0</v>
      </c>
      <c r="E2493" s="110">
        <f t="shared" si="39"/>
        <v>37193</v>
      </c>
      <c r="F2493" s="69">
        <v>1.0643970649733917E-2</v>
      </c>
    </row>
    <row r="2494" spans="1:6" x14ac:dyDescent="0.3">
      <c r="A2494" s="24">
        <v>37372</v>
      </c>
      <c r="B2494" s="66">
        <v>428.84</v>
      </c>
      <c r="C2494" s="67"/>
      <c r="D2494" s="68">
        <v>0</v>
      </c>
      <c r="E2494" s="110">
        <f t="shared" si="39"/>
        <v>37193</v>
      </c>
      <c r="F2494" s="69">
        <v>1.0643970649733917E-2</v>
      </c>
    </row>
    <row r="2495" spans="1:6" x14ac:dyDescent="0.3">
      <c r="A2495" s="24">
        <v>37373</v>
      </c>
      <c r="B2495" s="66">
        <v>428.84</v>
      </c>
      <c r="C2495" s="67"/>
      <c r="D2495" s="68">
        <v>0</v>
      </c>
      <c r="E2495" s="110">
        <f t="shared" si="39"/>
        <v>37193</v>
      </c>
      <c r="F2495" s="69">
        <v>1.0643970649733917E-2</v>
      </c>
    </row>
    <row r="2496" spans="1:6" x14ac:dyDescent="0.3">
      <c r="A2496" s="24">
        <v>37374</v>
      </c>
      <c r="B2496" s="66">
        <v>428.84</v>
      </c>
      <c r="C2496" s="67"/>
      <c r="D2496" s="68">
        <v>0</v>
      </c>
      <c r="E2496" s="110">
        <f t="shared" si="39"/>
        <v>37193</v>
      </c>
      <c r="F2496" s="69">
        <v>1.0643970649733917E-2</v>
      </c>
    </row>
    <row r="2497" spans="1:6" x14ac:dyDescent="0.3">
      <c r="A2497" s="24">
        <v>37375</v>
      </c>
      <c r="B2497" s="66">
        <v>428.84</v>
      </c>
      <c r="C2497" s="67"/>
      <c r="D2497" s="68">
        <v>0</v>
      </c>
      <c r="E2497" s="110">
        <f t="shared" si="39"/>
        <v>37193</v>
      </c>
      <c r="F2497" s="69">
        <v>1.0643970649733917E-2</v>
      </c>
    </row>
    <row r="2498" spans="1:6" x14ac:dyDescent="0.3">
      <c r="A2498" s="24">
        <v>37376</v>
      </c>
      <c r="B2498" s="66">
        <v>428.84</v>
      </c>
      <c r="C2498" s="67"/>
      <c r="D2498" s="68">
        <v>0</v>
      </c>
      <c r="E2498" s="110">
        <f t="shared" si="39"/>
        <v>37193</v>
      </c>
      <c r="F2498" s="69">
        <v>1.0643970649733917E-2</v>
      </c>
    </row>
    <row r="2499" spans="1:6" x14ac:dyDescent="0.3">
      <c r="A2499" s="24">
        <v>37377</v>
      </c>
      <c r="B2499" s="66">
        <v>428.84</v>
      </c>
      <c r="C2499" s="67"/>
      <c r="D2499" s="68">
        <v>0</v>
      </c>
      <c r="E2499" s="110">
        <f t="shared" si="39"/>
        <v>37193</v>
      </c>
      <c r="F2499" s="69">
        <v>1.0643970649733917E-2</v>
      </c>
    </row>
    <row r="2500" spans="1:6" x14ac:dyDescent="0.3">
      <c r="A2500" s="24">
        <v>37378</v>
      </c>
      <c r="B2500" s="66">
        <v>428.84</v>
      </c>
      <c r="C2500" s="67"/>
      <c r="D2500" s="68">
        <v>0</v>
      </c>
      <c r="E2500" s="110">
        <f t="shared" si="39"/>
        <v>37193</v>
      </c>
      <c r="F2500" s="69">
        <v>0</v>
      </c>
    </row>
    <row r="2501" spans="1:6" x14ac:dyDescent="0.3">
      <c r="A2501" s="24">
        <v>37379</v>
      </c>
      <c r="B2501" s="66">
        <v>428.84</v>
      </c>
      <c r="C2501" s="67"/>
      <c r="D2501" s="68">
        <v>0</v>
      </c>
      <c r="E2501" s="110">
        <f t="shared" si="39"/>
        <v>37193</v>
      </c>
      <c r="F2501" s="69">
        <v>0</v>
      </c>
    </row>
    <row r="2502" spans="1:6" x14ac:dyDescent="0.3">
      <c r="A2502" s="24">
        <v>37380</v>
      </c>
      <c r="B2502" s="66">
        <v>428.84</v>
      </c>
      <c r="C2502" s="67"/>
      <c r="D2502" s="68">
        <v>0</v>
      </c>
      <c r="E2502" s="110">
        <f t="shared" si="39"/>
        <v>37193</v>
      </c>
      <c r="F2502" s="69">
        <v>0</v>
      </c>
    </row>
    <row r="2503" spans="1:6" x14ac:dyDescent="0.3">
      <c r="A2503" s="24">
        <v>37381</v>
      </c>
      <c r="B2503" s="66">
        <v>428.84</v>
      </c>
      <c r="C2503" s="67"/>
      <c r="D2503" s="68">
        <v>0</v>
      </c>
      <c r="E2503" s="110">
        <f t="shared" si="39"/>
        <v>37193</v>
      </c>
      <c r="F2503" s="69">
        <v>0</v>
      </c>
    </row>
    <row r="2504" spans="1:6" x14ac:dyDescent="0.3">
      <c r="A2504" s="24">
        <v>37382</v>
      </c>
      <c r="B2504" s="66">
        <v>428.84</v>
      </c>
      <c r="C2504" s="67"/>
      <c r="D2504" s="68">
        <v>0</v>
      </c>
      <c r="E2504" s="110">
        <f t="shared" si="39"/>
        <v>37193</v>
      </c>
      <c r="F2504" s="69">
        <v>0</v>
      </c>
    </row>
    <row r="2505" spans="1:6" x14ac:dyDescent="0.3">
      <c r="A2505" s="24">
        <v>37383</v>
      </c>
      <c r="B2505" s="66">
        <v>428.84</v>
      </c>
      <c r="C2505" s="67"/>
      <c r="D2505" s="68">
        <v>0</v>
      </c>
      <c r="E2505" s="110">
        <f t="shared" si="39"/>
        <v>37193</v>
      </c>
      <c r="F2505" s="69">
        <v>0</v>
      </c>
    </row>
    <row r="2506" spans="1:6" x14ac:dyDescent="0.3">
      <c r="A2506" s="24">
        <v>37384</v>
      </c>
      <c r="B2506" s="66">
        <v>428.84</v>
      </c>
      <c r="C2506" s="67"/>
      <c r="D2506" s="68">
        <v>0</v>
      </c>
      <c r="E2506" s="110">
        <f t="shared" si="39"/>
        <v>37193</v>
      </c>
      <c r="F2506" s="69">
        <v>0</v>
      </c>
    </row>
    <row r="2507" spans="1:6" x14ac:dyDescent="0.3">
      <c r="A2507" s="24">
        <v>37385</v>
      </c>
      <c r="B2507" s="66">
        <v>428.84</v>
      </c>
      <c r="C2507" s="67"/>
      <c r="D2507" s="68">
        <v>0</v>
      </c>
      <c r="E2507" s="110">
        <f t="shared" si="39"/>
        <v>37193</v>
      </c>
      <c r="F2507" s="69">
        <v>0</v>
      </c>
    </row>
    <row r="2508" spans="1:6" x14ac:dyDescent="0.3">
      <c r="A2508" s="24">
        <v>37386</v>
      </c>
      <c r="B2508" s="66">
        <v>428.84</v>
      </c>
      <c r="C2508" s="67"/>
      <c r="D2508" s="68">
        <v>0</v>
      </c>
      <c r="E2508" s="110">
        <f t="shared" si="39"/>
        <v>37193</v>
      </c>
      <c r="F2508" s="69">
        <v>0</v>
      </c>
    </row>
    <row r="2509" spans="1:6" x14ac:dyDescent="0.3">
      <c r="A2509" s="24">
        <v>37387</v>
      </c>
      <c r="B2509" s="66">
        <v>428.84</v>
      </c>
      <c r="C2509" s="67"/>
      <c r="D2509" s="68">
        <v>0</v>
      </c>
      <c r="E2509" s="110">
        <f t="shared" si="39"/>
        <v>37193</v>
      </c>
      <c r="F2509" s="69">
        <v>0</v>
      </c>
    </row>
    <row r="2510" spans="1:6" x14ac:dyDescent="0.3">
      <c r="A2510" s="24">
        <v>37388</v>
      </c>
      <c r="B2510" s="66">
        <v>428.84</v>
      </c>
      <c r="C2510" s="67"/>
      <c r="D2510" s="68">
        <v>0</v>
      </c>
      <c r="E2510" s="110">
        <f t="shared" si="39"/>
        <v>37193</v>
      </c>
      <c r="F2510" s="69">
        <v>0</v>
      </c>
    </row>
    <row r="2511" spans="1:6" x14ac:dyDescent="0.3">
      <c r="A2511" s="24">
        <v>37389</v>
      </c>
      <c r="B2511" s="66">
        <v>428.84</v>
      </c>
      <c r="C2511" s="67"/>
      <c r="D2511" s="68">
        <v>0</v>
      </c>
      <c r="E2511" s="110">
        <f t="shared" si="39"/>
        <v>37193</v>
      </c>
      <c r="F2511" s="69">
        <v>0</v>
      </c>
    </row>
    <row r="2512" spans="1:6" x14ac:dyDescent="0.3">
      <c r="A2512" s="24">
        <v>37390</v>
      </c>
      <c r="B2512" s="66">
        <v>428.84</v>
      </c>
      <c r="C2512" s="67"/>
      <c r="D2512" s="68">
        <v>0</v>
      </c>
      <c r="E2512" s="110">
        <f t="shared" si="39"/>
        <v>37193</v>
      </c>
      <c r="F2512" s="69">
        <v>0</v>
      </c>
    </row>
    <row r="2513" spans="1:6" x14ac:dyDescent="0.3">
      <c r="A2513" s="24">
        <v>37391</v>
      </c>
      <c r="B2513" s="66">
        <v>428.84</v>
      </c>
      <c r="C2513" s="67"/>
      <c r="D2513" s="68">
        <v>0</v>
      </c>
      <c r="E2513" s="110">
        <f t="shared" si="39"/>
        <v>37193</v>
      </c>
      <c r="F2513" s="69">
        <v>0</v>
      </c>
    </row>
    <row r="2514" spans="1:6" x14ac:dyDescent="0.3">
      <c r="A2514" s="24">
        <v>37392</v>
      </c>
      <c r="B2514" s="66">
        <v>428.84</v>
      </c>
      <c r="C2514" s="67"/>
      <c r="D2514" s="68">
        <v>0</v>
      </c>
      <c r="E2514" s="110">
        <f t="shared" ref="E2514:E2577" si="40">+E2513</f>
        <v>37193</v>
      </c>
      <c r="F2514" s="69">
        <v>0</v>
      </c>
    </row>
    <row r="2515" spans="1:6" x14ac:dyDescent="0.3">
      <c r="A2515" s="24">
        <v>37393</v>
      </c>
      <c r="B2515" s="66">
        <v>428.84</v>
      </c>
      <c r="C2515" s="67"/>
      <c r="D2515" s="68">
        <v>2.6900425573416746</v>
      </c>
      <c r="E2515" s="110">
        <f t="shared" si="40"/>
        <v>37193</v>
      </c>
      <c r="F2515" s="69">
        <v>6.5164023181108902E-3</v>
      </c>
    </row>
    <row r="2516" spans="1:6" x14ac:dyDescent="0.3">
      <c r="A2516" s="24">
        <v>37394</v>
      </c>
      <c r="B2516" s="66">
        <v>428.84</v>
      </c>
      <c r="C2516" s="67"/>
      <c r="D2516" s="68">
        <v>0</v>
      </c>
      <c r="E2516" s="110">
        <f t="shared" si="40"/>
        <v>37193</v>
      </c>
      <c r="F2516" s="69">
        <v>6.5164023181108902E-3</v>
      </c>
    </row>
    <row r="2517" spans="1:6" x14ac:dyDescent="0.3">
      <c r="A2517" s="24">
        <v>37395</v>
      </c>
      <c r="B2517" s="66">
        <v>428.84</v>
      </c>
      <c r="C2517" s="67"/>
      <c r="D2517" s="68">
        <v>0</v>
      </c>
      <c r="E2517" s="110">
        <f t="shared" si="40"/>
        <v>37193</v>
      </c>
      <c r="F2517" s="69">
        <v>6.5164023181108902E-3</v>
      </c>
    </row>
    <row r="2518" spans="1:6" x14ac:dyDescent="0.3">
      <c r="A2518" s="24">
        <v>37396</v>
      </c>
      <c r="B2518" s="66">
        <v>428.84</v>
      </c>
      <c r="C2518" s="67"/>
      <c r="D2518" s="68">
        <v>0</v>
      </c>
      <c r="E2518" s="110">
        <f t="shared" si="40"/>
        <v>37193</v>
      </c>
      <c r="F2518" s="69">
        <v>6.5164023181108902E-3</v>
      </c>
    </row>
    <row r="2519" spans="1:6" x14ac:dyDescent="0.3">
      <c r="A2519" s="24">
        <v>37397</v>
      </c>
      <c r="B2519" s="66">
        <v>428.84</v>
      </c>
      <c r="C2519" s="67"/>
      <c r="D2519" s="68">
        <v>0</v>
      </c>
      <c r="E2519" s="110">
        <f t="shared" si="40"/>
        <v>37193</v>
      </c>
      <c r="F2519" s="69">
        <v>6.5164023181108902E-3</v>
      </c>
    </row>
    <row r="2520" spans="1:6" x14ac:dyDescent="0.3">
      <c r="A2520" s="24">
        <v>37398</v>
      </c>
      <c r="B2520" s="66">
        <v>428.84</v>
      </c>
      <c r="C2520" s="67"/>
      <c r="D2520" s="68">
        <v>0</v>
      </c>
      <c r="E2520" s="110">
        <f t="shared" si="40"/>
        <v>37193</v>
      </c>
      <c r="F2520" s="69">
        <v>6.5164023181108902E-3</v>
      </c>
    </row>
    <row r="2521" spans="1:6" x14ac:dyDescent="0.3">
      <c r="A2521" s="24">
        <v>37399</v>
      </c>
      <c r="B2521" s="66">
        <v>428.84</v>
      </c>
      <c r="C2521" s="67"/>
      <c r="D2521" s="68">
        <v>0</v>
      </c>
      <c r="E2521" s="110">
        <f t="shared" si="40"/>
        <v>37193</v>
      </c>
      <c r="F2521" s="69">
        <v>6.5164023181108902E-3</v>
      </c>
    </row>
    <row r="2522" spans="1:6" x14ac:dyDescent="0.3">
      <c r="A2522" s="24">
        <v>37400</v>
      </c>
      <c r="B2522" s="66">
        <v>428.84</v>
      </c>
      <c r="C2522" s="67"/>
      <c r="D2522" s="68">
        <v>0</v>
      </c>
      <c r="E2522" s="110">
        <f t="shared" si="40"/>
        <v>37193</v>
      </c>
      <c r="F2522" s="69">
        <v>6.5164023181108902E-3</v>
      </c>
    </row>
    <row r="2523" spans="1:6" x14ac:dyDescent="0.3">
      <c r="A2523" s="24">
        <v>37401</v>
      </c>
      <c r="B2523" s="66">
        <v>428.84</v>
      </c>
      <c r="C2523" s="67"/>
      <c r="D2523" s="68">
        <v>0</v>
      </c>
      <c r="E2523" s="110">
        <f t="shared" si="40"/>
        <v>37193</v>
      </c>
      <c r="F2523" s="69">
        <v>6.5164023181108902E-3</v>
      </c>
    </row>
    <row r="2524" spans="1:6" x14ac:dyDescent="0.3">
      <c r="A2524" s="24">
        <v>37402</v>
      </c>
      <c r="B2524" s="66">
        <v>428.84</v>
      </c>
      <c r="C2524" s="67"/>
      <c r="D2524" s="68">
        <v>0</v>
      </c>
      <c r="E2524" s="110">
        <f t="shared" si="40"/>
        <v>37193</v>
      </c>
      <c r="F2524" s="69">
        <v>6.5164023181108902E-3</v>
      </c>
    </row>
    <row r="2525" spans="1:6" x14ac:dyDescent="0.3">
      <c r="A2525" s="24">
        <v>37403</v>
      </c>
      <c r="B2525" s="66">
        <v>428.84</v>
      </c>
      <c r="C2525" s="67"/>
      <c r="D2525" s="68">
        <v>0</v>
      </c>
      <c r="E2525" s="110">
        <f t="shared" si="40"/>
        <v>37193</v>
      </c>
      <c r="F2525" s="69">
        <v>6.5164023181108902E-3</v>
      </c>
    </row>
    <row r="2526" spans="1:6" x14ac:dyDescent="0.3">
      <c r="A2526" s="24">
        <v>37404</v>
      </c>
      <c r="B2526" s="66">
        <v>428.84</v>
      </c>
      <c r="C2526" s="67"/>
      <c r="D2526" s="68">
        <v>0</v>
      </c>
      <c r="E2526" s="110">
        <f t="shared" si="40"/>
        <v>37193</v>
      </c>
      <c r="F2526" s="69">
        <v>6.5164023181108902E-3</v>
      </c>
    </row>
    <row r="2527" spans="1:6" x14ac:dyDescent="0.3">
      <c r="A2527" s="24">
        <v>37405</v>
      </c>
      <c r="B2527" s="66">
        <v>428.84</v>
      </c>
      <c r="C2527" s="67"/>
      <c r="D2527" s="68">
        <v>0</v>
      </c>
      <c r="E2527" s="110">
        <f t="shared" si="40"/>
        <v>37193</v>
      </c>
      <c r="F2527" s="69">
        <v>6.5164023181108902E-3</v>
      </c>
    </row>
    <row r="2528" spans="1:6" x14ac:dyDescent="0.3">
      <c r="A2528" s="24">
        <v>37406</v>
      </c>
      <c r="B2528" s="66">
        <v>428.84</v>
      </c>
      <c r="C2528" s="67"/>
      <c r="D2528" s="68">
        <v>0</v>
      </c>
      <c r="E2528" s="110">
        <f t="shared" si="40"/>
        <v>37193</v>
      </c>
      <c r="F2528" s="69">
        <v>6.5164023181108902E-3</v>
      </c>
    </row>
    <row r="2529" spans="1:6" x14ac:dyDescent="0.3">
      <c r="A2529" s="24">
        <v>37407</v>
      </c>
      <c r="B2529" s="66">
        <v>428.84</v>
      </c>
      <c r="C2529" s="67"/>
      <c r="D2529" s="68">
        <v>0</v>
      </c>
      <c r="E2529" s="110">
        <f t="shared" si="40"/>
        <v>37193</v>
      </c>
      <c r="F2529" s="69">
        <v>6.5164023181108902E-3</v>
      </c>
    </row>
    <row r="2530" spans="1:6" x14ac:dyDescent="0.3">
      <c r="A2530" s="24">
        <v>37408</v>
      </c>
      <c r="B2530" s="66">
        <v>428.84</v>
      </c>
      <c r="C2530" s="67"/>
      <c r="D2530" s="68">
        <v>0</v>
      </c>
      <c r="E2530" s="110">
        <f t="shared" si="40"/>
        <v>37193</v>
      </c>
      <c r="F2530" s="69">
        <v>6.5164023181108902E-3</v>
      </c>
    </row>
    <row r="2531" spans="1:6" x14ac:dyDescent="0.3">
      <c r="A2531" s="24">
        <v>37409</v>
      </c>
      <c r="B2531" s="66">
        <v>428.84</v>
      </c>
      <c r="C2531" s="67"/>
      <c r="D2531" s="68">
        <v>0</v>
      </c>
      <c r="E2531" s="110">
        <f t="shared" si="40"/>
        <v>37193</v>
      </c>
      <c r="F2531" s="69">
        <v>6.5164023181108902E-3</v>
      </c>
    </row>
    <row r="2532" spans="1:6" x14ac:dyDescent="0.3">
      <c r="A2532" s="24">
        <v>37410</v>
      </c>
      <c r="B2532" s="66">
        <v>428.84</v>
      </c>
      <c r="C2532" s="67"/>
      <c r="D2532" s="68">
        <v>0</v>
      </c>
      <c r="E2532" s="110">
        <f t="shared" si="40"/>
        <v>37193</v>
      </c>
      <c r="F2532" s="69">
        <v>6.5164023181108902E-3</v>
      </c>
    </row>
    <row r="2533" spans="1:6" x14ac:dyDescent="0.3">
      <c r="A2533" s="24">
        <v>37411</v>
      </c>
      <c r="B2533" s="66">
        <v>428.84</v>
      </c>
      <c r="C2533" s="67"/>
      <c r="D2533" s="68">
        <v>0</v>
      </c>
      <c r="E2533" s="110">
        <f t="shared" si="40"/>
        <v>37193</v>
      </c>
      <c r="F2533" s="69">
        <v>6.5164023181108902E-3</v>
      </c>
    </row>
    <row r="2534" spans="1:6" x14ac:dyDescent="0.3">
      <c r="A2534" s="24">
        <v>37412</v>
      </c>
      <c r="B2534" s="66">
        <v>428.84</v>
      </c>
      <c r="C2534" s="67"/>
      <c r="D2534" s="68">
        <v>0</v>
      </c>
      <c r="E2534" s="110">
        <f t="shared" si="40"/>
        <v>37193</v>
      </c>
      <c r="F2534" s="69">
        <v>6.5164023181108902E-3</v>
      </c>
    </row>
    <row r="2535" spans="1:6" x14ac:dyDescent="0.3">
      <c r="A2535" s="24">
        <v>37413</v>
      </c>
      <c r="B2535" s="66">
        <v>428.84</v>
      </c>
      <c r="C2535" s="67"/>
      <c r="D2535" s="68">
        <v>0</v>
      </c>
      <c r="E2535" s="110">
        <f t="shared" si="40"/>
        <v>37193</v>
      </c>
      <c r="F2535" s="69">
        <v>6.5164023181108902E-3</v>
      </c>
    </row>
    <row r="2536" spans="1:6" x14ac:dyDescent="0.3">
      <c r="A2536" s="24">
        <v>37414</v>
      </c>
      <c r="B2536" s="66">
        <v>428.84</v>
      </c>
      <c r="C2536" s="67"/>
      <c r="D2536" s="68">
        <v>0</v>
      </c>
      <c r="E2536" s="110">
        <f t="shared" si="40"/>
        <v>37193</v>
      </c>
      <c r="F2536" s="69">
        <v>6.5164023181108902E-3</v>
      </c>
    </row>
    <row r="2537" spans="1:6" x14ac:dyDescent="0.3">
      <c r="A2537" s="24">
        <v>37415</v>
      </c>
      <c r="B2537" s="66">
        <v>428.84</v>
      </c>
      <c r="C2537" s="67"/>
      <c r="D2537" s="68">
        <v>0</v>
      </c>
      <c r="E2537" s="110">
        <f t="shared" si="40"/>
        <v>37193</v>
      </c>
      <c r="F2537" s="69">
        <v>6.5164023181108902E-3</v>
      </c>
    </row>
    <row r="2538" spans="1:6" x14ac:dyDescent="0.3">
      <c r="A2538" s="24">
        <v>37416</v>
      </c>
      <c r="B2538" s="66">
        <v>428.84</v>
      </c>
      <c r="C2538" s="67"/>
      <c r="D2538" s="68">
        <v>0</v>
      </c>
      <c r="E2538" s="110">
        <f t="shared" si="40"/>
        <v>37193</v>
      </c>
      <c r="F2538" s="69">
        <v>6.5164023181108902E-3</v>
      </c>
    </row>
    <row r="2539" spans="1:6" x14ac:dyDescent="0.3">
      <c r="A2539" s="24">
        <v>37417</v>
      </c>
      <c r="B2539" s="66">
        <v>428.84</v>
      </c>
      <c r="C2539" s="67"/>
      <c r="D2539" s="68">
        <v>0</v>
      </c>
      <c r="E2539" s="110">
        <f t="shared" si="40"/>
        <v>37193</v>
      </c>
      <c r="F2539" s="69">
        <v>6.5164023181108902E-3</v>
      </c>
    </row>
    <row r="2540" spans="1:6" x14ac:dyDescent="0.3">
      <c r="A2540" s="24">
        <v>37418</v>
      </c>
      <c r="B2540" s="66">
        <v>428.84</v>
      </c>
      <c r="C2540" s="67"/>
      <c r="D2540" s="68">
        <v>0</v>
      </c>
      <c r="E2540" s="110">
        <f t="shared" si="40"/>
        <v>37193</v>
      </c>
      <c r="F2540" s="69">
        <v>6.5164023181108902E-3</v>
      </c>
    </row>
    <row r="2541" spans="1:6" x14ac:dyDescent="0.3">
      <c r="A2541" s="24">
        <v>37419</v>
      </c>
      <c r="B2541" s="66">
        <v>428.84</v>
      </c>
      <c r="C2541" s="67"/>
      <c r="D2541" s="68">
        <v>0</v>
      </c>
      <c r="E2541" s="110">
        <f t="shared" si="40"/>
        <v>37193</v>
      </c>
      <c r="F2541" s="69">
        <v>6.5164023181108902E-3</v>
      </c>
    </row>
    <row r="2542" spans="1:6" x14ac:dyDescent="0.3">
      <c r="A2542" s="24">
        <v>37420</v>
      </c>
      <c r="B2542" s="66">
        <v>428.84</v>
      </c>
      <c r="C2542" s="67"/>
      <c r="D2542" s="68">
        <v>0</v>
      </c>
      <c r="E2542" s="110">
        <f t="shared" si="40"/>
        <v>37193</v>
      </c>
      <c r="F2542" s="69">
        <v>6.5164023181108902E-3</v>
      </c>
    </row>
    <row r="2543" spans="1:6" x14ac:dyDescent="0.3">
      <c r="A2543" s="24">
        <v>37421</v>
      </c>
      <c r="B2543" s="66">
        <v>428.84</v>
      </c>
      <c r="C2543" s="67"/>
      <c r="D2543" s="68">
        <v>0</v>
      </c>
      <c r="E2543" s="110">
        <f t="shared" si="40"/>
        <v>37193</v>
      </c>
      <c r="F2543" s="69">
        <v>6.5164023181108902E-3</v>
      </c>
    </row>
    <row r="2544" spans="1:6" x14ac:dyDescent="0.3">
      <c r="A2544" s="24">
        <v>37422</v>
      </c>
      <c r="B2544" s="66">
        <v>428.84</v>
      </c>
      <c r="C2544" s="67"/>
      <c r="D2544" s="68">
        <v>0</v>
      </c>
      <c r="E2544" s="110">
        <f t="shared" si="40"/>
        <v>37193</v>
      </c>
      <c r="F2544" s="69">
        <v>6.5164023181108902E-3</v>
      </c>
    </row>
    <row r="2545" spans="1:6" x14ac:dyDescent="0.3">
      <c r="A2545" s="24">
        <v>37423</v>
      </c>
      <c r="B2545" s="66">
        <v>428.84</v>
      </c>
      <c r="C2545" s="67"/>
      <c r="D2545" s="68">
        <v>0</v>
      </c>
      <c r="E2545" s="110">
        <f t="shared" si="40"/>
        <v>37193</v>
      </c>
      <c r="F2545" s="69">
        <v>6.5164023181108902E-3</v>
      </c>
    </row>
    <row r="2546" spans="1:6" x14ac:dyDescent="0.3">
      <c r="A2546" s="24">
        <v>37424</v>
      </c>
      <c r="B2546" s="66">
        <v>428.84</v>
      </c>
      <c r="C2546" s="67"/>
      <c r="D2546" s="68">
        <v>0</v>
      </c>
      <c r="E2546" s="110">
        <f t="shared" si="40"/>
        <v>37193</v>
      </c>
      <c r="F2546" s="69">
        <v>6.5164023181108902E-3</v>
      </c>
    </row>
    <row r="2547" spans="1:6" x14ac:dyDescent="0.3">
      <c r="A2547" s="24">
        <v>37425</v>
      </c>
      <c r="B2547" s="66">
        <v>428.84</v>
      </c>
      <c r="C2547" s="67"/>
      <c r="D2547" s="68">
        <v>0</v>
      </c>
      <c r="E2547" s="110">
        <f t="shared" si="40"/>
        <v>37193</v>
      </c>
      <c r="F2547" s="69">
        <v>6.5164023181108902E-3</v>
      </c>
    </row>
    <row r="2548" spans="1:6" x14ac:dyDescent="0.3">
      <c r="A2548" s="24">
        <v>37426</v>
      </c>
      <c r="B2548" s="66">
        <v>428.84</v>
      </c>
      <c r="C2548" s="67"/>
      <c r="D2548" s="68">
        <v>0</v>
      </c>
      <c r="E2548" s="110">
        <f t="shared" si="40"/>
        <v>37193</v>
      </c>
      <c r="F2548" s="69">
        <v>6.5164023181108902E-3</v>
      </c>
    </row>
    <row r="2549" spans="1:6" x14ac:dyDescent="0.3">
      <c r="A2549" s="24">
        <v>37427</v>
      </c>
      <c r="B2549" s="66">
        <v>428.84</v>
      </c>
      <c r="C2549" s="67"/>
      <c r="D2549" s="68">
        <v>0</v>
      </c>
      <c r="E2549" s="110">
        <f t="shared" si="40"/>
        <v>37193</v>
      </c>
      <c r="F2549" s="69">
        <v>6.5164023181108902E-3</v>
      </c>
    </row>
    <row r="2550" spans="1:6" x14ac:dyDescent="0.3">
      <c r="A2550" s="24">
        <v>37428</v>
      </c>
      <c r="B2550" s="66">
        <v>428.84</v>
      </c>
      <c r="C2550" s="67"/>
      <c r="D2550" s="68">
        <v>0</v>
      </c>
      <c r="E2550" s="110">
        <f t="shared" si="40"/>
        <v>37193</v>
      </c>
      <c r="F2550" s="69">
        <v>6.5164023181108902E-3</v>
      </c>
    </row>
    <row r="2551" spans="1:6" x14ac:dyDescent="0.3">
      <c r="A2551" s="24">
        <v>37429</v>
      </c>
      <c r="B2551" s="66">
        <v>428.84</v>
      </c>
      <c r="C2551" s="67"/>
      <c r="D2551" s="68">
        <v>0</v>
      </c>
      <c r="E2551" s="110">
        <f t="shared" si="40"/>
        <v>37193</v>
      </c>
      <c r="F2551" s="69">
        <v>6.5164023181108902E-3</v>
      </c>
    </row>
    <row r="2552" spans="1:6" x14ac:dyDescent="0.3">
      <c r="A2552" s="24">
        <v>37430</v>
      </c>
      <c r="B2552" s="66">
        <v>428.84</v>
      </c>
      <c r="C2552" s="67"/>
      <c r="D2552" s="68">
        <v>0</v>
      </c>
      <c r="E2552" s="110">
        <f t="shared" si="40"/>
        <v>37193</v>
      </c>
      <c r="F2552" s="69">
        <v>6.5164023181108902E-3</v>
      </c>
    </row>
    <row r="2553" spans="1:6" x14ac:dyDescent="0.3">
      <c r="A2553" s="24">
        <v>37431</v>
      </c>
      <c r="B2553" s="66">
        <v>428.84</v>
      </c>
      <c r="C2553" s="67"/>
      <c r="D2553" s="68">
        <v>0</v>
      </c>
      <c r="E2553" s="110">
        <f t="shared" si="40"/>
        <v>37193</v>
      </c>
      <c r="F2553" s="69">
        <v>6.5164023181108902E-3</v>
      </c>
    </row>
    <row r="2554" spans="1:6" x14ac:dyDescent="0.3">
      <c r="A2554" s="24">
        <v>37432</v>
      </c>
      <c r="B2554" s="66">
        <v>428.84</v>
      </c>
      <c r="C2554" s="67"/>
      <c r="D2554" s="68">
        <v>0</v>
      </c>
      <c r="E2554" s="110">
        <f t="shared" si="40"/>
        <v>37193</v>
      </c>
      <c r="F2554" s="69">
        <v>6.5164023181108902E-3</v>
      </c>
    </row>
    <row r="2555" spans="1:6" x14ac:dyDescent="0.3">
      <c r="A2555" s="24">
        <v>37433</v>
      </c>
      <c r="B2555" s="66">
        <v>428.84</v>
      </c>
      <c r="C2555" s="67"/>
      <c r="D2555" s="68">
        <v>0</v>
      </c>
      <c r="E2555" s="110">
        <f t="shared" si="40"/>
        <v>37193</v>
      </c>
      <c r="F2555" s="69">
        <v>6.5164023181108902E-3</v>
      </c>
    </row>
    <row r="2556" spans="1:6" x14ac:dyDescent="0.3">
      <c r="A2556" s="24">
        <v>37434</v>
      </c>
      <c r="B2556" s="66">
        <v>428.84</v>
      </c>
      <c r="C2556" s="67"/>
      <c r="D2556" s="68">
        <v>0</v>
      </c>
      <c r="E2556" s="110">
        <f t="shared" si="40"/>
        <v>37193</v>
      </c>
      <c r="F2556" s="69">
        <v>6.5164023181108902E-3</v>
      </c>
    </row>
    <row r="2557" spans="1:6" x14ac:dyDescent="0.3">
      <c r="A2557" s="24">
        <v>37435</v>
      </c>
      <c r="B2557" s="66">
        <v>428.84</v>
      </c>
      <c r="C2557" s="67"/>
      <c r="D2557" s="68">
        <v>0</v>
      </c>
      <c r="E2557" s="110">
        <f t="shared" si="40"/>
        <v>37193</v>
      </c>
      <c r="F2557" s="69">
        <v>6.5164023181108902E-3</v>
      </c>
    </row>
    <row r="2558" spans="1:6" x14ac:dyDescent="0.3">
      <c r="A2558" s="24">
        <v>37436</v>
      </c>
      <c r="B2558" s="66">
        <v>428.84</v>
      </c>
      <c r="C2558" s="67"/>
      <c r="D2558" s="68">
        <v>0</v>
      </c>
      <c r="E2558" s="110">
        <f t="shared" si="40"/>
        <v>37193</v>
      </c>
      <c r="F2558" s="69">
        <v>6.4493329177895079E-3</v>
      </c>
    </row>
    <row r="2559" spans="1:6" x14ac:dyDescent="0.3">
      <c r="A2559" s="24">
        <v>37437</v>
      </c>
      <c r="B2559" s="66">
        <v>434.13800000000003</v>
      </c>
      <c r="C2559" s="67"/>
      <c r="D2559" s="68">
        <v>0</v>
      </c>
      <c r="E2559" s="110">
        <f t="shared" si="40"/>
        <v>37193</v>
      </c>
      <c r="F2559" s="69">
        <v>6.4493329177895079E-3</v>
      </c>
    </row>
    <row r="2560" spans="1:6" x14ac:dyDescent="0.3">
      <c r="A2560" s="24">
        <v>37438</v>
      </c>
      <c r="B2560" s="66">
        <v>434.13800000000003</v>
      </c>
      <c r="C2560" s="67"/>
      <c r="D2560" s="68">
        <v>0</v>
      </c>
      <c r="E2560" s="110">
        <f t="shared" si="40"/>
        <v>37193</v>
      </c>
      <c r="F2560" s="69">
        <v>6.4493329177895079E-3</v>
      </c>
    </row>
    <row r="2561" spans="1:6" x14ac:dyDescent="0.3">
      <c r="A2561" s="24">
        <v>37439</v>
      </c>
      <c r="B2561" s="66">
        <v>434.13800000000003</v>
      </c>
      <c r="C2561" s="67"/>
      <c r="D2561" s="68">
        <v>0</v>
      </c>
      <c r="E2561" s="110">
        <f t="shared" si="40"/>
        <v>37193</v>
      </c>
      <c r="F2561" s="69">
        <v>6.4493329177895079E-3</v>
      </c>
    </row>
    <row r="2562" spans="1:6" x14ac:dyDescent="0.3">
      <c r="A2562" s="24">
        <v>37440</v>
      </c>
      <c r="B2562" s="66">
        <v>434.13800000000003</v>
      </c>
      <c r="C2562" s="67"/>
      <c r="D2562" s="68">
        <v>0</v>
      </c>
      <c r="E2562" s="110">
        <f t="shared" si="40"/>
        <v>37193</v>
      </c>
      <c r="F2562" s="69">
        <v>6.4493329177895079E-3</v>
      </c>
    </row>
    <row r="2563" spans="1:6" x14ac:dyDescent="0.3">
      <c r="A2563" s="24">
        <v>37441</v>
      </c>
      <c r="B2563" s="66">
        <v>434.13800000000003</v>
      </c>
      <c r="C2563" s="67"/>
      <c r="D2563" s="68">
        <v>0</v>
      </c>
      <c r="E2563" s="110">
        <f t="shared" si="40"/>
        <v>37193</v>
      </c>
      <c r="F2563" s="69">
        <v>6.4493329177895079E-3</v>
      </c>
    </row>
    <row r="2564" spans="1:6" x14ac:dyDescent="0.3">
      <c r="A2564" s="24">
        <v>37442</v>
      </c>
      <c r="B2564" s="66">
        <v>434.13800000000003</v>
      </c>
      <c r="C2564" s="67"/>
      <c r="D2564" s="68">
        <v>0</v>
      </c>
      <c r="E2564" s="110">
        <f t="shared" si="40"/>
        <v>37193</v>
      </c>
      <c r="F2564" s="69">
        <v>6.4493329177895079E-3</v>
      </c>
    </row>
    <row r="2565" spans="1:6" x14ac:dyDescent="0.3">
      <c r="A2565" s="24">
        <v>37443</v>
      </c>
      <c r="B2565" s="66">
        <v>434.13800000000003</v>
      </c>
      <c r="C2565" s="67"/>
      <c r="D2565" s="68">
        <v>0</v>
      </c>
      <c r="E2565" s="110">
        <f t="shared" si="40"/>
        <v>37193</v>
      </c>
      <c r="F2565" s="69">
        <v>6.4493329177895079E-3</v>
      </c>
    </row>
    <row r="2566" spans="1:6" x14ac:dyDescent="0.3">
      <c r="A2566" s="24">
        <v>37444</v>
      </c>
      <c r="B2566" s="66">
        <v>434.13800000000003</v>
      </c>
      <c r="C2566" s="67"/>
      <c r="D2566" s="68">
        <v>0</v>
      </c>
      <c r="E2566" s="110">
        <f t="shared" si="40"/>
        <v>37193</v>
      </c>
      <c r="F2566" s="69">
        <v>6.4493329177895079E-3</v>
      </c>
    </row>
    <row r="2567" spans="1:6" x14ac:dyDescent="0.3">
      <c r="A2567" s="24">
        <v>37445</v>
      </c>
      <c r="B2567" s="66">
        <v>434.13800000000003</v>
      </c>
      <c r="C2567" s="67"/>
      <c r="D2567" s="68">
        <v>0</v>
      </c>
      <c r="E2567" s="110">
        <f t="shared" si="40"/>
        <v>37193</v>
      </c>
      <c r="F2567" s="69">
        <v>6.4493329177895079E-3</v>
      </c>
    </row>
    <row r="2568" spans="1:6" x14ac:dyDescent="0.3">
      <c r="A2568" s="24">
        <v>37446</v>
      </c>
      <c r="B2568" s="66">
        <v>434.13800000000003</v>
      </c>
      <c r="C2568" s="67"/>
      <c r="D2568" s="68">
        <v>0</v>
      </c>
      <c r="E2568" s="110">
        <f t="shared" si="40"/>
        <v>37193</v>
      </c>
      <c r="F2568" s="69">
        <v>6.4493329177895079E-3</v>
      </c>
    </row>
    <row r="2569" spans="1:6" x14ac:dyDescent="0.3">
      <c r="A2569" s="24">
        <v>37447</v>
      </c>
      <c r="B2569" s="66">
        <v>434.13800000000003</v>
      </c>
      <c r="C2569" s="67"/>
      <c r="D2569" s="68">
        <v>0</v>
      </c>
      <c r="E2569" s="110">
        <f t="shared" si="40"/>
        <v>37193</v>
      </c>
      <c r="F2569" s="69">
        <v>6.4493329177895079E-3</v>
      </c>
    </row>
    <row r="2570" spans="1:6" x14ac:dyDescent="0.3">
      <c r="A2570" s="24">
        <v>37448</v>
      </c>
      <c r="B2570" s="66">
        <v>434.13800000000003</v>
      </c>
      <c r="C2570" s="67"/>
      <c r="D2570" s="68">
        <v>0</v>
      </c>
      <c r="E2570" s="110">
        <f t="shared" si="40"/>
        <v>37193</v>
      </c>
      <c r="F2570" s="69">
        <v>6.4493329177895079E-3</v>
      </c>
    </row>
    <row r="2571" spans="1:6" x14ac:dyDescent="0.3">
      <c r="A2571" s="24">
        <v>37449</v>
      </c>
      <c r="B2571" s="66">
        <v>434.13800000000003</v>
      </c>
      <c r="C2571" s="67"/>
      <c r="D2571" s="68">
        <v>0</v>
      </c>
      <c r="E2571" s="110">
        <f t="shared" si="40"/>
        <v>37193</v>
      </c>
      <c r="F2571" s="69">
        <v>6.4493329177895079E-3</v>
      </c>
    </row>
    <row r="2572" spans="1:6" x14ac:dyDescent="0.3">
      <c r="A2572" s="24">
        <v>37450</v>
      </c>
      <c r="B2572" s="66">
        <v>434.13800000000003</v>
      </c>
      <c r="C2572" s="67"/>
      <c r="D2572" s="68">
        <v>0</v>
      </c>
      <c r="E2572" s="110">
        <f t="shared" si="40"/>
        <v>37193</v>
      </c>
      <c r="F2572" s="69">
        <v>6.4493329177895079E-3</v>
      </c>
    </row>
    <row r="2573" spans="1:6" x14ac:dyDescent="0.3">
      <c r="A2573" s="24">
        <v>37451</v>
      </c>
      <c r="B2573" s="66">
        <v>434.13800000000003</v>
      </c>
      <c r="C2573" s="67"/>
      <c r="D2573" s="68">
        <v>0</v>
      </c>
      <c r="E2573" s="110">
        <f t="shared" si="40"/>
        <v>37193</v>
      </c>
      <c r="F2573" s="69">
        <v>6.4493329177895079E-3</v>
      </c>
    </row>
    <row r="2574" spans="1:6" x14ac:dyDescent="0.3">
      <c r="A2574" s="24">
        <v>37452</v>
      </c>
      <c r="B2574" s="66">
        <v>434.13800000000003</v>
      </c>
      <c r="C2574" s="67"/>
      <c r="D2574" s="68">
        <v>0</v>
      </c>
      <c r="E2574" s="110">
        <f t="shared" si="40"/>
        <v>37193</v>
      </c>
      <c r="F2574" s="69">
        <v>6.4493329177895079E-3</v>
      </c>
    </row>
    <row r="2575" spans="1:6" x14ac:dyDescent="0.3">
      <c r="A2575" s="24">
        <v>37453</v>
      </c>
      <c r="B2575" s="66">
        <v>434.13800000000003</v>
      </c>
      <c r="C2575" s="67"/>
      <c r="D2575" s="68">
        <v>0</v>
      </c>
      <c r="E2575" s="110">
        <f t="shared" si="40"/>
        <v>37193</v>
      </c>
      <c r="F2575" s="69">
        <v>6.4493329177895079E-3</v>
      </c>
    </row>
    <row r="2576" spans="1:6" x14ac:dyDescent="0.3">
      <c r="A2576" s="24">
        <v>37454</v>
      </c>
      <c r="B2576" s="66">
        <v>434.13800000000003</v>
      </c>
      <c r="C2576" s="67"/>
      <c r="D2576" s="68">
        <v>0</v>
      </c>
      <c r="E2576" s="110">
        <f t="shared" si="40"/>
        <v>37193</v>
      </c>
      <c r="F2576" s="69">
        <v>6.4493329177895079E-3</v>
      </c>
    </row>
    <row r="2577" spans="1:6" x14ac:dyDescent="0.3">
      <c r="A2577" s="24">
        <v>37455</v>
      </c>
      <c r="B2577" s="66">
        <v>434.13800000000003</v>
      </c>
      <c r="C2577" s="67"/>
      <c r="D2577" s="68">
        <v>0</v>
      </c>
      <c r="E2577" s="110">
        <f t="shared" si="40"/>
        <v>37193</v>
      </c>
      <c r="F2577" s="69">
        <v>6.4493329177895079E-3</v>
      </c>
    </row>
    <row r="2578" spans="1:6" x14ac:dyDescent="0.3">
      <c r="A2578" s="24">
        <v>37456</v>
      </c>
      <c r="B2578" s="66">
        <v>434.13800000000003</v>
      </c>
      <c r="C2578" s="67"/>
      <c r="D2578" s="68">
        <v>0</v>
      </c>
      <c r="E2578" s="110">
        <f t="shared" ref="E2578:E2641" si="41">+E2577</f>
        <v>37193</v>
      </c>
      <c r="F2578" s="69">
        <v>6.4493329177895079E-3</v>
      </c>
    </row>
    <row r="2579" spans="1:6" x14ac:dyDescent="0.3">
      <c r="A2579" s="24">
        <v>37457</v>
      </c>
      <c r="B2579" s="66">
        <v>434.13800000000003</v>
      </c>
      <c r="C2579" s="67"/>
      <c r="D2579" s="68">
        <v>0</v>
      </c>
      <c r="E2579" s="110">
        <f t="shared" si="41"/>
        <v>37193</v>
      </c>
      <c r="F2579" s="69">
        <v>6.4493329177895079E-3</v>
      </c>
    </row>
    <row r="2580" spans="1:6" x14ac:dyDescent="0.3">
      <c r="A2580" s="24">
        <v>37458</v>
      </c>
      <c r="B2580" s="66">
        <v>434.13800000000003</v>
      </c>
      <c r="C2580" s="67"/>
      <c r="D2580" s="68">
        <v>0</v>
      </c>
      <c r="E2580" s="110">
        <f t="shared" si="41"/>
        <v>37193</v>
      </c>
      <c r="F2580" s="69">
        <v>6.4493329177895079E-3</v>
      </c>
    </row>
    <row r="2581" spans="1:6" x14ac:dyDescent="0.3">
      <c r="A2581" s="24">
        <v>37459</v>
      </c>
      <c r="B2581" s="66">
        <v>434.13800000000003</v>
      </c>
      <c r="C2581" s="67"/>
      <c r="D2581" s="68">
        <v>0</v>
      </c>
      <c r="E2581" s="110">
        <f t="shared" si="41"/>
        <v>37193</v>
      </c>
      <c r="F2581" s="69">
        <v>6.4493329177895079E-3</v>
      </c>
    </row>
    <row r="2582" spans="1:6" x14ac:dyDescent="0.3">
      <c r="A2582" s="24">
        <v>37460</v>
      </c>
      <c r="B2582" s="66">
        <v>434.13800000000003</v>
      </c>
      <c r="C2582" s="67"/>
      <c r="D2582" s="68">
        <v>0</v>
      </c>
      <c r="E2582" s="110">
        <f t="shared" si="41"/>
        <v>37193</v>
      </c>
      <c r="F2582" s="69">
        <v>6.4493329177895079E-3</v>
      </c>
    </row>
    <row r="2583" spans="1:6" x14ac:dyDescent="0.3">
      <c r="A2583" s="24">
        <v>37461</v>
      </c>
      <c r="B2583" s="66">
        <v>434.13800000000003</v>
      </c>
      <c r="C2583" s="67"/>
      <c r="D2583" s="68">
        <v>0</v>
      </c>
      <c r="E2583" s="110">
        <f t="shared" si="41"/>
        <v>37193</v>
      </c>
      <c r="F2583" s="69">
        <v>6.4493329177895079E-3</v>
      </c>
    </row>
    <row r="2584" spans="1:6" x14ac:dyDescent="0.3">
      <c r="A2584" s="24">
        <v>37462</v>
      </c>
      <c r="B2584" s="66">
        <v>434.13800000000003</v>
      </c>
      <c r="C2584" s="67"/>
      <c r="D2584" s="68">
        <v>0</v>
      </c>
      <c r="E2584" s="110">
        <f t="shared" si="41"/>
        <v>37193</v>
      </c>
      <c r="F2584" s="69">
        <v>6.4493329177895079E-3</v>
      </c>
    </row>
    <row r="2585" spans="1:6" x14ac:dyDescent="0.3">
      <c r="A2585" s="24">
        <v>37463</v>
      </c>
      <c r="B2585" s="66">
        <v>434.13800000000003</v>
      </c>
      <c r="C2585" s="67"/>
      <c r="D2585" s="68">
        <v>0</v>
      </c>
      <c r="E2585" s="110">
        <f t="shared" si="41"/>
        <v>37193</v>
      </c>
      <c r="F2585" s="69">
        <v>6.4493329177895079E-3</v>
      </c>
    </row>
    <row r="2586" spans="1:6" x14ac:dyDescent="0.3">
      <c r="A2586" s="24">
        <v>37464</v>
      </c>
      <c r="B2586" s="66">
        <v>434.13800000000003</v>
      </c>
      <c r="C2586" s="67"/>
      <c r="D2586" s="68">
        <v>0</v>
      </c>
      <c r="E2586" s="110">
        <f t="shared" si="41"/>
        <v>37193</v>
      </c>
      <c r="F2586" s="69">
        <v>6.4493329177895079E-3</v>
      </c>
    </row>
    <row r="2587" spans="1:6" x14ac:dyDescent="0.3">
      <c r="A2587" s="24">
        <v>37465</v>
      </c>
      <c r="B2587" s="66">
        <v>434.13800000000003</v>
      </c>
      <c r="C2587" s="67"/>
      <c r="D2587" s="68">
        <v>0</v>
      </c>
      <c r="E2587" s="110">
        <f t="shared" si="41"/>
        <v>37193</v>
      </c>
      <c r="F2587" s="69">
        <v>6.4493329177895079E-3</v>
      </c>
    </row>
    <row r="2588" spans="1:6" x14ac:dyDescent="0.3">
      <c r="A2588" s="24">
        <v>37466</v>
      </c>
      <c r="B2588" s="66">
        <v>434.13800000000003</v>
      </c>
      <c r="C2588" s="67"/>
      <c r="D2588" s="68">
        <v>0</v>
      </c>
      <c r="E2588" s="110">
        <f t="shared" si="41"/>
        <v>37193</v>
      </c>
      <c r="F2588" s="69">
        <v>6.4493329177895079E-3</v>
      </c>
    </row>
    <row r="2589" spans="1:6" x14ac:dyDescent="0.3">
      <c r="A2589" s="24">
        <v>37467</v>
      </c>
      <c r="B2589" s="66">
        <v>434.13800000000003</v>
      </c>
      <c r="C2589" s="67"/>
      <c r="D2589" s="68">
        <v>0</v>
      </c>
      <c r="E2589" s="110">
        <f t="shared" si="41"/>
        <v>37193</v>
      </c>
      <c r="F2589" s="69">
        <v>6.4493329177895079E-3</v>
      </c>
    </row>
    <row r="2590" spans="1:6" x14ac:dyDescent="0.3">
      <c r="A2590" s="24">
        <v>37468</v>
      </c>
      <c r="B2590" s="66">
        <v>434.13800000000003</v>
      </c>
      <c r="C2590" s="67"/>
      <c r="D2590" s="68">
        <v>0</v>
      </c>
      <c r="E2590" s="110">
        <f t="shared" si="41"/>
        <v>37193</v>
      </c>
      <c r="F2590" s="69">
        <v>6.4493329177895079E-3</v>
      </c>
    </row>
    <row r="2591" spans="1:6" x14ac:dyDescent="0.3">
      <c r="A2591" s="24">
        <v>37469</v>
      </c>
      <c r="B2591" s="66">
        <v>434.13800000000003</v>
      </c>
      <c r="C2591" s="67"/>
      <c r="D2591" s="68">
        <v>0</v>
      </c>
      <c r="E2591" s="110">
        <f t="shared" si="41"/>
        <v>37193</v>
      </c>
      <c r="F2591" s="69">
        <v>6.4493329177895079E-3</v>
      </c>
    </row>
    <row r="2592" spans="1:6" x14ac:dyDescent="0.3">
      <c r="A2592" s="24">
        <v>37470</v>
      </c>
      <c r="B2592" s="66">
        <v>434.13800000000003</v>
      </c>
      <c r="C2592" s="67"/>
      <c r="D2592" s="68">
        <v>0</v>
      </c>
      <c r="E2592" s="110">
        <f t="shared" si="41"/>
        <v>37193</v>
      </c>
      <c r="F2592" s="69">
        <v>6.4493329177895079E-3</v>
      </c>
    </row>
    <row r="2593" spans="1:6" x14ac:dyDescent="0.3">
      <c r="A2593" s="24">
        <v>37471</v>
      </c>
      <c r="B2593" s="66">
        <v>434.13800000000003</v>
      </c>
      <c r="C2593" s="67"/>
      <c r="D2593" s="68">
        <v>0</v>
      </c>
      <c r="E2593" s="110">
        <f t="shared" si="41"/>
        <v>37193</v>
      </c>
      <c r="F2593" s="69">
        <v>6.4493329177895079E-3</v>
      </c>
    </row>
    <row r="2594" spans="1:6" x14ac:dyDescent="0.3">
      <c r="A2594" s="24">
        <v>37472</v>
      </c>
      <c r="B2594" s="66">
        <v>434.13800000000003</v>
      </c>
      <c r="C2594" s="67"/>
      <c r="D2594" s="68">
        <v>0</v>
      </c>
      <c r="E2594" s="110">
        <f t="shared" si="41"/>
        <v>37193</v>
      </c>
      <c r="F2594" s="69">
        <v>6.4493329177895079E-3</v>
      </c>
    </row>
    <row r="2595" spans="1:6" x14ac:dyDescent="0.3">
      <c r="A2595" s="24">
        <v>37473</v>
      </c>
      <c r="B2595" s="66">
        <v>434.13800000000003</v>
      </c>
      <c r="C2595" s="67"/>
      <c r="D2595" s="68">
        <v>0</v>
      </c>
      <c r="E2595" s="110">
        <f t="shared" si="41"/>
        <v>37193</v>
      </c>
      <c r="F2595" s="69">
        <v>6.4493329177895079E-3</v>
      </c>
    </row>
    <row r="2596" spans="1:6" x14ac:dyDescent="0.3">
      <c r="A2596" s="24">
        <v>37474</v>
      </c>
      <c r="B2596" s="66">
        <v>434.13800000000003</v>
      </c>
      <c r="C2596" s="67"/>
      <c r="D2596" s="68">
        <v>0</v>
      </c>
      <c r="E2596" s="110">
        <f t="shared" si="41"/>
        <v>37193</v>
      </c>
      <c r="F2596" s="69">
        <v>6.4493329177895079E-3</v>
      </c>
    </row>
    <row r="2597" spans="1:6" x14ac:dyDescent="0.3">
      <c r="A2597" s="24">
        <v>37475</v>
      </c>
      <c r="B2597" s="66">
        <v>434.13800000000003</v>
      </c>
      <c r="C2597" s="67"/>
      <c r="D2597" s="68">
        <v>0</v>
      </c>
      <c r="E2597" s="110">
        <f t="shared" si="41"/>
        <v>37193</v>
      </c>
      <c r="F2597" s="69">
        <v>6.4493329177895079E-3</v>
      </c>
    </row>
    <row r="2598" spans="1:6" x14ac:dyDescent="0.3">
      <c r="A2598" s="24">
        <v>37476</v>
      </c>
      <c r="B2598" s="66">
        <v>434.13800000000003</v>
      </c>
      <c r="C2598" s="67"/>
      <c r="D2598" s="68">
        <v>0</v>
      </c>
      <c r="E2598" s="110">
        <f t="shared" si="41"/>
        <v>37193</v>
      </c>
      <c r="F2598" s="69">
        <v>6.4493329177895079E-3</v>
      </c>
    </row>
    <row r="2599" spans="1:6" x14ac:dyDescent="0.3">
      <c r="A2599" s="24">
        <v>37477</v>
      </c>
      <c r="B2599" s="66">
        <v>434.13800000000003</v>
      </c>
      <c r="C2599" s="67"/>
      <c r="D2599" s="68">
        <v>0</v>
      </c>
      <c r="E2599" s="110">
        <f t="shared" si="41"/>
        <v>37193</v>
      </c>
      <c r="F2599" s="69">
        <v>6.4493329177895079E-3</v>
      </c>
    </row>
    <row r="2600" spans="1:6" x14ac:dyDescent="0.3">
      <c r="A2600" s="24">
        <v>37478</v>
      </c>
      <c r="B2600" s="66">
        <v>434.13800000000003</v>
      </c>
      <c r="C2600" s="67"/>
      <c r="D2600" s="68">
        <v>0</v>
      </c>
      <c r="E2600" s="110">
        <f t="shared" si="41"/>
        <v>37193</v>
      </c>
      <c r="F2600" s="69">
        <v>6.4493329177895079E-3</v>
      </c>
    </row>
    <row r="2601" spans="1:6" x14ac:dyDescent="0.3">
      <c r="A2601" s="24">
        <v>37479</v>
      </c>
      <c r="B2601" s="66">
        <v>434.13800000000003</v>
      </c>
      <c r="C2601" s="67"/>
      <c r="D2601" s="68">
        <v>0</v>
      </c>
      <c r="E2601" s="110">
        <f t="shared" si="41"/>
        <v>37193</v>
      </c>
      <c r="F2601" s="69">
        <v>6.4493329177895079E-3</v>
      </c>
    </row>
    <row r="2602" spans="1:6" x14ac:dyDescent="0.3">
      <c r="A2602" s="24">
        <v>37480</v>
      </c>
      <c r="B2602" s="66">
        <v>434.13800000000003</v>
      </c>
      <c r="C2602" s="67"/>
      <c r="D2602" s="68">
        <v>0</v>
      </c>
      <c r="E2602" s="110">
        <f t="shared" si="41"/>
        <v>37193</v>
      </c>
      <c r="F2602" s="69">
        <v>6.4493329177895079E-3</v>
      </c>
    </row>
    <row r="2603" spans="1:6" x14ac:dyDescent="0.3">
      <c r="A2603" s="24">
        <v>37481</v>
      </c>
      <c r="B2603" s="66">
        <v>434.13800000000003</v>
      </c>
      <c r="C2603" s="67"/>
      <c r="D2603" s="68">
        <v>0</v>
      </c>
      <c r="E2603" s="110">
        <f t="shared" si="41"/>
        <v>37193</v>
      </c>
      <c r="F2603" s="69">
        <v>6.4493329177895079E-3</v>
      </c>
    </row>
    <row r="2604" spans="1:6" x14ac:dyDescent="0.3">
      <c r="A2604" s="24">
        <v>37482</v>
      </c>
      <c r="B2604" s="66">
        <v>434.13800000000003</v>
      </c>
      <c r="C2604" s="67"/>
      <c r="D2604" s="68">
        <v>0</v>
      </c>
      <c r="E2604" s="110">
        <f t="shared" si="41"/>
        <v>37193</v>
      </c>
      <c r="F2604" s="69">
        <v>6.4493329177895079E-3</v>
      </c>
    </row>
    <row r="2605" spans="1:6" x14ac:dyDescent="0.3">
      <c r="A2605" s="24">
        <v>37483</v>
      </c>
      <c r="B2605" s="66">
        <v>434.13800000000003</v>
      </c>
      <c r="C2605" s="67"/>
      <c r="D2605" s="68">
        <v>0</v>
      </c>
      <c r="E2605" s="110">
        <f t="shared" si="41"/>
        <v>37193</v>
      </c>
      <c r="F2605" s="69">
        <v>6.4493329177895079E-3</v>
      </c>
    </row>
    <row r="2606" spans="1:6" x14ac:dyDescent="0.3">
      <c r="A2606" s="24">
        <v>37484</v>
      </c>
      <c r="B2606" s="66">
        <v>434.13800000000003</v>
      </c>
      <c r="C2606" s="67"/>
      <c r="D2606" s="68">
        <v>0</v>
      </c>
      <c r="E2606" s="110">
        <f t="shared" si="41"/>
        <v>37193</v>
      </c>
      <c r="F2606" s="69">
        <v>6.4493329177895079E-3</v>
      </c>
    </row>
    <row r="2607" spans="1:6" x14ac:dyDescent="0.3">
      <c r="A2607" s="24">
        <v>37485</v>
      </c>
      <c r="B2607" s="66">
        <v>434.13800000000003</v>
      </c>
      <c r="C2607" s="67"/>
      <c r="D2607" s="68">
        <v>0</v>
      </c>
      <c r="E2607" s="110">
        <f t="shared" si="41"/>
        <v>37193</v>
      </c>
      <c r="F2607" s="69">
        <v>6.4493329177895079E-3</v>
      </c>
    </row>
    <row r="2608" spans="1:6" x14ac:dyDescent="0.3">
      <c r="A2608" s="24">
        <v>37486</v>
      </c>
      <c r="B2608" s="66">
        <v>434.13800000000003</v>
      </c>
      <c r="C2608" s="67"/>
      <c r="D2608" s="68">
        <v>0</v>
      </c>
      <c r="E2608" s="110">
        <f t="shared" si="41"/>
        <v>37193</v>
      </c>
      <c r="F2608" s="69">
        <v>6.4493329177895079E-3</v>
      </c>
    </row>
    <row r="2609" spans="1:6" x14ac:dyDescent="0.3">
      <c r="A2609" s="24">
        <v>37487</v>
      </c>
      <c r="B2609" s="66">
        <v>434.13800000000003</v>
      </c>
      <c r="C2609" s="67"/>
      <c r="D2609" s="68">
        <v>0</v>
      </c>
      <c r="E2609" s="110">
        <f t="shared" si="41"/>
        <v>37193</v>
      </c>
      <c r="F2609" s="69">
        <v>6.4493329177895079E-3</v>
      </c>
    </row>
    <row r="2610" spans="1:6" x14ac:dyDescent="0.3">
      <c r="A2610" s="24">
        <v>37488</v>
      </c>
      <c r="B2610" s="66">
        <v>434.13800000000003</v>
      </c>
      <c r="C2610" s="67"/>
      <c r="D2610" s="68">
        <v>0</v>
      </c>
      <c r="E2610" s="110">
        <f t="shared" si="41"/>
        <v>37193</v>
      </c>
      <c r="F2610" s="69">
        <v>6.4493329177895079E-3</v>
      </c>
    </row>
    <row r="2611" spans="1:6" x14ac:dyDescent="0.3">
      <c r="A2611" s="24">
        <v>37489</v>
      </c>
      <c r="B2611" s="66">
        <v>434.13800000000003</v>
      </c>
      <c r="C2611" s="67"/>
      <c r="D2611" s="68">
        <v>0</v>
      </c>
      <c r="E2611" s="110">
        <f t="shared" si="41"/>
        <v>37193</v>
      </c>
      <c r="F2611" s="69">
        <v>6.4493329177895079E-3</v>
      </c>
    </row>
    <row r="2612" spans="1:6" x14ac:dyDescent="0.3">
      <c r="A2612" s="24">
        <v>37490</v>
      </c>
      <c r="B2612" s="66">
        <v>434.13800000000003</v>
      </c>
      <c r="C2612" s="67"/>
      <c r="D2612" s="68">
        <v>0</v>
      </c>
      <c r="E2612" s="110">
        <f t="shared" si="41"/>
        <v>37193</v>
      </c>
      <c r="F2612" s="69">
        <v>6.4493329177895079E-3</v>
      </c>
    </row>
    <row r="2613" spans="1:6" x14ac:dyDescent="0.3">
      <c r="A2613" s="24">
        <v>37491</v>
      </c>
      <c r="B2613" s="66">
        <v>434.13800000000003</v>
      </c>
      <c r="C2613" s="67"/>
      <c r="D2613" s="68">
        <v>0</v>
      </c>
      <c r="E2613" s="110">
        <f t="shared" si="41"/>
        <v>37193</v>
      </c>
      <c r="F2613" s="69">
        <v>6.4493329177895079E-3</v>
      </c>
    </row>
    <row r="2614" spans="1:6" x14ac:dyDescent="0.3">
      <c r="A2614" s="24">
        <v>37492</v>
      </c>
      <c r="B2614" s="66">
        <v>434.13800000000003</v>
      </c>
      <c r="C2614" s="67"/>
      <c r="D2614" s="68">
        <v>0</v>
      </c>
      <c r="E2614" s="110">
        <f t="shared" si="41"/>
        <v>37193</v>
      </c>
      <c r="F2614" s="69">
        <v>6.4493329177895079E-3</v>
      </c>
    </row>
    <row r="2615" spans="1:6" x14ac:dyDescent="0.3">
      <c r="A2615" s="24">
        <v>37493</v>
      </c>
      <c r="B2615" s="66">
        <v>434.13800000000003</v>
      </c>
      <c r="C2615" s="67"/>
      <c r="D2615" s="68">
        <v>0</v>
      </c>
      <c r="E2615" s="110">
        <f t="shared" si="41"/>
        <v>37193</v>
      </c>
      <c r="F2615" s="69">
        <v>6.4493329177895079E-3</v>
      </c>
    </row>
    <row r="2616" spans="1:6" x14ac:dyDescent="0.3">
      <c r="A2616" s="24">
        <v>37494</v>
      </c>
      <c r="B2616" s="66">
        <v>434.13800000000003</v>
      </c>
      <c r="C2616" s="67"/>
      <c r="D2616" s="68">
        <v>0</v>
      </c>
      <c r="E2616" s="110">
        <f t="shared" si="41"/>
        <v>37193</v>
      </c>
      <c r="F2616" s="69">
        <v>6.4493329177895079E-3</v>
      </c>
    </row>
    <row r="2617" spans="1:6" x14ac:dyDescent="0.3">
      <c r="A2617" s="24">
        <v>37495</v>
      </c>
      <c r="B2617" s="66">
        <v>434.13800000000003</v>
      </c>
      <c r="C2617" s="67"/>
      <c r="D2617" s="68">
        <v>0</v>
      </c>
      <c r="E2617" s="110">
        <f t="shared" si="41"/>
        <v>37193</v>
      </c>
      <c r="F2617" s="69">
        <v>6.4493329177895079E-3</v>
      </c>
    </row>
    <row r="2618" spans="1:6" x14ac:dyDescent="0.3">
      <c r="A2618" s="24">
        <v>37496</v>
      </c>
      <c r="B2618" s="66">
        <v>434.13800000000003</v>
      </c>
      <c r="C2618" s="67"/>
      <c r="D2618" s="68">
        <v>0</v>
      </c>
      <c r="E2618" s="110">
        <f t="shared" si="41"/>
        <v>37193</v>
      </c>
      <c r="F2618" s="69">
        <v>6.4493329177895079E-3</v>
      </c>
    </row>
    <row r="2619" spans="1:6" x14ac:dyDescent="0.3">
      <c r="A2619" s="24">
        <v>37497</v>
      </c>
      <c r="B2619" s="66">
        <v>434.13800000000003</v>
      </c>
      <c r="C2619" s="67"/>
      <c r="D2619" s="68">
        <v>0</v>
      </c>
      <c r="E2619" s="110">
        <f t="shared" si="41"/>
        <v>37193</v>
      </c>
      <c r="F2619" s="69">
        <v>6.4493329177895079E-3</v>
      </c>
    </row>
    <row r="2620" spans="1:6" x14ac:dyDescent="0.3">
      <c r="A2620" s="24">
        <v>37498</v>
      </c>
      <c r="B2620" s="66">
        <v>434.13800000000003</v>
      </c>
      <c r="C2620" s="67"/>
      <c r="D2620" s="68">
        <v>0</v>
      </c>
      <c r="E2620" s="110">
        <f t="shared" si="41"/>
        <v>37193</v>
      </c>
      <c r="F2620" s="69">
        <v>6.4493329177895079E-3</v>
      </c>
    </row>
    <row r="2621" spans="1:6" x14ac:dyDescent="0.3">
      <c r="A2621" s="24">
        <v>37499</v>
      </c>
      <c r="B2621" s="66">
        <v>434.13800000000003</v>
      </c>
      <c r="C2621" s="67"/>
      <c r="D2621" s="68">
        <v>0</v>
      </c>
      <c r="E2621" s="110">
        <f t="shared" si="41"/>
        <v>37193</v>
      </c>
      <c r="F2621" s="69">
        <v>6.4493329177895079E-3</v>
      </c>
    </row>
    <row r="2622" spans="1:6" x14ac:dyDescent="0.3">
      <c r="A2622" s="24">
        <v>37500</v>
      </c>
      <c r="B2622" s="66">
        <v>434.13800000000003</v>
      </c>
      <c r="C2622" s="67"/>
      <c r="D2622" s="68">
        <v>0</v>
      </c>
      <c r="E2622" s="110">
        <f t="shared" si="41"/>
        <v>37193</v>
      </c>
      <c r="F2622" s="69">
        <v>6.4493329177895079E-3</v>
      </c>
    </row>
    <row r="2623" spans="1:6" x14ac:dyDescent="0.3">
      <c r="A2623" s="24">
        <v>37501</v>
      </c>
      <c r="B2623" s="66">
        <v>434.13800000000003</v>
      </c>
      <c r="C2623" s="67"/>
      <c r="D2623" s="68">
        <v>0</v>
      </c>
      <c r="E2623" s="110">
        <f t="shared" si="41"/>
        <v>37193</v>
      </c>
      <c r="F2623" s="69">
        <v>6.4493329177895079E-3</v>
      </c>
    </row>
    <row r="2624" spans="1:6" x14ac:dyDescent="0.3">
      <c r="A2624" s="24">
        <v>37502</v>
      </c>
      <c r="B2624" s="66">
        <v>434.13800000000003</v>
      </c>
      <c r="C2624" s="67"/>
      <c r="D2624" s="68">
        <v>0</v>
      </c>
      <c r="E2624" s="110">
        <f t="shared" si="41"/>
        <v>37193</v>
      </c>
      <c r="F2624" s="69">
        <v>6.4493329177895079E-3</v>
      </c>
    </row>
    <row r="2625" spans="1:6" x14ac:dyDescent="0.3">
      <c r="A2625" s="24">
        <v>37503</v>
      </c>
      <c r="B2625" s="66">
        <v>434.13800000000003</v>
      </c>
      <c r="C2625" s="67"/>
      <c r="D2625" s="68">
        <v>0</v>
      </c>
      <c r="E2625" s="110">
        <f t="shared" si="41"/>
        <v>37193</v>
      </c>
      <c r="F2625" s="69">
        <v>6.4493329177895079E-3</v>
      </c>
    </row>
    <row r="2626" spans="1:6" x14ac:dyDescent="0.3">
      <c r="A2626" s="24">
        <v>37504</v>
      </c>
      <c r="B2626" s="66">
        <v>434.13800000000003</v>
      </c>
      <c r="C2626" s="67"/>
      <c r="D2626" s="68">
        <v>0</v>
      </c>
      <c r="E2626" s="110">
        <f t="shared" si="41"/>
        <v>37193</v>
      </c>
      <c r="F2626" s="69">
        <v>6.4493329177895079E-3</v>
      </c>
    </row>
    <row r="2627" spans="1:6" x14ac:dyDescent="0.3">
      <c r="A2627" s="24">
        <v>37505</v>
      </c>
      <c r="B2627" s="66">
        <v>434.13800000000003</v>
      </c>
      <c r="C2627" s="67"/>
      <c r="D2627" s="68">
        <v>0</v>
      </c>
      <c r="E2627" s="110">
        <f t="shared" si="41"/>
        <v>37193</v>
      </c>
      <c r="F2627" s="69">
        <v>6.4493329177895079E-3</v>
      </c>
    </row>
    <row r="2628" spans="1:6" x14ac:dyDescent="0.3">
      <c r="A2628" s="24">
        <v>37506</v>
      </c>
      <c r="B2628" s="66">
        <v>434.13800000000003</v>
      </c>
      <c r="C2628" s="67"/>
      <c r="D2628" s="68">
        <v>0</v>
      </c>
      <c r="E2628" s="110">
        <f t="shared" si="41"/>
        <v>37193</v>
      </c>
      <c r="F2628" s="69">
        <v>6.4493329177895079E-3</v>
      </c>
    </row>
    <row r="2629" spans="1:6" x14ac:dyDescent="0.3">
      <c r="A2629" s="24">
        <v>37507</v>
      </c>
      <c r="B2629" s="66">
        <v>434.13800000000003</v>
      </c>
      <c r="C2629" s="67"/>
      <c r="D2629" s="68">
        <v>0</v>
      </c>
      <c r="E2629" s="110">
        <f t="shared" si="41"/>
        <v>37193</v>
      </c>
      <c r="F2629" s="69">
        <v>6.4493329177895079E-3</v>
      </c>
    </row>
    <row r="2630" spans="1:6" x14ac:dyDescent="0.3">
      <c r="A2630" s="24">
        <v>37508</v>
      </c>
      <c r="B2630" s="66">
        <v>434.13800000000003</v>
      </c>
      <c r="C2630" s="67"/>
      <c r="D2630" s="68">
        <v>0</v>
      </c>
      <c r="E2630" s="110">
        <f t="shared" si="41"/>
        <v>37193</v>
      </c>
      <c r="F2630" s="69">
        <v>6.4493329177895079E-3</v>
      </c>
    </row>
    <row r="2631" spans="1:6" x14ac:dyDescent="0.3">
      <c r="A2631" s="24">
        <v>37509</v>
      </c>
      <c r="B2631" s="66">
        <v>434.13800000000003</v>
      </c>
      <c r="C2631" s="67"/>
      <c r="D2631" s="68">
        <v>0</v>
      </c>
      <c r="E2631" s="110">
        <f t="shared" si="41"/>
        <v>37193</v>
      </c>
      <c r="F2631" s="69">
        <v>6.4493329177895079E-3</v>
      </c>
    </row>
    <row r="2632" spans="1:6" x14ac:dyDescent="0.3">
      <c r="A2632" s="24">
        <v>37510</v>
      </c>
      <c r="B2632" s="66">
        <v>434.13800000000003</v>
      </c>
      <c r="C2632" s="67"/>
      <c r="D2632" s="68">
        <v>0</v>
      </c>
      <c r="E2632" s="110">
        <f t="shared" si="41"/>
        <v>37193</v>
      </c>
      <c r="F2632" s="69">
        <v>6.4493329177895079E-3</v>
      </c>
    </row>
    <row r="2633" spans="1:6" x14ac:dyDescent="0.3">
      <c r="A2633" s="24">
        <v>37511</v>
      </c>
      <c r="B2633" s="66">
        <v>434.13800000000003</v>
      </c>
      <c r="C2633" s="67"/>
      <c r="D2633" s="68">
        <v>0</v>
      </c>
      <c r="E2633" s="110">
        <f t="shared" si="41"/>
        <v>37193</v>
      </c>
      <c r="F2633" s="69">
        <v>6.4493329177895079E-3</v>
      </c>
    </row>
    <row r="2634" spans="1:6" x14ac:dyDescent="0.3">
      <c r="A2634" s="24">
        <v>37512</v>
      </c>
      <c r="B2634" s="66">
        <v>434.13800000000003</v>
      </c>
      <c r="C2634" s="67"/>
      <c r="D2634" s="68">
        <v>0</v>
      </c>
      <c r="E2634" s="110">
        <f t="shared" si="41"/>
        <v>37193</v>
      </c>
      <c r="F2634" s="69">
        <v>6.4493329177895079E-3</v>
      </c>
    </row>
    <row r="2635" spans="1:6" x14ac:dyDescent="0.3">
      <c r="A2635" s="24">
        <v>37513</v>
      </c>
      <c r="B2635" s="66">
        <v>434.13800000000003</v>
      </c>
      <c r="C2635" s="67"/>
      <c r="D2635" s="68">
        <v>0</v>
      </c>
      <c r="E2635" s="110">
        <f t="shared" si="41"/>
        <v>37193</v>
      </c>
      <c r="F2635" s="69">
        <v>6.4493329177895079E-3</v>
      </c>
    </row>
    <row r="2636" spans="1:6" x14ac:dyDescent="0.3">
      <c r="A2636" s="24">
        <v>37514</v>
      </c>
      <c r="B2636" s="66">
        <v>434.13800000000003</v>
      </c>
      <c r="C2636" s="67"/>
      <c r="D2636" s="68">
        <v>0</v>
      </c>
      <c r="E2636" s="110">
        <f t="shared" si="41"/>
        <v>37193</v>
      </c>
      <c r="F2636" s="69">
        <v>6.4493329177895079E-3</v>
      </c>
    </row>
    <row r="2637" spans="1:6" x14ac:dyDescent="0.3">
      <c r="A2637" s="24">
        <v>37515</v>
      </c>
      <c r="B2637" s="66">
        <v>434.13800000000003</v>
      </c>
      <c r="C2637" s="67"/>
      <c r="D2637" s="68">
        <v>0</v>
      </c>
      <c r="E2637" s="110">
        <f t="shared" si="41"/>
        <v>37193</v>
      </c>
      <c r="F2637" s="69">
        <v>6.4493329177895079E-3</v>
      </c>
    </row>
    <row r="2638" spans="1:6" x14ac:dyDescent="0.3">
      <c r="A2638" s="24">
        <v>37516</v>
      </c>
      <c r="B2638" s="66">
        <v>434.13800000000003</v>
      </c>
      <c r="C2638" s="67"/>
      <c r="D2638" s="68">
        <v>0</v>
      </c>
      <c r="E2638" s="110">
        <f t="shared" si="41"/>
        <v>37193</v>
      </c>
      <c r="F2638" s="69">
        <v>6.4493329177895079E-3</v>
      </c>
    </row>
    <row r="2639" spans="1:6" x14ac:dyDescent="0.3">
      <c r="A2639" s="24">
        <v>37517</v>
      </c>
      <c r="B2639" s="66">
        <v>434.13800000000003</v>
      </c>
      <c r="C2639" s="67"/>
      <c r="D2639" s="68">
        <v>0</v>
      </c>
      <c r="E2639" s="110">
        <f t="shared" si="41"/>
        <v>37193</v>
      </c>
      <c r="F2639" s="69">
        <v>6.4493329177895079E-3</v>
      </c>
    </row>
    <row r="2640" spans="1:6" x14ac:dyDescent="0.3">
      <c r="A2640" s="24">
        <v>37518</v>
      </c>
      <c r="B2640" s="66">
        <v>434.13800000000003</v>
      </c>
      <c r="C2640" s="67"/>
      <c r="D2640" s="68">
        <v>0</v>
      </c>
      <c r="E2640" s="110">
        <f t="shared" si="41"/>
        <v>37193</v>
      </c>
      <c r="F2640" s="69">
        <v>6.4493329177895079E-3</v>
      </c>
    </row>
    <row r="2641" spans="1:6" x14ac:dyDescent="0.3">
      <c r="A2641" s="24">
        <v>37519</v>
      </c>
      <c r="B2641" s="66">
        <v>434.13800000000003</v>
      </c>
      <c r="C2641" s="67"/>
      <c r="D2641" s="68">
        <v>0</v>
      </c>
      <c r="E2641" s="110">
        <f t="shared" si="41"/>
        <v>37193</v>
      </c>
      <c r="F2641" s="69">
        <v>6.4493329177895079E-3</v>
      </c>
    </row>
    <row r="2642" spans="1:6" x14ac:dyDescent="0.3">
      <c r="A2642" s="24">
        <v>37520</v>
      </c>
      <c r="B2642" s="66">
        <v>434.13800000000003</v>
      </c>
      <c r="C2642" s="67"/>
      <c r="D2642" s="68">
        <v>0</v>
      </c>
      <c r="E2642" s="110">
        <f t="shared" ref="E2642:E2705" si="42">+E2641</f>
        <v>37193</v>
      </c>
      <c r="F2642" s="69">
        <v>6.4493329177895079E-3</v>
      </c>
    </row>
    <row r="2643" spans="1:6" x14ac:dyDescent="0.3">
      <c r="A2643" s="24">
        <v>37521</v>
      </c>
      <c r="B2643" s="66">
        <v>434.13800000000003</v>
      </c>
      <c r="C2643" s="67"/>
      <c r="D2643" s="68">
        <v>0</v>
      </c>
      <c r="E2643" s="110">
        <f t="shared" si="42"/>
        <v>37193</v>
      </c>
      <c r="F2643" s="69">
        <v>6.4493329177895079E-3</v>
      </c>
    </row>
    <row r="2644" spans="1:6" x14ac:dyDescent="0.3">
      <c r="A2644" s="24">
        <v>37522</v>
      </c>
      <c r="B2644" s="66">
        <v>434.13800000000003</v>
      </c>
      <c r="C2644" s="67"/>
      <c r="D2644" s="68">
        <v>0</v>
      </c>
      <c r="E2644" s="110">
        <f t="shared" si="42"/>
        <v>37193</v>
      </c>
      <c r="F2644" s="69">
        <v>6.4493329177895079E-3</v>
      </c>
    </row>
    <row r="2645" spans="1:6" x14ac:dyDescent="0.3">
      <c r="A2645" s="24">
        <v>37523</v>
      </c>
      <c r="B2645" s="66">
        <v>434.13800000000003</v>
      </c>
      <c r="C2645" s="67"/>
      <c r="D2645" s="68">
        <v>0</v>
      </c>
      <c r="E2645" s="110">
        <f t="shared" si="42"/>
        <v>37193</v>
      </c>
      <c r="F2645" s="69">
        <v>6.4493329177895079E-3</v>
      </c>
    </row>
    <row r="2646" spans="1:6" x14ac:dyDescent="0.3">
      <c r="A2646" s="24">
        <v>37524</v>
      </c>
      <c r="B2646" s="66">
        <v>434.13800000000003</v>
      </c>
      <c r="C2646" s="67"/>
      <c r="D2646" s="68">
        <v>0</v>
      </c>
      <c r="E2646" s="110">
        <f t="shared" si="42"/>
        <v>37193</v>
      </c>
      <c r="F2646" s="69">
        <v>6.4493329177895079E-3</v>
      </c>
    </row>
    <row r="2647" spans="1:6" x14ac:dyDescent="0.3">
      <c r="A2647" s="24">
        <v>37525</v>
      </c>
      <c r="B2647" s="66">
        <v>434.13800000000003</v>
      </c>
      <c r="C2647" s="67"/>
      <c r="D2647" s="68">
        <v>0</v>
      </c>
      <c r="E2647" s="110">
        <f t="shared" si="42"/>
        <v>37193</v>
      </c>
      <c r="F2647" s="69">
        <v>6.4493329177895079E-3</v>
      </c>
    </row>
    <row r="2648" spans="1:6" x14ac:dyDescent="0.3">
      <c r="A2648" s="24">
        <v>37526</v>
      </c>
      <c r="B2648" s="66">
        <v>434.13800000000003</v>
      </c>
      <c r="C2648" s="67"/>
      <c r="D2648" s="68">
        <v>0</v>
      </c>
      <c r="E2648" s="110">
        <f t="shared" si="42"/>
        <v>37193</v>
      </c>
      <c r="F2648" s="69">
        <v>6.4493329177895079E-3</v>
      </c>
    </row>
    <row r="2649" spans="1:6" x14ac:dyDescent="0.3">
      <c r="A2649" s="24">
        <v>37527</v>
      </c>
      <c r="B2649" s="66">
        <v>434.13800000000003</v>
      </c>
      <c r="C2649" s="67"/>
      <c r="D2649" s="68">
        <v>0</v>
      </c>
      <c r="E2649" s="110">
        <f t="shared" si="42"/>
        <v>37193</v>
      </c>
      <c r="F2649" s="69">
        <v>6.4493329177895079E-3</v>
      </c>
    </row>
    <row r="2650" spans="1:6" x14ac:dyDescent="0.3">
      <c r="A2650" s="24">
        <v>37528</v>
      </c>
      <c r="B2650" s="66">
        <v>434.13800000000003</v>
      </c>
      <c r="C2650" s="67"/>
      <c r="D2650" s="68">
        <v>0</v>
      </c>
      <c r="E2650" s="110">
        <f t="shared" si="42"/>
        <v>37193</v>
      </c>
      <c r="F2650" s="69">
        <v>6.3483927665850311E-3</v>
      </c>
    </row>
    <row r="2651" spans="1:6" x14ac:dyDescent="0.3">
      <c r="A2651" s="24">
        <v>37529</v>
      </c>
      <c r="B2651" s="66">
        <v>441.30100000000004</v>
      </c>
      <c r="C2651" s="67"/>
      <c r="D2651" s="68">
        <v>0</v>
      </c>
      <c r="E2651" s="110">
        <f t="shared" si="42"/>
        <v>37193</v>
      </c>
      <c r="F2651" s="69">
        <v>6.3483927665850311E-3</v>
      </c>
    </row>
    <row r="2652" spans="1:6" x14ac:dyDescent="0.3">
      <c r="A2652" s="24">
        <v>37530</v>
      </c>
      <c r="B2652" s="66">
        <v>441.30100000000004</v>
      </c>
      <c r="C2652" s="67"/>
      <c r="D2652" s="68">
        <v>0</v>
      </c>
      <c r="E2652" s="110">
        <f t="shared" si="42"/>
        <v>37193</v>
      </c>
      <c r="F2652" s="69">
        <v>6.3483927665850311E-3</v>
      </c>
    </row>
    <row r="2653" spans="1:6" x14ac:dyDescent="0.3">
      <c r="A2653" s="24">
        <v>37531</v>
      </c>
      <c r="B2653" s="66">
        <v>441.30100000000004</v>
      </c>
      <c r="C2653" s="67"/>
      <c r="D2653" s="68">
        <v>0</v>
      </c>
      <c r="E2653" s="110">
        <f t="shared" si="42"/>
        <v>37193</v>
      </c>
      <c r="F2653" s="69">
        <v>6.3483927665850311E-3</v>
      </c>
    </row>
    <row r="2654" spans="1:6" x14ac:dyDescent="0.3">
      <c r="A2654" s="24">
        <v>37532</v>
      </c>
      <c r="B2654" s="66">
        <v>441.30100000000004</v>
      </c>
      <c r="C2654" s="67"/>
      <c r="D2654" s="68">
        <v>0</v>
      </c>
      <c r="E2654" s="110">
        <f t="shared" si="42"/>
        <v>37193</v>
      </c>
      <c r="F2654" s="69">
        <v>6.3483927665850311E-3</v>
      </c>
    </row>
    <row r="2655" spans="1:6" x14ac:dyDescent="0.3">
      <c r="A2655" s="24">
        <v>37533</v>
      </c>
      <c r="B2655" s="66">
        <v>441.30100000000004</v>
      </c>
      <c r="C2655" s="67"/>
      <c r="D2655" s="68">
        <v>0</v>
      </c>
      <c r="E2655" s="110">
        <f t="shared" si="42"/>
        <v>37193</v>
      </c>
      <c r="F2655" s="69">
        <v>6.3483927665850311E-3</v>
      </c>
    </row>
    <row r="2656" spans="1:6" x14ac:dyDescent="0.3">
      <c r="A2656" s="24">
        <v>37534</v>
      </c>
      <c r="B2656" s="66">
        <v>441.30100000000004</v>
      </c>
      <c r="C2656" s="67"/>
      <c r="D2656" s="68">
        <v>0</v>
      </c>
      <c r="E2656" s="110">
        <f t="shared" si="42"/>
        <v>37193</v>
      </c>
      <c r="F2656" s="69">
        <v>6.3483927665850311E-3</v>
      </c>
    </row>
    <row r="2657" spans="1:6" x14ac:dyDescent="0.3">
      <c r="A2657" s="24">
        <v>37535</v>
      </c>
      <c r="B2657" s="66">
        <v>441.30100000000004</v>
      </c>
      <c r="C2657" s="67"/>
      <c r="D2657" s="68">
        <v>0</v>
      </c>
      <c r="E2657" s="110">
        <f t="shared" si="42"/>
        <v>37193</v>
      </c>
      <c r="F2657" s="69">
        <v>6.3483927665850311E-3</v>
      </c>
    </row>
    <row r="2658" spans="1:6" x14ac:dyDescent="0.3">
      <c r="A2658" s="24">
        <v>37536</v>
      </c>
      <c r="B2658" s="66">
        <v>441.30100000000004</v>
      </c>
      <c r="C2658" s="67"/>
      <c r="D2658" s="68">
        <v>0</v>
      </c>
      <c r="E2658" s="110">
        <f t="shared" si="42"/>
        <v>37193</v>
      </c>
      <c r="F2658" s="69">
        <v>6.3483927665850311E-3</v>
      </c>
    </row>
    <row r="2659" spans="1:6" x14ac:dyDescent="0.3">
      <c r="A2659" s="24">
        <v>37537</v>
      </c>
      <c r="B2659" s="66">
        <v>441.30100000000004</v>
      </c>
      <c r="C2659" s="67"/>
      <c r="D2659" s="68">
        <v>0</v>
      </c>
      <c r="E2659" s="110">
        <f t="shared" si="42"/>
        <v>37193</v>
      </c>
      <c r="F2659" s="69">
        <v>6.3483927665850311E-3</v>
      </c>
    </row>
    <row r="2660" spans="1:6" x14ac:dyDescent="0.3">
      <c r="A2660" s="24">
        <v>37538</v>
      </c>
      <c r="B2660" s="66">
        <v>441.30100000000004</v>
      </c>
      <c r="C2660" s="67"/>
      <c r="D2660" s="68">
        <v>0</v>
      </c>
      <c r="E2660" s="110">
        <f t="shared" si="42"/>
        <v>37193</v>
      </c>
      <c r="F2660" s="69">
        <v>6.3483927665850311E-3</v>
      </c>
    </row>
    <row r="2661" spans="1:6" x14ac:dyDescent="0.3">
      <c r="A2661" s="24">
        <v>37539</v>
      </c>
      <c r="B2661" s="66">
        <v>441.30100000000004</v>
      </c>
      <c r="C2661" s="67"/>
      <c r="D2661" s="68">
        <v>0</v>
      </c>
      <c r="E2661" s="110">
        <f t="shared" si="42"/>
        <v>37193</v>
      </c>
      <c r="F2661" s="69">
        <v>6.3483927665850311E-3</v>
      </c>
    </row>
    <row r="2662" spans="1:6" x14ac:dyDescent="0.3">
      <c r="A2662" s="24">
        <v>37540</v>
      </c>
      <c r="B2662" s="66">
        <v>441.30100000000004</v>
      </c>
      <c r="C2662" s="67"/>
      <c r="D2662" s="68">
        <v>0</v>
      </c>
      <c r="E2662" s="110">
        <f t="shared" si="42"/>
        <v>37193</v>
      </c>
      <c r="F2662" s="69">
        <v>6.3483927665850311E-3</v>
      </c>
    </row>
    <row r="2663" spans="1:6" x14ac:dyDescent="0.3">
      <c r="A2663" s="24">
        <v>37541</v>
      </c>
      <c r="B2663" s="66">
        <v>441.30100000000004</v>
      </c>
      <c r="C2663" s="67"/>
      <c r="D2663" s="68">
        <v>0</v>
      </c>
      <c r="E2663" s="110">
        <f t="shared" si="42"/>
        <v>37193</v>
      </c>
      <c r="F2663" s="69">
        <v>6.3483927665850311E-3</v>
      </c>
    </row>
    <row r="2664" spans="1:6" x14ac:dyDescent="0.3">
      <c r="A2664" s="24">
        <v>37542</v>
      </c>
      <c r="B2664" s="66">
        <v>441.30100000000004</v>
      </c>
      <c r="C2664" s="67"/>
      <c r="D2664" s="68">
        <v>0</v>
      </c>
      <c r="E2664" s="110">
        <f t="shared" si="42"/>
        <v>37193</v>
      </c>
      <c r="F2664" s="69">
        <v>6.3483927665850311E-3</v>
      </c>
    </row>
    <row r="2665" spans="1:6" x14ac:dyDescent="0.3">
      <c r="A2665" s="24">
        <v>37543</v>
      </c>
      <c r="B2665" s="66">
        <v>441.30100000000004</v>
      </c>
      <c r="C2665" s="67"/>
      <c r="D2665" s="68">
        <v>0</v>
      </c>
      <c r="E2665" s="110">
        <f t="shared" si="42"/>
        <v>37193</v>
      </c>
      <c r="F2665" s="69">
        <v>6.3483927665850311E-3</v>
      </c>
    </row>
    <row r="2666" spans="1:6" x14ac:dyDescent="0.3">
      <c r="A2666" s="24">
        <v>37544</v>
      </c>
      <c r="B2666" s="66">
        <v>441.30100000000004</v>
      </c>
      <c r="C2666" s="67"/>
      <c r="D2666" s="68">
        <v>0</v>
      </c>
      <c r="E2666" s="110">
        <f t="shared" si="42"/>
        <v>37193</v>
      </c>
      <c r="F2666" s="69">
        <v>6.3483927665850311E-3</v>
      </c>
    </row>
    <row r="2667" spans="1:6" x14ac:dyDescent="0.3">
      <c r="A2667" s="24">
        <v>37545</v>
      </c>
      <c r="B2667" s="66">
        <v>441.30100000000004</v>
      </c>
      <c r="C2667" s="67"/>
      <c r="D2667" s="68">
        <v>0</v>
      </c>
      <c r="E2667" s="110">
        <f t="shared" si="42"/>
        <v>37193</v>
      </c>
      <c r="F2667" s="69">
        <v>6.3483927665850311E-3</v>
      </c>
    </row>
    <row r="2668" spans="1:6" x14ac:dyDescent="0.3">
      <c r="A2668" s="24">
        <v>37546</v>
      </c>
      <c r="B2668" s="66">
        <v>441.30100000000004</v>
      </c>
      <c r="C2668" s="67"/>
      <c r="D2668" s="68">
        <v>0</v>
      </c>
      <c r="E2668" s="110">
        <f t="shared" si="42"/>
        <v>37193</v>
      </c>
      <c r="F2668" s="69">
        <v>6.3483927665850311E-3</v>
      </c>
    </row>
    <row r="2669" spans="1:6" x14ac:dyDescent="0.3">
      <c r="A2669" s="24">
        <v>37547</v>
      </c>
      <c r="B2669" s="66">
        <v>441.30100000000004</v>
      </c>
      <c r="C2669" s="67"/>
      <c r="D2669" s="68">
        <v>0</v>
      </c>
      <c r="E2669" s="110">
        <f t="shared" si="42"/>
        <v>37193</v>
      </c>
      <c r="F2669" s="69">
        <v>6.3483927665850311E-3</v>
      </c>
    </row>
    <row r="2670" spans="1:6" x14ac:dyDescent="0.3">
      <c r="A2670" s="24">
        <v>37548</v>
      </c>
      <c r="B2670" s="66">
        <v>441.30100000000004</v>
      </c>
      <c r="C2670" s="67"/>
      <c r="D2670" s="68">
        <v>0</v>
      </c>
      <c r="E2670" s="110">
        <f t="shared" si="42"/>
        <v>37193</v>
      </c>
      <c r="F2670" s="69">
        <v>6.3483927665850311E-3</v>
      </c>
    </row>
    <row r="2671" spans="1:6" x14ac:dyDescent="0.3">
      <c r="A2671" s="24">
        <v>37549</v>
      </c>
      <c r="B2671" s="66">
        <v>441.30100000000004</v>
      </c>
      <c r="C2671" s="67"/>
      <c r="D2671" s="68">
        <v>0</v>
      </c>
      <c r="E2671" s="110">
        <f t="shared" si="42"/>
        <v>37193</v>
      </c>
      <c r="F2671" s="69">
        <v>6.3483927665850311E-3</v>
      </c>
    </row>
    <row r="2672" spans="1:6" x14ac:dyDescent="0.3">
      <c r="A2672" s="24">
        <v>37550</v>
      </c>
      <c r="B2672" s="66">
        <v>441.30100000000004</v>
      </c>
      <c r="C2672" s="67"/>
      <c r="D2672" s="68">
        <v>0</v>
      </c>
      <c r="E2672" s="110">
        <f t="shared" si="42"/>
        <v>37193</v>
      </c>
      <c r="F2672" s="69">
        <v>6.3483927665850311E-3</v>
      </c>
    </row>
    <row r="2673" spans="1:6" x14ac:dyDescent="0.3">
      <c r="A2673" s="24">
        <v>37551</v>
      </c>
      <c r="B2673" s="66">
        <v>441.30100000000004</v>
      </c>
      <c r="C2673" s="67"/>
      <c r="D2673" s="68">
        <v>0</v>
      </c>
      <c r="E2673" s="110">
        <f t="shared" si="42"/>
        <v>37193</v>
      </c>
      <c r="F2673" s="69">
        <v>6.3483927665850311E-3</v>
      </c>
    </row>
    <row r="2674" spans="1:6" x14ac:dyDescent="0.3">
      <c r="A2674" s="24">
        <v>37552</v>
      </c>
      <c r="B2674" s="66">
        <v>441.30100000000004</v>
      </c>
      <c r="C2674" s="67"/>
      <c r="D2674" s="68">
        <v>0</v>
      </c>
      <c r="E2674" s="110">
        <f t="shared" si="42"/>
        <v>37193</v>
      </c>
      <c r="F2674" s="69">
        <v>6.3483927665850311E-3</v>
      </c>
    </row>
    <row r="2675" spans="1:6" x14ac:dyDescent="0.3">
      <c r="A2675" s="24">
        <v>37553</v>
      </c>
      <c r="B2675" s="66">
        <v>441.30100000000004</v>
      </c>
      <c r="C2675" s="67"/>
      <c r="D2675" s="68">
        <v>0</v>
      </c>
      <c r="E2675" s="110">
        <f t="shared" si="42"/>
        <v>37193</v>
      </c>
      <c r="F2675" s="69">
        <v>6.3483927665850311E-3</v>
      </c>
    </row>
    <row r="2676" spans="1:6" x14ac:dyDescent="0.3">
      <c r="A2676" s="24">
        <v>37554</v>
      </c>
      <c r="B2676" s="66">
        <v>441.30100000000004</v>
      </c>
      <c r="C2676" s="67"/>
      <c r="D2676" s="68">
        <v>0</v>
      </c>
      <c r="E2676" s="110">
        <f t="shared" si="42"/>
        <v>37193</v>
      </c>
      <c r="F2676" s="69">
        <v>6.3483927665850311E-3</v>
      </c>
    </row>
    <row r="2677" spans="1:6" x14ac:dyDescent="0.3">
      <c r="A2677" s="24">
        <v>37555</v>
      </c>
      <c r="B2677" s="66">
        <v>441.30100000000004</v>
      </c>
      <c r="C2677" s="67"/>
      <c r="D2677" s="68">
        <v>0</v>
      </c>
      <c r="E2677" s="110">
        <f t="shared" si="42"/>
        <v>37193</v>
      </c>
      <c r="F2677" s="69">
        <v>6.3483927665850311E-3</v>
      </c>
    </row>
    <row r="2678" spans="1:6" x14ac:dyDescent="0.3">
      <c r="A2678" s="24">
        <v>37556</v>
      </c>
      <c r="B2678" s="66">
        <v>441.30100000000004</v>
      </c>
      <c r="C2678" s="67"/>
      <c r="D2678" s="68">
        <v>0</v>
      </c>
      <c r="E2678" s="110">
        <f t="shared" si="42"/>
        <v>37193</v>
      </c>
      <c r="F2678" s="69">
        <v>6.3483927665850311E-3</v>
      </c>
    </row>
    <row r="2679" spans="1:6" x14ac:dyDescent="0.3">
      <c r="A2679" s="24">
        <v>37557</v>
      </c>
      <c r="B2679" s="66">
        <v>441.30100000000004</v>
      </c>
      <c r="C2679" s="67"/>
      <c r="D2679" s="68">
        <v>0</v>
      </c>
      <c r="E2679" s="110">
        <f t="shared" si="42"/>
        <v>37193</v>
      </c>
      <c r="F2679" s="69">
        <v>6.3483927665850311E-3</v>
      </c>
    </row>
    <row r="2680" spans="1:6" x14ac:dyDescent="0.3">
      <c r="A2680" s="24">
        <v>37558</v>
      </c>
      <c r="B2680" s="66">
        <v>441.30100000000004</v>
      </c>
      <c r="C2680" s="67"/>
      <c r="D2680" s="68">
        <v>0</v>
      </c>
      <c r="E2680" s="110">
        <f t="shared" si="42"/>
        <v>37193</v>
      </c>
      <c r="F2680" s="69">
        <v>6.3483927665850311E-3</v>
      </c>
    </row>
    <row r="2681" spans="1:6" x14ac:dyDescent="0.3">
      <c r="A2681" s="24">
        <v>37559</v>
      </c>
      <c r="B2681" s="66">
        <v>441.30100000000004</v>
      </c>
      <c r="C2681" s="67"/>
      <c r="D2681" s="68">
        <v>0</v>
      </c>
      <c r="E2681" s="110">
        <f t="shared" si="42"/>
        <v>37193</v>
      </c>
      <c r="F2681" s="69">
        <v>6.3483927665850311E-3</v>
      </c>
    </row>
    <row r="2682" spans="1:6" x14ac:dyDescent="0.3">
      <c r="A2682" s="24">
        <v>37560</v>
      </c>
      <c r="B2682" s="66">
        <v>441.30100000000004</v>
      </c>
      <c r="C2682" s="67"/>
      <c r="D2682" s="68">
        <v>0</v>
      </c>
      <c r="E2682" s="110">
        <f t="shared" si="42"/>
        <v>37193</v>
      </c>
      <c r="F2682" s="69">
        <v>6.3483927665850311E-3</v>
      </c>
    </row>
    <row r="2683" spans="1:6" x14ac:dyDescent="0.3">
      <c r="A2683" s="24">
        <v>37561</v>
      </c>
      <c r="B2683" s="66">
        <v>441.30100000000004</v>
      </c>
      <c r="C2683" s="67"/>
      <c r="D2683" s="68">
        <v>0</v>
      </c>
      <c r="E2683" s="110">
        <f t="shared" si="42"/>
        <v>37193</v>
      </c>
      <c r="F2683" s="69">
        <v>6.3483927665850311E-3</v>
      </c>
    </row>
    <row r="2684" spans="1:6" x14ac:dyDescent="0.3">
      <c r="A2684" s="24">
        <v>37562</v>
      </c>
      <c r="B2684" s="66">
        <v>441.30100000000004</v>
      </c>
      <c r="C2684" s="67"/>
      <c r="D2684" s="68">
        <v>0</v>
      </c>
      <c r="E2684" s="110">
        <f t="shared" si="42"/>
        <v>37193</v>
      </c>
      <c r="F2684" s="69">
        <v>6.3483927665850311E-3</v>
      </c>
    </row>
    <row r="2685" spans="1:6" x14ac:dyDescent="0.3">
      <c r="A2685" s="24">
        <v>37563</v>
      </c>
      <c r="B2685" s="66">
        <v>441.30100000000004</v>
      </c>
      <c r="C2685" s="67"/>
      <c r="D2685" s="68">
        <v>0</v>
      </c>
      <c r="E2685" s="110">
        <f t="shared" si="42"/>
        <v>37193</v>
      </c>
      <c r="F2685" s="69">
        <v>6.3483927665850311E-3</v>
      </c>
    </row>
    <row r="2686" spans="1:6" x14ac:dyDescent="0.3">
      <c r="A2686" s="24">
        <v>37564</v>
      </c>
      <c r="B2686" s="66">
        <v>441.30100000000004</v>
      </c>
      <c r="C2686" s="67"/>
      <c r="D2686" s="68">
        <v>0</v>
      </c>
      <c r="E2686" s="110">
        <f t="shared" si="42"/>
        <v>37193</v>
      </c>
      <c r="F2686" s="69">
        <v>6.3483927665850311E-3</v>
      </c>
    </row>
    <row r="2687" spans="1:6" x14ac:dyDescent="0.3">
      <c r="A2687" s="24">
        <v>37565</v>
      </c>
      <c r="B2687" s="66">
        <v>441.30100000000004</v>
      </c>
      <c r="C2687" s="67"/>
      <c r="D2687" s="68">
        <v>0</v>
      </c>
      <c r="E2687" s="110">
        <f t="shared" si="42"/>
        <v>37193</v>
      </c>
      <c r="F2687" s="69">
        <v>6.3483927665850311E-3</v>
      </c>
    </row>
    <row r="2688" spans="1:6" x14ac:dyDescent="0.3">
      <c r="A2688" s="24">
        <v>37566</v>
      </c>
      <c r="B2688" s="66">
        <v>441.30100000000004</v>
      </c>
      <c r="C2688" s="67"/>
      <c r="D2688" s="68">
        <v>0</v>
      </c>
      <c r="E2688" s="110">
        <f t="shared" si="42"/>
        <v>37193</v>
      </c>
      <c r="F2688" s="69">
        <v>6.3483927665850311E-3</v>
      </c>
    </row>
    <row r="2689" spans="1:6" x14ac:dyDescent="0.3">
      <c r="A2689" s="24">
        <v>37567</v>
      </c>
      <c r="B2689" s="66">
        <v>441.30100000000004</v>
      </c>
      <c r="C2689" s="67"/>
      <c r="D2689" s="68">
        <v>0</v>
      </c>
      <c r="E2689" s="110">
        <f t="shared" si="42"/>
        <v>37193</v>
      </c>
      <c r="F2689" s="69">
        <v>6.3483927665850311E-3</v>
      </c>
    </row>
    <row r="2690" spans="1:6" x14ac:dyDescent="0.3">
      <c r="A2690" s="24">
        <v>37568</v>
      </c>
      <c r="B2690" s="66">
        <v>441.30100000000004</v>
      </c>
      <c r="C2690" s="67"/>
      <c r="D2690" s="68">
        <v>0</v>
      </c>
      <c r="E2690" s="110">
        <f t="shared" si="42"/>
        <v>37193</v>
      </c>
      <c r="F2690" s="69">
        <v>6.3483927665850311E-3</v>
      </c>
    </row>
    <row r="2691" spans="1:6" x14ac:dyDescent="0.3">
      <c r="A2691" s="24">
        <v>37569</v>
      </c>
      <c r="B2691" s="66">
        <v>441.30100000000004</v>
      </c>
      <c r="C2691" s="67"/>
      <c r="D2691" s="68">
        <v>0</v>
      </c>
      <c r="E2691" s="110">
        <f t="shared" si="42"/>
        <v>37193</v>
      </c>
      <c r="F2691" s="69">
        <v>6.3483927665850311E-3</v>
      </c>
    </row>
    <row r="2692" spans="1:6" x14ac:dyDescent="0.3">
      <c r="A2692" s="24">
        <v>37570</v>
      </c>
      <c r="B2692" s="66">
        <v>441.30100000000004</v>
      </c>
      <c r="C2692" s="67"/>
      <c r="D2692" s="68">
        <v>0</v>
      </c>
      <c r="E2692" s="110">
        <f t="shared" si="42"/>
        <v>37193</v>
      </c>
      <c r="F2692" s="69">
        <v>6.3483927665850311E-3</v>
      </c>
    </row>
    <row r="2693" spans="1:6" x14ac:dyDescent="0.3">
      <c r="A2693" s="24">
        <v>37571</v>
      </c>
      <c r="B2693" s="66">
        <v>441.30100000000004</v>
      </c>
      <c r="C2693" s="67"/>
      <c r="D2693" s="68">
        <v>0</v>
      </c>
      <c r="E2693" s="110">
        <f t="shared" si="42"/>
        <v>37193</v>
      </c>
      <c r="F2693" s="69">
        <v>6.3483927665850311E-3</v>
      </c>
    </row>
    <row r="2694" spans="1:6" x14ac:dyDescent="0.3">
      <c r="A2694" s="24">
        <v>37572</v>
      </c>
      <c r="B2694" s="66">
        <v>441.30100000000004</v>
      </c>
      <c r="C2694" s="67"/>
      <c r="D2694" s="68">
        <v>0</v>
      </c>
      <c r="E2694" s="110">
        <f t="shared" si="42"/>
        <v>37193</v>
      </c>
      <c r="F2694" s="69">
        <v>6.3483927665850311E-3</v>
      </c>
    </row>
    <row r="2695" spans="1:6" x14ac:dyDescent="0.3">
      <c r="A2695" s="24">
        <v>37573</v>
      </c>
      <c r="B2695" s="66">
        <v>441.30100000000004</v>
      </c>
      <c r="C2695" s="67"/>
      <c r="D2695" s="68">
        <v>0</v>
      </c>
      <c r="E2695" s="110">
        <f t="shared" si="42"/>
        <v>37193</v>
      </c>
      <c r="F2695" s="69">
        <v>6.3483927665850311E-3</v>
      </c>
    </row>
    <row r="2696" spans="1:6" x14ac:dyDescent="0.3">
      <c r="A2696" s="24">
        <v>37574</v>
      </c>
      <c r="B2696" s="66">
        <v>441.30100000000004</v>
      </c>
      <c r="C2696" s="67"/>
      <c r="D2696" s="68">
        <v>0</v>
      </c>
      <c r="E2696" s="110">
        <f t="shared" si="42"/>
        <v>37193</v>
      </c>
      <c r="F2696" s="69">
        <v>6.3483927665850311E-3</v>
      </c>
    </row>
    <row r="2697" spans="1:6" x14ac:dyDescent="0.3">
      <c r="A2697" s="24">
        <v>37575</v>
      </c>
      <c r="B2697" s="66">
        <v>441.30100000000004</v>
      </c>
      <c r="C2697" s="67"/>
      <c r="D2697" s="68">
        <v>0</v>
      </c>
      <c r="E2697" s="110">
        <f t="shared" si="42"/>
        <v>37193</v>
      </c>
      <c r="F2697" s="69">
        <v>6.3483927665850311E-3</v>
      </c>
    </row>
    <row r="2698" spans="1:6" x14ac:dyDescent="0.3">
      <c r="A2698" s="24">
        <v>37576</v>
      </c>
      <c r="B2698" s="66">
        <v>441.30100000000004</v>
      </c>
      <c r="C2698" s="67"/>
      <c r="D2698" s="68">
        <v>0</v>
      </c>
      <c r="E2698" s="110">
        <f t="shared" si="42"/>
        <v>37193</v>
      </c>
      <c r="F2698" s="69">
        <v>6.3483927665850311E-3</v>
      </c>
    </row>
    <row r="2699" spans="1:6" x14ac:dyDescent="0.3">
      <c r="A2699" s="24">
        <v>37577</v>
      </c>
      <c r="B2699" s="66">
        <v>441.30100000000004</v>
      </c>
      <c r="C2699" s="67"/>
      <c r="D2699" s="68">
        <v>0</v>
      </c>
      <c r="E2699" s="110">
        <f t="shared" si="42"/>
        <v>37193</v>
      </c>
      <c r="F2699" s="69">
        <v>6.3483927665850311E-3</v>
      </c>
    </row>
    <row r="2700" spans="1:6" x14ac:dyDescent="0.3">
      <c r="A2700" s="24">
        <v>37578</v>
      </c>
      <c r="B2700" s="66">
        <v>441.30100000000004</v>
      </c>
      <c r="C2700" s="67"/>
      <c r="D2700" s="68">
        <v>0</v>
      </c>
      <c r="E2700" s="110">
        <f t="shared" si="42"/>
        <v>37193</v>
      </c>
      <c r="F2700" s="69">
        <v>6.3483927665850311E-3</v>
      </c>
    </row>
    <row r="2701" spans="1:6" x14ac:dyDescent="0.3">
      <c r="A2701" s="24">
        <v>37579</v>
      </c>
      <c r="B2701" s="66">
        <v>441.30100000000004</v>
      </c>
      <c r="C2701" s="67"/>
      <c r="D2701" s="68">
        <v>0</v>
      </c>
      <c r="E2701" s="110">
        <f t="shared" si="42"/>
        <v>37193</v>
      </c>
      <c r="F2701" s="69">
        <v>6.3483927665850311E-3</v>
      </c>
    </row>
    <row r="2702" spans="1:6" x14ac:dyDescent="0.3">
      <c r="A2702" s="24">
        <v>37580</v>
      </c>
      <c r="B2702" s="66">
        <v>441.30100000000004</v>
      </c>
      <c r="C2702" s="67"/>
      <c r="D2702" s="68">
        <v>0</v>
      </c>
      <c r="E2702" s="110">
        <f t="shared" si="42"/>
        <v>37193</v>
      </c>
      <c r="F2702" s="69">
        <v>6.3483927665850311E-3</v>
      </c>
    </row>
    <row r="2703" spans="1:6" x14ac:dyDescent="0.3">
      <c r="A2703" s="24">
        <v>37581</v>
      </c>
      <c r="B2703" s="66">
        <v>441.30100000000004</v>
      </c>
      <c r="C2703" s="67"/>
      <c r="D2703" s="68">
        <v>0</v>
      </c>
      <c r="E2703" s="110">
        <f t="shared" si="42"/>
        <v>37193</v>
      </c>
      <c r="F2703" s="69">
        <v>6.3483927665850311E-3</v>
      </c>
    </row>
    <row r="2704" spans="1:6" x14ac:dyDescent="0.3">
      <c r="A2704" s="24">
        <v>37582</v>
      </c>
      <c r="B2704" s="66">
        <v>441.30100000000004</v>
      </c>
      <c r="C2704" s="67"/>
      <c r="D2704" s="68">
        <v>0</v>
      </c>
      <c r="E2704" s="110">
        <f t="shared" si="42"/>
        <v>37193</v>
      </c>
      <c r="F2704" s="69">
        <v>6.3483927665850311E-3</v>
      </c>
    </row>
    <row r="2705" spans="1:6" x14ac:dyDescent="0.3">
      <c r="A2705" s="24">
        <v>37583</v>
      </c>
      <c r="B2705" s="66">
        <v>441.30100000000004</v>
      </c>
      <c r="C2705" s="67"/>
      <c r="D2705" s="68">
        <v>0</v>
      </c>
      <c r="E2705" s="110">
        <f t="shared" si="42"/>
        <v>37193</v>
      </c>
      <c r="F2705" s="69">
        <v>6.3483927665850311E-3</v>
      </c>
    </row>
    <row r="2706" spans="1:6" x14ac:dyDescent="0.3">
      <c r="A2706" s="24">
        <v>37584</v>
      </c>
      <c r="B2706" s="66">
        <v>441.30100000000004</v>
      </c>
      <c r="C2706" s="67"/>
      <c r="D2706" s="68">
        <v>0</v>
      </c>
      <c r="E2706" s="110">
        <f t="shared" ref="E2706:E2769" si="43">+E2705</f>
        <v>37193</v>
      </c>
      <c r="F2706" s="69">
        <v>6.3483927665850311E-3</v>
      </c>
    </row>
    <row r="2707" spans="1:6" x14ac:dyDescent="0.3">
      <c r="A2707" s="24">
        <v>37585</v>
      </c>
      <c r="B2707" s="66">
        <v>441.30100000000004</v>
      </c>
      <c r="C2707" s="67"/>
      <c r="D2707" s="68">
        <v>0</v>
      </c>
      <c r="E2707" s="110">
        <f t="shared" si="43"/>
        <v>37193</v>
      </c>
      <c r="F2707" s="69">
        <v>6.3483927665850311E-3</v>
      </c>
    </row>
    <row r="2708" spans="1:6" x14ac:dyDescent="0.3">
      <c r="A2708" s="24">
        <v>37586</v>
      </c>
      <c r="B2708" s="66">
        <v>441.30100000000004</v>
      </c>
      <c r="C2708" s="67"/>
      <c r="D2708" s="68">
        <v>0</v>
      </c>
      <c r="E2708" s="110">
        <f t="shared" si="43"/>
        <v>37193</v>
      </c>
      <c r="F2708" s="69">
        <v>6.3483927665850311E-3</v>
      </c>
    </row>
    <row r="2709" spans="1:6" x14ac:dyDescent="0.3">
      <c r="A2709" s="24">
        <v>37587</v>
      </c>
      <c r="B2709" s="66">
        <v>441.30100000000004</v>
      </c>
      <c r="C2709" s="67"/>
      <c r="D2709" s="68">
        <v>0</v>
      </c>
      <c r="E2709" s="110">
        <f t="shared" si="43"/>
        <v>37193</v>
      </c>
      <c r="F2709" s="69">
        <v>6.3483927665850311E-3</v>
      </c>
    </row>
    <row r="2710" spans="1:6" x14ac:dyDescent="0.3">
      <c r="A2710" s="24">
        <v>37588</v>
      </c>
      <c r="B2710" s="66">
        <v>441.30100000000004</v>
      </c>
      <c r="C2710" s="67"/>
      <c r="D2710" s="68">
        <v>0</v>
      </c>
      <c r="E2710" s="110">
        <f t="shared" si="43"/>
        <v>37193</v>
      </c>
      <c r="F2710" s="69">
        <v>6.3483927665850311E-3</v>
      </c>
    </row>
    <row r="2711" spans="1:6" x14ac:dyDescent="0.3">
      <c r="A2711" s="24">
        <v>37589</v>
      </c>
      <c r="B2711" s="66">
        <v>441.30100000000004</v>
      </c>
      <c r="C2711" s="67"/>
      <c r="D2711" s="68">
        <v>0</v>
      </c>
      <c r="E2711" s="110">
        <f t="shared" si="43"/>
        <v>37193</v>
      </c>
      <c r="F2711" s="69">
        <v>6.3483927665850311E-3</v>
      </c>
    </row>
    <row r="2712" spans="1:6" x14ac:dyDescent="0.3">
      <c r="A2712" s="24">
        <v>37590</v>
      </c>
      <c r="B2712" s="66">
        <v>441.30100000000004</v>
      </c>
      <c r="C2712" s="67"/>
      <c r="D2712" s="68">
        <v>0</v>
      </c>
      <c r="E2712" s="110">
        <f t="shared" si="43"/>
        <v>37193</v>
      </c>
      <c r="F2712" s="69">
        <v>6.3483927665850311E-3</v>
      </c>
    </row>
    <row r="2713" spans="1:6" x14ac:dyDescent="0.3">
      <c r="A2713" s="24">
        <v>37591</v>
      </c>
      <c r="B2713" s="66">
        <v>441.30100000000004</v>
      </c>
      <c r="C2713" s="67"/>
      <c r="D2713" s="68">
        <v>0</v>
      </c>
      <c r="E2713" s="110">
        <f t="shared" si="43"/>
        <v>37193</v>
      </c>
      <c r="F2713" s="69">
        <v>6.3483927665850311E-3</v>
      </c>
    </row>
    <row r="2714" spans="1:6" x14ac:dyDescent="0.3">
      <c r="A2714" s="24">
        <v>37592</v>
      </c>
      <c r="B2714" s="66">
        <v>441.30100000000004</v>
      </c>
      <c r="C2714" s="67"/>
      <c r="D2714" s="68">
        <v>0</v>
      </c>
      <c r="E2714" s="110">
        <f t="shared" si="43"/>
        <v>37193</v>
      </c>
      <c r="F2714" s="69">
        <v>6.3483927665850311E-3</v>
      </c>
    </row>
    <row r="2715" spans="1:6" x14ac:dyDescent="0.3">
      <c r="A2715" s="24">
        <v>37593</v>
      </c>
      <c r="B2715" s="66">
        <v>441.30100000000004</v>
      </c>
      <c r="C2715" s="67"/>
      <c r="D2715" s="68">
        <v>0</v>
      </c>
      <c r="E2715" s="110">
        <f t="shared" si="43"/>
        <v>37193</v>
      </c>
      <c r="F2715" s="69">
        <v>6.3483927665850311E-3</v>
      </c>
    </row>
    <row r="2716" spans="1:6" x14ac:dyDescent="0.3">
      <c r="A2716" s="24">
        <v>37594</v>
      </c>
      <c r="B2716" s="66">
        <v>441.30100000000004</v>
      </c>
      <c r="C2716" s="67"/>
      <c r="D2716" s="68">
        <v>0</v>
      </c>
      <c r="E2716" s="110">
        <f t="shared" si="43"/>
        <v>37193</v>
      </c>
      <c r="F2716" s="69">
        <v>6.3483927665850311E-3</v>
      </c>
    </row>
    <row r="2717" spans="1:6" x14ac:dyDescent="0.3">
      <c r="A2717" s="24">
        <v>37595</v>
      </c>
      <c r="B2717" s="66">
        <v>441.30100000000004</v>
      </c>
      <c r="C2717" s="67"/>
      <c r="D2717" s="68">
        <v>0</v>
      </c>
      <c r="E2717" s="110">
        <f t="shared" si="43"/>
        <v>37193</v>
      </c>
      <c r="F2717" s="69">
        <v>6.3483927665850311E-3</v>
      </c>
    </row>
    <row r="2718" spans="1:6" x14ac:dyDescent="0.3">
      <c r="A2718" s="24">
        <v>37596</v>
      </c>
      <c r="B2718" s="66">
        <v>441.30100000000004</v>
      </c>
      <c r="C2718" s="67"/>
      <c r="D2718" s="68">
        <v>0</v>
      </c>
      <c r="E2718" s="110">
        <f t="shared" si="43"/>
        <v>37193</v>
      </c>
      <c r="F2718" s="69">
        <v>6.3483927665850311E-3</v>
      </c>
    </row>
    <row r="2719" spans="1:6" x14ac:dyDescent="0.3">
      <c r="A2719" s="24">
        <v>37597</v>
      </c>
      <c r="B2719" s="66">
        <v>441.30100000000004</v>
      </c>
      <c r="C2719" s="67"/>
      <c r="D2719" s="68">
        <v>0</v>
      </c>
      <c r="E2719" s="110">
        <f t="shared" si="43"/>
        <v>37193</v>
      </c>
      <c r="F2719" s="69">
        <v>6.3483927665850311E-3</v>
      </c>
    </row>
    <row r="2720" spans="1:6" x14ac:dyDescent="0.3">
      <c r="A2720" s="24">
        <v>37598</v>
      </c>
      <c r="B2720" s="66">
        <v>441.30100000000004</v>
      </c>
      <c r="C2720" s="67"/>
      <c r="D2720" s="68">
        <v>0</v>
      </c>
      <c r="E2720" s="110">
        <f t="shared" si="43"/>
        <v>37193</v>
      </c>
      <c r="F2720" s="69">
        <v>6.3483927665850311E-3</v>
      </c>
    </row>
    <row r="2721" spans="1:6" x14ac:dyDescent="0.3">
      <c r="A2721" s="24">
        <v>37599</v>
      </c>
      <c r="B2721" s="66">
        <v>441.30100000000004</v>
      </c>
      <c r="C2721" s="67"/>
      <c r="D2721" s="68">
        <v>0</v>
      </c>
      <c r="E2721" s="110">
        <f t="shared" si="43"/>
        <v>37193</v>
      </c>
      <c r="F2721" s="69">
        <v>6.3483927665850311E-3</v>
      </c>
    </row>
    <row r="2722" spans="1:6" x14ac:dyDescent="0.3">
      <c r="A2722" s="24">
        <v>37600</v>
      </c>
      <c r="B2722" s="66">
        <v>441.30100000000004</v>
      </c>
      <c r="C2722" s="67"/>
      <c r="D2722" s="68">
        <v>0</v>
      </c>
      <c r="E2722" s="110">
        <f t="shared" si="43"/>
        <v>37193</v>
      </c>
      <c r="F2722" s="69">
        <v>6.3483927665850311E-3</v>
      </c>
    </row>
    <row r="2723" spans="1:6" x14ac:dyDescent="0.3">
      <c r="A2723" s="24">
        <v>37601</v>
      </c>
      <c r="B2723" s="66">
        <v>441.30100000000004</v>
      </c>
      <c r="C2723" s="67"/>
      <c r="D2723" s="68">
        <v>0</v>
      </c>
      <c r="E2723" s="110">
        <f t="shared" si="43"/>
        <v>37193</v>
      </c>
      <c r="F2723" s="69">
        <v>6.3483927665850311E-3</v>
      </c>
    </row>
    <row r="2724" spans="1:6" x14ac:dyDescent="0.3">
      <c r="A2724" s="24">
        <v>37602</v>
      </c>
      <c r="B2724" s="66">
        <v>441.30100000000004</v>
      </c>
      <c r="C2724" s="67"/>
      <c r="D2724" s="68">
        <v>0</v>
      </c>
      <c r="E2724" s="110">
        <f t="shared" si="43"/>
        <v>37193</v>
      </c>
      <c r="F2724" s="69">
        <v>6.3483927665850311E-3</v>
      </c>
    </row>
    <row r="2725" spans="1:6" x14ac:dyDescent="0.3">
      <c r="A2725" s="24">
        <v>37603</v>
      </c>
      <c r="B2725" s="66">
        <v>441.30100000000004</v>
      </c>
      <c r="C2725" s="67"/>
      <c r="D2725" s="68">
        <v>0</v>
      </c>
      <c r="E2725" s="110">
        <f t="shared" si="43"/>
        <v>37193</v>
      </c>
      <c r="F2725" s="69">
        <v>6.3483927665850311E-3</v>
      </c>
    </row>
    <row r="2726" spans="1:6" x14ac:dyDescent="0.3">
      <c r="A2726" s="24">
        <v>37604</v>
      </c>
      <c r="B2726" s="66">
        <v>441.30100000000004</v>
      </c>
      <c r="C2726" s="67"/>
      <c r="D2726" s="68">
        <v>0</v>
      </c>
      <c r="E2726" s="110">
        <f t="shared" si="43"/>
        <v>37193</v>
      </c>
      <c r="F2726" s="69">
        <v>6.3483927665850311E-3</v>
      </c>
    </row>
    <row r="2727" spans="1:6" x14ac:dyDescent="0.3">
      <c r="A2727" s="24">
        <v>37605</v>
      </c>
      <c r="B2727" s="66">
        <v>441.30100000000004</v>
      </c>
      <c r="C2727" s="67"/>
      <c r="D2727" s="68">
        <v>0</v>
      </c>
      <c r="E2727" s="110">
        <f t="shared" si="43"/>
        <v>37193</v>
      </c>
      <c r="F2727" s="69">
        <v>6.3483927665850311E-3</v>
      </c>
    </row>
    <row r="2728" spans="1:6" x14ac:dyDescent="0.3">
      <c r="A2728" s="24">
        <v>37606</v>
      </c>
      <c r="B2728" s="66">
        <v>441.30100000000004</v>
      </c>
      <c r="C2728" s="67"/>
      <c r="D2728" s="68">
        <v>0</v>
      </c>
      <c r="E2728" s="110">
        <f t="shared" si="43"/>
        <v>37193</v>
      </c>
      <c r="F2728" s="69">
        <v>6.3483927665850311E-3</v>
      </c>
    </row>
    <row r="2729" spans="1:6" x14ac:dyDescent="0.3">
      <c r="A2729" s="24">
        <v>37607</v>
      </c>
      <c r="B2729" s="66">
        <v>441.30100000000004</v>
      </c>
      <c r="C2729" s="67"/>
      <c r="D2729" s="68">
        <v>0</v>
      </c>
      <c r="E2729" s="110">
        <f t="shared" si="43"/>
        <v>37193</v>
      </c>
      <c r="F2729" s="69">
        <v>6.3483927665850311E-3</v>
      </c>
    </row>
    <row r="2730" spans="1:6" x14ac:dyDescent="0.3">
      <c r="A2730" s="24">
        <v>37608</v>
      </c>
      <c r="B2730" s="66">
        <v>441.30100000000004</v>
      </c>
      <c r="C2730" s="67"/>
      <c r="D2730" s="68">
        <v>0</v>
      </c>
      <c r="E2730" s="110">
        <f t="shared" si="43"/>
        <v>37193</v>
      </c>
      <c r="F2730" s="69">
        <v>6.3483927665850311E-3</v>
      </c>
    </row>
    <row r="2731" spans="1:6" x14ac:dyDescent="0.3">
      <c r="A2731" s="24">
        <v>37609</v>
      </c>
      <c r="B2731" s="66">
        <v>441.30100000000004</v>
      </c>
      <c r="C2731" s="67"/>
      <c r="D2731" s="68">
        <v>0</v>
      </c>
      <c r="E2731" s="110">
        <f t="shared" si="43"/>
        <v>37193</v>
      </c>
      <c r="F2731" s="69">
        <v>6.3483927665850311E-3</v>
      </c>
    </row>
    <row r="2732" spans="1:6" x14ac:dyDescent="0.3">
      <c r="A2732" s="24">
        <v>37610</v>
      </c>
      <c r="B2732" s="66">
        <v>441.30100000000004</v>
      </c>
      <c r="C2732" s="67"/>
      <c r="D2732" s="68">
        <v>0</v>
      </c>
      <c r="E2732" s="110">
        <f t="shared" si="43"/>
        <v>37193</v>
      </c>
      <c r="F2732" s="69">
        <v>6.3483927665850311E-3</v>
      </c>
    </row>
    <row r="2733" spans="1:6" x14ac:dyDescent="0.3">
      <c r="A2733" s="24">
        <v>37611</v>
      </c>
      <c r="B2733" s="66">
        <v>441.30100000000004</v>
      </c>
      <c r="C2733" s="67"/>
      <c r="D2733" s="68">
        <v>0</v>
      </c>
      <c r="E2733" s="110">
        <f t="shared" si="43"/>
        <v>37193</v>
      </c>
      <c r="F2733" s="69">
        <v>6.3483927665850311E-3</v>
      </c>
    </row>
    <row r="2734" spans="1:6" x14ac:dyDescent="0.3">
      <c r="A2734" s="24">
        <v>37612</v>
      </c>
      <c r="B2734" s="66">
        <v>441.30100000000004</v>
      </c>
      <c r="C2734" s="67"/>
      <c r="D2734" s="68">
        <v>0</v>
      </c>
      <c r="E2734" s="110">
        <f t="shared" si="43"/>
        <v>37193</v>
      </c>
      <c r="F2734" s="69">
        <v>6.3483927665850311E-3</v>
      </c>
    </row>
    <row r="2735" spans="1:6" x14ac:dyDescent="0.3">
      <c r="A2735" s="24">
        <v>37613</v>
      </c>
      <c r="B2735" s="66">
        <v>441.30100000000004</v>
      </c>
      <c r="C2735" s="67"/>
      <c r="D2735" s="68">
        <v>0</v>
      </c>
      <c r="E2735" s="110">
        <f t="shared" si="43"/>
        <v>37193</v>
      </c>
      <c r="F2735" s="69">
        <v>6.3483927665850311E-3</v>
      </c>
    </row>
    <row r="2736" spans="1:6" x14ac:dyDescent="0.3">
      <c r="A2736" s="24">
        <v>37614</v>
      </c>
      <c r="B2736" s="66">
        <v>441.30100000000004</v>
      </c>
      <c r="C2736" s="67"/>
      <c r="D2736" s="68">
        <v>0</v>
      </c>
      <c r="E2736" s="110">
        <f t="shared" si="43"/>
        <v>37193</v>
      </c>
      <c r="F2736" s="69">
        <v>6.3483927665850311E-3</v>
      </c>
    </row>
    <row r="2737" spans="1:6" x14ac:dyDescent="0.3">
      <c r="A2737" s="24">
        <v>37615</v>
      </c>
      <c r="B2737" s="66">
        <v>441.30100000000004</v>
      </c>
      <c r="C2737" s="67"/>
      <c r="D2737" s="68">
        <v>0</v>
      </c>
      <c r="E2737" s="110">
        <f t="shared" si="43"/>
        <v>37193</v>
      </c>
      <c r="F2737" s="69">
        <v>6.3483927665850311E-3</v>
      </c>
    </row>
    <row r="2738" spans="1:6" x14ac:dyDescent="0.3">
      <c r="A2738" s="24">
        <v>37616</v>
      </c>
      <c r="B2738" s="66">
        <v>441.30100000000004</v>
      </c>
      <c r="C2738" s="67"/>
      <c r="D2738" s="68">
        <v>0</v>
      </c>
      <c r="E2738" s="110">
        <f t="shared" si="43"/>
        <v>37193</v>
      </c>
      <c r="F2738" s="69">
        <v>6.3483927665850311E-3</v>
      </c>
    </row>
    <row r="2739" spans="1:6" x14ac:dyDescent="0.3">
      <c r="A2739" s="24">
        <v>37617</v>
      </c>
      <c r="B2739" s="66">
        <v>441.30100000000004</v>
      </c>
      <c r="C2739" s="67"/>
      <c r="D2739" s="68">
        <v>0</v>
      </c>
      <c r="E2739" s="110">
        <f t="shared" si="43"/>
        <v>37193</v>
      </c>
      <c r="F2739" s="69">
        <v>6.3483927665850311E-3</v>
      </c>
    </row>
    <row r="2740" spans="1:6" x14ac:dyDescent="0.3">
      <c r="A2740" s="24">
        <v>37618</v>
      </c>
      <c r="B2740" s="66">
        <v>441.30100000000004</v>
      </c>
      <c r="C2740" s="67"/>
      <c r="D2740" s="68">
        <v>0</v>
      </c>
      <c r="E2740" s="110">
        <f t="shared" si="43"/>
        <v>37193</v>
      </c>
      <c r="F2740" s="69">
        <v>6.3483927665850311E-3</v>
      </c>
    </row>
    <row r="2741" spans="1:6" x14ac:dyDescent="0.3">
      <c r="A2741" s="24">
        <v>37619</v>
      </c>
      <c r="B2741" s="66">
        <v>441.30100000000004</v>
      </c>
      <c r="C2741" s="67"/>
      <c r="D2741" s="68">
        <v>0</v>
      </c>
      <c r="E2741" s="110">
        <f t="shared" si="43"/>
        <v>37193</v>
      </c>
      <c r="F2741" s="69">
        <v>6.3483927665850311E-3</v>
      </c>
    </row>
    <row r="2742" spans="1:6" x14ac:dyDescent="0.3">
      <c r="A2742" s="24">
        <v>37620</v>
      </c>
      <c r="B2742" s="66">
        <v>441.30100000000004</v>
      </c>
      <c r="C2742" s="67"/>
      <c r="D2742" s="68">
        <v>0</v>
      </c>
      <c r="E2742" s="110">
        <f t="shared" si="43"/>
        <v>37193</v>
      </c>
      <c r="F2742" s="69">
        <v>6.3093368671510962E-3</v>
      </c>
    </row>
    <row r="2743" spans="1:6" x14ac:dyDescent="0.3">
      <c r="A2743" s="24">
        <v>37621</v>
      </c>
      <c r="B2743" s="66">
        <v>449.37299999999993</v>
      </c>
      <c r="C2743" s="67"/>
      <c r="D2743" s="68">
        <v>0</v>
      </c>
      <c r="E2743" s="110">
        <f t="shared" si="43"/>
        <v>37193</v>
      </c>
      <c r="F2743" s="69">
        <v>6.3093368671510962E-3</v>
      </c>
    </row>
    <row r="2744" spans="1:6" x14ac:dyDescent="0.3">
      <c r="A2744" s="24">
        <v>37622</v>
      </c>
      <c r="B2744" s="66">
        <v>449.37299999999993</v>
      </c>
      <c r="C2744" s="67"/>
      <c r="D2744" s="68">
        <v>0</v>
      </c>
      <c r="E2744" s="110">
        <f t="shared" si="43"/>
        <v>37193</v>
      </c>
      <c r="F2744" s="69">
        <v>6.3093368671510962E-3</v>
      </c>
    </row>
    <row r="2745" spans="1:6" x14ac:dyDescent="0.3">
      <c r="A2745" s="24">
        <v>37623</v>
      </c>
      <c r="B2745" s="66">
        <v>449.37299999999993</v>
      </c>
      <c r="C2745" s="67"/>
      <c r="D2745" s="68">
        <v>0</v>
      </c>
      <c r="E2745" s="110">
        <f t="shared" si="43"/>
        <v>37193</v>
      </c>
      <c r="F2745" s="69">
        <v>6.3093368671510962E-3</v>
      </c>
    </row>
    <row r="2746" spans="1:6" x14ac:dyDescent="0.3">
      <c r="A2746" s="24">
        <v>37624</v>
      </c>
      <c r="B2746" s="66">
        <v>449.37299999999993</v>
      </c>
      <c r="C2746" s="67"/>
      <c r="D2746" s="68">
        <v>0</v>
      </c>
      <c r="E2746" s="110">
        <f t="shared" si="43"/>
        <v>37193</v>
      </c>
      <c r="F2746" s="69">
        <v>6.3093368671510962E-3</v>
      </c>
    </row>
    <row r="2747" spans="1:6" x14ac:dyDescent="0.3">
      <c r="A2747" s="24">
        <v>37625</v>
      </c>
      <c r="B2747" s="66">
        <v>449.37299999999993</v>
      </c>
      <c r="C2747" s="67"/>
      <c r="D2747" s="68">
        <v>0</v>
      </c>
      <c r="E2747" s="110">
        <f t="shared" si="43"/>
        <v>37193</v>
      </c>
      <c r="F2747" s="69">
        <v>6.3093368671510962E-3</v>
      </c>
    </row>
    <row r="2748" spans="1:6" x14ac:dyDescent="0.3">
      <c r="A2748" s="24">
        <v>37626</v>
      </c>
      <c r="B2748" s="66">
        <v>449.37299999999993</v>
      </c>
      <c r="C2748" s="67"/>
      <c r="D2748" s="68">
        <v>0</v>
      </c>
      <c r="E2748" s="110">
        <f t="shared" si="43"/>
        <v>37193</v>
      </c>
      <c r="F2748" s="69">
        <v>6.3093368671510962E-3</v>
      </c>
    </row>
    <row r="2749" spans="1:6" x14ac:dyDescent="0.3">
      <c r="A2749" s="24">
        <v>37627</v>
      </c>
      <c r="B2749" s="66">
        <v>449.37299999999993</v>
      </c>
      <c r="C2749" s="67"/>
      <c r="D2749" s="68">
        <v>0</v>
      </c>
      <c r="E2749" s="110">
        <f t="shared" si="43"/>
        <v>37193</v>
      </c>
      <c r="F2749" s="69">
        <v>6.3093368671510962E-3</v>
      </c>
    </row>
    <row r="2750" spans="1:6" x14ac:dyDescent="0.3">
      <c r="A2750" s="24">
        <v>37628</v>
      </c>
      <c r="B2750" s="66">
        <v>449.37299999999993</v>
      </c>
      <c r="C2750" s="67"/>
      <c r="D2750" s="68">
        <v>0</v>
      </c>
      <c r="E2750" s="110">
        <f t="shared" si="43"/>
        <v>37193</v>
      </c>
      <c r="F2750" s="69">
        <v>6.3093368671510962E-3</v>
      </c>
    </row>
    <row r="2751" spans="1:6" x14ac:dyDescent="0.3">
      <c r="A2751" s="24">
        <v>37629</v>
      </c>
      <c r="B2751" s="66">
        <v>449.37299999999993</v>
      </c>
      <c r="C2751" s="67"/>
      <c r="D2751" s="68">
        <v>0</v>
      </c>
      <c r="E2751" s="110">
        <f t="shared" si="43"/>
        <v>37193</v>
      </c>
      <c r="F2751" s="69">
        <v>6.3093368671510962E-3</v>
      </c>
    </row>
    <row r="2752" spans="1:6" x14ac:dyDescent="0.3">
      <c r="A2752" s="24">
        <v>37630</v>
      </c>
      <c r="B2752" s="66">
        <v>449.37299999999993</v>
      </c>
      <c r="C2752" s="67"/>
      <c r="D2752" s="68">
        <v>0</v>
      </c>
      <c r="E2752" s="110">
        <f t="shared" si="43"/>
        <v>37193</v>
      </c>
      <c r="F2752" s="69">
        <v>6.3093368671510962E-3</v>
      </c>
    </row>
    <row r="2753" spans="1:6" x14ac:dyDescent="0.3">
      <c r="A2753" s="24">
        <v>37631</v>
      </c>
      <c r="B2753" s="66">
        <v>449.37299999999993</v>
      </c>
      <c r="C2753" s="67"/>
      <c r="D2753" s="68">
        <v>0</v>
      </c>
      <c r="E2753" s="110">
        <f t="shared" si="43"/>
        <v>37193</v>
      </c>
      <c r="F2753" s="69">
        <v>6.3093368671510962E-3</v>
      </c>
    </row>
    <row r="2754" spans="1:6" x14ac:dyDescent="0.3">
      <c r="A2754" s="24">
        <v>37632</v>
      </c>
      <c r="B2754" s="66">
        <v>449.37299999999993</v>
      </c>
      <c r="C2754" s="67"/>
      <c r="D2754" s="68">
        <v>0</v>
      </c>
      <c r="E2754" s="110">
        <f t="shared" si="43"/>
        <v>37193</v>
      </c>
      <c r="F2754" s="69">
        <v>6.3093368671510962E-3</v>
      </c>
    </row>
    <row r="2755" spans="1:6" x14ac:dyDescent="0.3">
      <c r="A2755" s="24">
        <v>37633</v>
      </c>
      <c r="B2755" s="66">
        <v>449.37299999999993</v>
      </c>
      <c r="C2755" s="67"/>
      <c r="D2755" s="68">
        <v>0</v>
      </c>
      <c r="E2755" s="110">
        <f t="shared" si="43"/>
        <v>37193</v>
      </c>
      <c r="F2755" s="69">
        <v>6.3093368671510962E-3</v>
      </c>
    </row>
    <row r="2756" spans="1:6" x14ac:dyDescent="0.3">
      <c r="A2756" s="24">
        <v>37634</v>
      </c>
      <c r="B2756" s="66">
        <v>449.37299999999993</v>
      </c>
      <c r="C2756" s="67"/>
      <c r="D2756" s="68">
        <v>0</v>
      </c>
      <c r="E2756" s="110">
        <f t="shared" si="43"/>
        <v>37193</v>
      </c>
      <c r="F2756" s="69">
        <v>6.3093368671510962E-3</v>
      </c>
    </row>
    <row r="2757" spans="1:6" x14ac:dyDescent="0.3">
      <c r="A2757" s="24">
        <v>37635</v>
      </c>
      <c r="B2757" s="66">
        <v>449.37299999999993</v>
      </c>
      <c r="C2757" s="67"/>
      <c r="D2757" s="68">
        <v>0</v>
      </c>
      <c r="E2757" s="110">
        <f t="shared" si="43"/>
        <v>37193</v>
      </c>
      <c r="F2757" s="69">
        <v>6.3093368671510962E-3</v>
      </c>
    </row>
    <row r="2758" spans="1:6" x14ac:dyDescent="0.3">
      <c r="A2758" s="24">
        <v>37636</v>
      </c>
      <c r="B2758" s="66">
        <v>449.37299999999993</v>
      </c>
      <c r="C2758" s="67"/>
      <c r="D2758" s="68">
        <v>0</v>
      </c>
      <c r="E2758" s="110">
        <f t="shared" si="43"/>
        <v>37193</v>
      </c>
      <c r="F2758" s="69">
        <v>6.3093368671510962E-3</v>
      </c>
    </row>
    <row r="2759" spans="1:6" x14ac:dyDescent="0.3">
      <c r="A2759" s="24">
        <v>37637</v>
      </c>
      <c r="B2759" s="66">
        <v>449.37299999999993</v>
      </c>
      <c r="C2759" s="67"/>
      <c r="D2759" s="68">
        <v>0</v>
      </c>
      <c r="E2759" s="110">
        <f t="shared" si="43"/>
        <v>37193</v>
      </c>
      <c r="F2759" s="69">
        <v>6.3093368671510962E-3</v>
      </c>
    </row>
    <row r="2760" spans="1:6" x14ac:dyDescent="0.3">
      <c r="A2760" s="24">
        <v>37638</v>
      </c>
      <c r="B2760" s="66">
        <v>449.37299999999993</v>
      </c>
      <c r="C2760" s="67"/>
      <c r="D2760" s="68">
        <v>0</v>
      </c>
      <c r="E2760" s="110">
        <f t="shared" si="43"/>
        <v>37193</v>
      </c>
      <c r="F2760" s="69">
        <v>6.3093368671510962E-3</v>
      </c>
    </row>
    <row r="2761" spans="1:6" x14ac:dyDescent="0.3">
      <c r="A2761" s="24">
        <v>37639</v>
      </c>
      <c r="B2761" s="66">
        <v>449.37299999999993</v>
      </c>
      <c r="C2761" s="67"/>
      <c r="D2761" s="68">
        <v>0</v>
      </c>
      <c r="E2761" s="110">
        <f t="shared" si="43"/>
        <v>37193</v>
      </c>
      <c r="F2761" s="69">
        <v>6.3093368671510962E-3</v>
      </c>
    </row>
    <row r="2762" spans="1:6" x14ac:dyDescent="0.3">
      <c r="A2762" s="24">
        <v>37640</v>
      </c>
      <c r="B2762" s="66">
        <v>449.37299999999993</v>
      </c>
      <c r="C2762" s="67"/>
      <c r="D2762" s="68">
        <v>0</v>
      </c>
      <c r="E2762" s="110">
        <f t="shared" si="43"/>
        <v>37193</v>
      </c>
      <c r="F2762" s="69">
        <v>6.3093368671510962E-3</v>
      </c>
    </row>
    <row r="2763" spans="1:6" x14ac:dyDescent="0.3">
      <c r="A2763" s="24">
        <v>37641</v>
      </c>
      <c r="B2763" s="66">
        <v>449.37299999999993</v>
      </c>
      <c r="C2763" s="67"/>
      <c r="D2763" s="68">
        <v>0</v>
      </c>
      <c r="E2763" s="110">
        <f t="shared" si="43"/>
        <v>37193</v>
      </c>
      <c r="F2763" s="69">
        <v>6.3093368671510962E-3</v>
      </c>
    </row>
    <row r="2764" spans="1:6" x14ac:dyDescent="0.3">
      <c r="A2764" s="24">
        <v>37642</v>
      </c>
      <c r="B2764" s="66">
        <v>449.37299999999993</v>
      </c>
      <c r="C2764" s="67"/>
      <c r="D2764" s="68">
        <v>0</v>
      </c>
      <c r="E2764" s="110">
        <f t="shared" si="43"/>
        <v>37193</v>
      </c>
      <c r="F2764" s="69">
        <v>6.3093368671510962E-3</v>
      </c>
    </row>
    <row r="2765" spans="1:6" x14ac:dyDescent="0.3">
      <c r="A2765" s="24">
        <v>37643</v>
      </c>
      <c r="B2765" s="66">
        <v>449.37299999999993</v>
      </c>
      <c r="C2765" s="67"/>
      <c r="D2765" s="68">
        <v>0</v>
      </c>
      <c r="E2765" s="110">
        <f t="shared" si="43"/>
        <v>37193</v>
      </c>
      <c r="F2765" s="69">
        <v>6.3093368671510962E-3</v>
      </c>
    </row>
    <row r="2766" spans="1:6" x14ac:dyDescent="0.3">
      <c r="A2766" s="24">
        <v>37644</v>
      </c>
      <c r="B2766" s="66">
        <v>449.37299999999993</v>
      </c>
      <c r="C2766" s="67"/>
      <c r="D2766" s="68">
        <v>0</v>
      </c>
      <c r="E2766" s="110">
        <f t="shared" si="43"/>
        <v>37193</v>
      </c>
      <c r="F2766" s="69">
        <v>6.3093368671510962E-3</v>
      </c>
    </row>
    <row r="2767" spans="1:6" x14ac:dyDescent="0.3">
      <c r="A2767" s="24">
        <v>37645</v>
      </c>
      <c r="B2767" s="66">
        <v>449.37299999999993</v>
      </c>
      <c r="C2767" s="67"/>
      <c r="D2767" s="68">
        <v>0</v>
      </c>
      <c r="E2767" s="110">
        <f t="shared" si="43"/>
        <v>37193</v>
      </c>
      <c r="F2767" s="69">
        <v>6.3093368671510962E-3</v>
      </c>
    </row>
    <row r="2768" spans="1:6" x14ac:dyDescent="0.3">
      <c r="A2768" s="24">
        <v>37646</v>
      </c>
      <c r="B2768" s="66">
        <v>449.37299999999993</v>
      </c>
      <c r="C2768" s="67"/>
      <c r="D2768" s="68">
        <v>0</v>
      </c>
      <c r="E2768" s="110">
        <f t="shared" si="43"/>
        <v>37193</v>
      </c>
      <c r="F2768" s="69">
        <v>6.3093368671510962E-3</v>
      </c>
    </row>
    <row r="2769" spans="1:6" x14ac:dyDescent="0.3">
      <c r="A2769" s="24">
        <v>37647</v>
      </c>
      <c r="B2769" s="66">
        <v>449.37299999999993</v>
      </c>
      <c r="C2769" s="67"/>
      <c r="D2769" s="68">
        <v>0</v>
      </c>
      <c r="E2769" s="110">
        <f t="shared" si="43"/>
        <v>37193</v>
      </c>
      <c r="F2769" s="69">
        <v>6.3093368671510962E-3</v>
      </c>
    </row>
    <row r="2770" spans="1:6" x14ac:dyDescent="0.3">
      <c r="A2770" s="24">
        <v>37648</v>
      </c>
      <c r="B2770" s="66">
        <v>449.37299999999993</v>
      </c>
      <c r="C2770" s="67"/>
      <c r="D2770" s="68">
        <v>0</v>
      </c>
      <c r="E2770" s="110">
        <f t="shared" ref="E2770:E2833" si="44">+E2769</f>
        <v>37193</v>
      </c>
      <c r="F2770" s="69">
        <v>6.3093368671510962E-3</v>
      </c>
    </row>
    <row r="2771" spans="1:6" x14ac:dyDescent="0.3">
      <c r="A2771" s="24">
        <v>37649</v>
      </c>
      <c r="B2771" s="66">
        <v>449.37299999999993</v>
      </c>
      <c r="C2771" s="67"/>
      <c r="D2771" s="68">
        <v>0</v>
      </c>
      <c r="E2771" s="110">
        <f t="shared" si="44"/>
        <v>37193</v>
      </c>
      <c r="F2771" s="69">
        <v>6.3093368671510962E-3</v>
      </c>
    </row>
    <row r="2772" spans="1:6" x14ac:dyDescent="0.3">
      <c r="A2772" s="24">
        <v>37650</v>
      </c>
      <c r="B2772" s="66">
        <v>449.37299999999993</v>
      </c>
      <c r="C2772" s="67"/>
      <c r="D2772" s="68">
        <v>0</v>
      </c>
      <c r="E2772" s="110">
        <f t="shared" si="44"/>
        <v>37193</v>
      </c>
      <c r="F2772" s="69">
        <v>6.3093368671510962E-3</v>
      </c>
    </row>
    <row r="2773" spans="1:6" x14ac:dyDescent="0.3">
      <c r="A2773" s="24">
        <v>37651</v>
      </c>
      <c r="B2773" s="66">
        <v>449.37299999999993</v>
      </c>
      <c r="C2773" s="67"/>
      <c r="D2773" s="68">
        <v>0</v>
      </c>
      <c r="E2773" s="110">
        <f t="shared" si="44"/>
        <v>37193</v>
      </c>
      <c r="F2773" s="69">
        <v>6.3093368671510962E-3</v>
      </c>
    </row>
    <row r="2774" spans="1:6" x14ac:dyDescent="0.3">
      <c r="A2774" s="24">
        <v>37652</v>
      </c>
      <c r="B2774" s="66">
        <v>449.37299999999993</v>
      </c>
      <c r="C2774" s="67"/>
      <c r="D2774" s="68">
        <v>0</v>
      </c>
      <c r="E2774" s="110">
        <f t="shared" si="44"/>
        <v>37193</v>
      </c>
      <c r="F2774" s="69">
        <v>6.3093368671510962E-3</v>
      </c>
    </row>
    <row r="2775" spans="1:6" x14ac:dyDescent="0.3">
      <c r="A2775" s="24">
        <v>37653</v>
      </c>
      <c r="B2775" s="66">
        <v>449.37299999999993</v>
      </c>
      <c r="C2775" s="67"/>
      <c r="D2775" s="68">
        <v>0</v>
      </c>
      <c r="E2775" s="110">
        <f t="shared" si="44"/>
        <v>37193</v>
      </c>
      <c r="F2775" s="69">
        <v>6.3093368671510962E-3</v>
      </c>
    </row>
    <row r="2776" spans="1:6" x14ac:dyDescent="0.3">
      <c r="A2776" s="24">
        <v>37654</v>
      </c>
      <c r="B2776" s="66">
        <v>449.37299999999993</v>
      </c>
      <c r="C2776" s="67"/>
      <c r="D2776" s="68">
        <v>0</v>
      </c>
      <c r="E2776" s="110">
        <f t="shared" si="44"/>
        <v>37193</v>
      </c>
      <c r="F2776" s="69">
        <v>6.3093368671510962E-3</v>
      </c>
    </row>
    <row r="2777" spans="1:6" x14ac:dyDescent="0.3">
      <c r="A2777" s="24">
        <v>37655</v>
      </c>
      <c r="B2777" s="66">
        <v>449.37299999999993</v>
      </c>
      <c r="C2777" s="67"/>
      <c r="D2777" s="68">
        <v>0</v>
      </c>
      <c r="E2777" s="110">
        <f t="shared" si="44"/>
        <v>37193</v>
      </c>
      <c r="F2777" s="69">
        <v>6.3093368671510962E-3</v>
      </c>
    </row>
    <row r="2778" spans="1:6" x14ac:dyDescent="0.3">
      <c r="A2778" s="24">
        <v>37656</v>
      </c>
      <c r="B2778" s="66">
        <v>449.37299999999993</v>
      </c>
      <c r="C2778" s="67"/>
      <c r="D2778" s="68">
        <v>0</v>
      </c>
      <c r="E2778" s="110">
        <f t="shared" si="44"/>
        <v>37193</v>
      </c>
      <c r="F2778" s="69">
        <v>6.3093368671510962E-3</v>
      </c>
    </row>
    <row r="2779" spans="1:6" x14ac:dyDescent="0.3">
      <c r="A2779" s="24">
        <v>37657</v>
      </c>
      <c r="B2779" s="66">
        <v>449.37299999999993</v>
      </c>
      <c r="C2779" s="67"/>
      <c r="D2779" s="68">
        <v>0</v>
      </c>
      <c r="E2779" s="110">
        <f t="shared" si="44"/>
        <v>37193</v>
      </c>
      <c r="F2779" s="69">
        <v>6.3093368671510962E-3</v>
      </c>
    </row>
    <row r="2780" spans="1:6" x14ac:dyDescent="0.3">
      <c r="A2780" s="24">
        <v>37658</v>
      </c>
      <c r="B2780" s="66">
        <v>449.37299999999993</v>
      </c>
      <c r="C2780" s="67"/>
      <c r="D2780" s="68">
        <v>0</v>
      </c>
      <c r="E2780" s="110">
        <f t="shared" si="44"/>
        <v>37193</v>
      </c>
      <c r="F2780" s="69">
        <v>6.3093368671510962E-3</v>
      </c>
    </row>
    <row r="2781" spans="1:6" x14ac:dyDescent="0.3">
      <c r="A2781" s="24">
        <v>37659</v>
      </c>
      <c r="B2781" s="66">
        <v>449.37299999999993</v>
      </c>
      <c r="C2781" s="67"/>
      <c r="D2781" s="68">
        <v>0</v>
      </c>
      <c r="E2781" s="110">
        <f t="shared" si="44"/>
        <v>37193</v>
      </c>
      <c r="F2781" s="69">
        <v>6.3093368671510962E-3</v>
      </c>
    </row>
    <row r="2782" spans="1:6" x14ac:dyDescent="0.3">
      <c r="A2782" s="24">
        <v>37660</v>
      </c>
      <c r="B2782" s="66">
        <v>449.37299999999993</v>
      </c>
      <c r="C2782" s="67"/>
      <c r="D2782" s="68">
        <v>0</v>
      </c>
      <c r="E2782" s="110">
        <f t="shared" si="44"/>
        <v>37193</v>
      </c>
      <c r="F2782" s="69">
        <v>6.3093368671510962E-3</v>
      </c>
    </row>
    <row r="2783" spans="1:6" x14ac:dyDescent="0.3">
      <c r="A2783" s="24">
        <v>37661</v>
      </c>
      <c r="B2783" s="66">
        <v>449.37299999999993</v>
      </c>
      <c r="C2783" s="67"/>
      <c r="D2783" s="68">
        <v>0</v>
      </c>
      <c r="E2783" s="110">
        <f t="shared" si="44"/>
        <v>37193</v>
      </c>
      <c r="F2783" s="69">
        <v>6.3093368671510962E-3</v>
      </c>
    </row>
    <row r="2784" spans="1:6" x14ac:dyDescent="0.3">
      <c r="A2784" s="24">
        <v>37662</v>
      </c>
      <c r="B2784" s="66">
        <v>449.37299999999993</v>
      </c>
      <c r="C2784" s="67"/>
      <c r="D2784" s="68">
        <v>0</v>
      </c>
      <c r="E2784" s="110">
        <f t="shared" si="44"/>
        <v>37193</v>
      </c>
      <c r="F2784" s="69">
        <v>6.3093368671510962E-3</v>
      </c>
    </row>
    <row r="2785" spans="1:6" x14ac:dyDescent="0.3">
      <c r="A2785" s="24">
        <v>37663</v>
      </c>
      <c r="B2785" s="66">
        <v>449.37299999999993</v>
      </c>
      <c r="C2785" s="67"/>
      <c r="D2785" s="68">
        <v>0</v>
      </c>
      <c r="E2785" s="110">
        <f t="shared" si="44"/>
        <v>37193</v>
      </c>
      <c r="F2785" s="69">
        <v>6.3093368671510962E-3</v>
      </c>
    </row>
    <row r="2786" spans="1:6" x14ac:dyDescent="0.3">
      <c r="A2786" s="24">
        <v>37664</v>
      </c>
      <c r="B2786" s="66">
        <v>449.37299999999993</v>
      </c>
      <c r="C2786" s="67"/>
      <c r="D2786" s="68">
        <v>0</v>
      </c>
      <c r="E2786" s="110">
        <f t="shared" si="44"/>
        <v>37193</v>
      </c>
      <c r="F2786" s="69">
        <v>6.3093368671510962E-3</v>
      </c>
    </row>
    <row r="2787" spans="1:6" x14ac:dyDescent="0.3">
      <c r="A2787" s="24">
        <v>37665</v>
      </c>
      <c r="B2787" s="66">
        <v>449.37299999999993</v>
      </c>
      <c r="C2787" s="67"/>
      <c r="D2787" s="68">
        <v>0</v>
      </c>
      <c r="E2787" s="110">
        <f t="shared" si="44"/>
        <v>37193</v>
      </c>
      <c r="F2787" s="69">
        <v>6.3093368671510962E-3</v>
      </c>
    </row>
    <row r="2788" spans="1:6" x14ac:dyDescent="0.3">
      <c r="A2788" s="24">
        <v>37666</v>
      </c>
      <c r="B2788" s="66">
        <v>449.37299999999993</v>
      </c>
      <c r="C2788" s="67"/>
      <c r="D2788" s="68">
        <v>0</v>
      </c>
      <c r="E2788" s="110">
        <f t="shared" si="44"/>
        <v>37193</v>
      </c>
      <c r="F2788" s="69">
        <v>6.3093368671510962E-3</v>
      </c>
    </row>
    <row r="2789" spans="1:6" x14ac:dyDescent="0.3">
      <c r="A2789" s="24">
        <v>37667</v>
      </c>
      <c r="B2789" s="66">
        <v>449.37299999999993</v>
      </c>
      <c r="C2789" s="67"/>
      <c r="D2789" s="68">
        <v>0</v>
      </c>
      <c r="E2789" s="110">
        <f t="shared" si="44"/>
        <v>37193</v>
      </c>
      <c r="F2789" s="69">
        <v>6.3093368671510962E-3</v>
      </c>
    </row>
    <row r="2790" spans="1:6" x14ac:dyDescent="0.3">
      <c r="A2790" s="24">
        <v>37668</v>
      </c>
      <c r="B2790" s="66">
        <v>449.37299999999993</v>
      </c>
      <c r="C2790" s="67"/>
      <c r="D2790" s="68">
        <v>0</v>
      </c>
      <c r="E2790" s="110">
        <f t="shared" si="44"/>
        <v>37193</v>
      </c>
      <c r="F2790" s="69">
        <v>6.3093368671510962E-3</v>
      </c>
    </row>
    <row r="2791" spans="1:6" x14ac:dyDescent="0.3">
      <c r="A2791" s="24">
        <v>37669</v>
      </c>
      <c r="B2791" s="66">
        <v>449.37299999999993</v>
      </c>
      <c r="C2791" s="67"/>
      <c r="D2791" s="68">
        <v>0</v>
      </c>
      <c r="E2791" s="110">
        <f t="shared" si="44"/>
        <v>37193</v>
      </c>
      <c r="F2791" s="69">
        <v>6.3093368671510962E-3</v>
      </c>
    </row>
    <row r="2792" spans="1:6" x14ac:dyDescent="0.3">
      <c r="A2792" s="24">
        <v>37670</v>
      </c>
      <c r="B2792" s="66">
        <v>449.37299999999993</v>
      </c>
      <c r="C2792" s="67"/>
      <c r="D2792" s="68">
        <v>0</v>
      </c>
      <c r="E2792" s="110">
        <f t="shared" si="44"/>
        <v>37193</v>
      </c>
      <c r="F2792" s="69">
        <v>6.3093368671510962E-3</v>
      </c>
    </row>
    <row r="2793" spans="1:6" x14ac:dyDescent="0.3">
      <c r="A2793" s="24">
        <v>37671</v>
      </c>
      <c r="B2793" s="66">
        <v>449.37299999999993</v>
      </c>
      <c r="C2793" s="67"/>
      <c r="D2793" s="68">
        <v>0</v>
      </c>
      <c r="E2793" s="110">
        <f t="shared" si="44"/>
        <v>37193</v>
      </c>
      <c r="F2793" s="69">
        <v>6.3093368671510962E-3</v>
      </c>
    </row>
    <row r="2794" spans="1:6" x14ac:dyDescent="0.3">
      <c r="A2794" s="24">
        <v>37672</v>
      </c>
      <c r="B2794" s="66">
        <v>449.37299999999993</v>
      </c>
      <c r="C2794" s="67"/>
      <c r="D2794" s="68">
        <v>0</v>
      </c>
      <c r="E2794" s="110">
        <f t="shared" si="44"/>
        <v>37193</v>
      </c>
      <c r="F2794" s="69">
        <v>6.3093368671510962E-3</v>
      </c>
    </row>
    <row r="2795" spans="1:6" x14ac:dyDescent="0.3">
      <c r="A2795" s="24">
        <v>37673</v>
      </c>
      <c r="B2795" s="66">
        <v>449.37299999999993</v>
      </c>
      <c r="C2795" s="67"/>
      <c r="D2795" s="68">
        <v>0</v>
      </c>
      <c r="E2795" s="110">
        <f t="shared" si="44"/>
        <v>37193</v>
      </c>
      <c r="F2795" s="69">
        <v>6.3093368671510962E-3</v>
      </c>
    </row>
    <row r="2796" spans="1:6" x14ac:dyDescent="0.3">
      <c r="A2796" s="24">
        <v>37674</v>
      </c>
      <c r="B2796" s="66">
        <v>449.37299999999993</v>
      </c>
      <c r="C2796" s="67"/>
      <c r="D2796" s="68">
        <v>0</v>
      </c>
      <c r="E2796" s="110">
        <f t="shared" si="44"/>
        <v>37193</v>
      </c>
      <c r="F2796" s="69">
        <v>6.3093368671510962E-3</v>
      </c>
    </row>
    <row r="2797" spans="1:6" x14ac:dyDescent="0.3">
      <c r="A2797" s="24">
        <v>37675</v>
      </c>
      <c r="B2797" s="66">
        <v>449.37299999999993</v>
      </c>
      <c r="C2797" s="67"/>
      <c r="D2797" s="68">
        <v>0</v>
      </c>
      <c r="E2797" s="110">
        <f t="shared" si="44"/>
        <v>37193</v>
      </c>
      <c r="F2797" s="69">
        <v>6.3093368671510962E-3</v>
      </c>
    </row>
    <row r="2798" spans="1:6" x14ac:dyDescent="0.3">
      <c r="A2798" s="24">
        <v>37676</v>
      </c>
      <c r="B2798" s="66">
        <v>449.37299999999993</v>
      </c>
      <c r="C2798" s="67"/>
      <c r="D2798" s="68">
        <v>0</v>
      </c>
      <c r="E2798" s="110">
        <f t="shared" si="44"/>
        <v>37193</v>
      </c>
      <c r="F2798" s="69">
        <v>6.3093368671510962E-3</v>
      </c>
    </row>
    <row r="2799" spans="1:6" x14ac:dyDescent="0.3">
      <c r="A2799" s="24">
        <v>37677</v>
      </c>
      <c r="B2799" s="66">
        <v>449.37299999999993</v>
      </c>
      <c r="C2799" s="67"/>
      <c r="D2799" s="68">
        <v>0</v>
      </c>
      <c r="E2799" s="110">
        <f t="shared" si="44"/>
        <v>37193</v>
      </c>
      <c r="F2799" s="69">
        <v>6.3093368671510962E-3</v>
      </c>
    </row>
    <row r="2800" spans="1:6" x14ac:dyDescent="0.3">
      <c r="A2800" s="24">
        <v>37678</v>
      </c>
      <c r="B2800" s="66">
        <v>449.37299999999993</v>
      </c>
      <c r="C2800" s="67"/>
      <c r="D2800" s="68">
        <v>0</v>
      </c>
      <c r="E2800" s="110">
        <f t="shared" si="44"/>
        <v>37193</v>
      </c>
      <c r="F2800" s="69">
        <v>6.3093368671510962E-3</v>
      </c>
    </row>
    <row r="2801" spans="1:6" x14ac:dyDescent="0.3">
      <c r="A2801" s="24">
        <v>37679</v>
      </c>
      <c r="B2801" s="66">
        <v>449.37299999999993</v>
      </c>
      <c r="C2801" s="67"/>
      <c r="D2801" s="68">
        <v>0</v>
      </c>
      <c r="E2801" s="110">
        <f t="shared" si="44"/>
        <v>37193</v>
      </c>
      <c r="F2801" s="69">
        <v>6.3093368671510962E-3</v>
      </c>
    </row>
    <row r="2802" spans="1:6" x14ac:dyDescent="0.3">
      <c r="A2802" s="24">
        <v>37680</v>
      </c>
      <c r="B2802" s="66">
        <v>449.37299999999993</v>
      </c>
      <c r="C2802" s="67"/>
      <c r="D2802" s="68">
        <v>0</v>
      </c>
      <c r="E2802" s="110">
        <f t="shared" si="44"/>
        <v>37193</v>
      </c>
      <c r="F2802" s="69">
        <v>6.3093368671510962E-3</v>
      </c>
    </row>
    <row r="2803" spans="1:6" x14ac:dyDescent="0.3">
      <c r="A2803" s="24">
        <v>37681</v>
      </c>
      <c r="B2803" s="66">
        <v>449.37299999999993</v>
      </c>
      <c r="C2803" s="67"/>
      <c r="D2803" s="68">
        <v>0</v>
      </c>
      <c r="E2803" s="110">
        <f t="shared" si="44"/>
        <v>37193</v>
      </c>
      <c r="F2803" s="69">
        <v>6.3093368671510962E-3</v>
      </c>
    </row>
    <row r="2804" spans="1:6" x14ac:dyDescent="0.3">
      <c r="A2804" s="24">
        <v>37682</v>
      </c>
      <c r="B2804" s="66">
        <v>449.37299999999993</v>
      </c>
      <c r="C2804" s="67"/>
      <c r="D2804" s="68">
        <v>0</v>
      </c>
      <c r="E2804" s="110">
        <f t="shared" si="44"/>
        <v>37193</v>
      </c>
      <c r="F2804" s="69">
        <v>6.3093368671510962E-3</v>
      </c>
    </row>
    <row r="2805" spans="1:6" x14ac:dyDescent="0.3">
      <c r="A2805" s="24">
        <v>37683</v>
      </c>
      <c r="B2805" s="66">
        <v>449.37299999999993</v>
      </c>
      <c r="C2805" s="67"/>
      <c r="D2805" s="68">
        <v>0</v>
      </c>
      <c r="E2805" s="110">
        <f t="shared" si="44"/>
        <v>37193</v>
      </c>
      <c r="F2805" s="69">
        <v>6.3093368671510962E-3</v>
      </c>
    </row>
    <row r="2806" spans="1:6" x14ac:dyDescent="0.3">
      <c r="A2806" s="24">
        <v>37684</v>
      </c>
      <c r="B2806" s="66">
        <v>449.37299999999993</v>
      </c>
      <c r="C2806" s="67"/>
      <c r="D2806" s="68">
        <v>0</v>
      </c>
      <c r="E2806" s="110">
        <f t="shared" si="44"/>
        <v>37193</v>
      </c>
      <c r="F2806" s="69">
        <v>6.3093368671510962E-3</v>
      </c>
    </row>
    <row r="2807" spans="1:6" x14ac:dyDescent="0.3">
      <c r="A2807" s="24">
        <v>37685</v>
      </c>
      <c r="B2807" s="66">
        <v>449.37299999999993</v>
      </c>
      <c r="C2807" s="67"/>
      <c r="D2807" s="68">
        <v>0</v>
      </c>
      <c r="E2807" s="110">
        <f t="shared" si="44"/>
        <v>37193</v>
      </c>
      <c r="F2807" s="69">
        <v>6.3093368671510962E-3</v>
      </c>
    </row>
    <row r="2808" spans="1:6" x14ac:dyDescent="0.3">
      <c r="A2808" s="24">
        <v>37686</v>
      </c>
      <c r="B2808" s="66">
        <v>449.37299999999993</v>
      </c>
      <c r="C2808" s="67"/>
      <c r="D2808" s="68">
        <v>0</v>
      </c>
      <c r="E2808" s="110">
        <f t="shared" si="44"/>
        <v>37193</v>
      </c>
      <c r="F2808" s="69">
        <v>6.3093368671510962E-3</v>
      </c>
    </row>
    <row r="2809" spans="1:6" x14ac:dyDescent="0.3">
      <c r="A2809" s="24">
        <v>37687</v>
      </c>
      <c r="B2809" s="66">
        <v>449.37299999999993</v>
      </c>
      <c r="C2809" s="67"/>
      <c r="D2809" s="68">
        <v>0</v>
      </c>
      <c r="E2809" s="110">
        <f t="shared" si="44"/>
        <v>37193</v>
      </c>
      <c r="F2809" s="69">
        <v>6.3093368671510962E-3</v>
      </c>
    </row>
    <row r="2810" spans="1:6" x14ac:dyDescent="0.3">
      <c r="A2810" s="24">
        <v>37688</v>
      </c>
      <c r="B2810" s="66">
        <v>449.37299999999993</v>
      </c>
      <c r="C2810" s="67"/>
      <c r="D2810" s="68">
        <v>0</v>
      </c>
      <c r="E2810" s="110">
        <f t="shared" si="44"/>
        <v>37193</v>
      </c>
      <c r="F2810" s="69">
        <v>6.3093368671510962E-3</v>
      </c>
    </row>
    <row r="2811" spans="1:6" x14ac:dyDescent="0.3">
      <c r="A2811" s="24">
        <v>37689</v>
      </c>
      <c r="B2811" s="66">
        <v>449.37299999999993</v>
      </c>
      <c r="C2811" s="67"/>
      <c r="D2811" s="68">
        <v>0</v>
      </c>
      <c r="E2811" s="110">
        <f t="shared" si="44"/>
        <v>37193</v>
      </c>
      <c r="F2811" s="69">
        <v>6.3093368671510962E-3</v>
      </c>
    </row>
    <row r="2812" spans="1:6" x14ac:dyDescent="0.3">
      <c r="A2812" s="24">
        <v>37690</v>
      </c>
      <c r="B2812" s="66">
        <v>449.37299999999993</v>
      </c>
      <c r="C2812" s="67"/>
      <c r="D2812" s="68">
        <v>0</v>
      </c>
      <c r="E2812" s="110">
        <f t="shared" si="44"/>
        <v>37193</v>
      </c>
      <c r="F2812" s="69">
        <v>6.3093368671510962E-3</v>
      </c>
    </row>
    <row r="2813" spans="1:6" x14ac:dyDescent="0.3">
      <c r="A2813" s="24">
        <v>37691</v>
      </c>
      <c r="B2813" s="66">
        <v>449.37299999999993</v>
      </c>
      <c r="C2813" s="67"/>
      <c r="D2813" s="68">
        <v>0</v>
      </c>
      <c r="E2813" s="110">
        <f t="shared" si="44"/>
        <v>37193</v>
      </c>
      <c r="F2813" s="69">
        <v>6.3093368671510962E-3</v>
      </c>
    </row>
    <row r="2814" spans="1:6" x14ac:dyDescent="0.3">
      <c r="A2814" s="24">
        <v>37692</v>
      </c>
      <c r="B2814" s="66">
        <v>449.37299999999993</v>
      </c>
      <c r="C2814" s="67"/>
      <c r="D2814" s="68">
        <v>0</v>
      </c>
      <c r="E2814" s="110">
        <f t="shared" si="44"/>
        <v>37193</v>
      </c>
      <c r="F2814" s="69">
        <v>6.3093368671510962E-3</v>
      </c>
    </row>
    <row r="2815" spans="1:6" x14ac:dyDescent="0.3">
      <c r="A2815" s="24">
        <v>37693</v>
      </c>
      <c r="B2815" s="66">
        <v>449.37299999999993</v>
      </c>
      <c r="C2815" s="67"/>
      <c r="D2815" s="68">
        <v>0</v>
      </c>
      <c r="E2815" s="110">
        <f t="shared" si="44"/>
        <v>37193</v>
      </c>
      <c r="F2815" s="69">
        <v>6.3093368671510962E-3</v>
      </c>
    </row>
    <row r="2816" spans="1:6" x14ac:dyDescent="0.3">
      <c r="A2816" s="24">
        <v>37694</v>
      </c>
      <c r="B2816" s="66">
        <v>449.37299999999993</v>
      </c>
      <c r="C2816" s="67"/>
      <c r="D2816" s="68">
        <v>0</v>
      </c>
      <c r="E2816" s="110">
        <f t="shared" si="44"/>
        <v>37193</v>
      </c>
      <c r="F2816" s="69">
        <v>6.3093368671510962E-3</v>
      </c>
    </row>
    <row r="2817" spans="1:6" x14ac:dyDescent="0.3">
      <c r="A2817" s="24">
        <v>37695</v>
      </c>
      <c r="B2817" s="66">
        <v>449.37299999999993</v>
      </c>
      <c r="C2817" s="67"/>
      <c r="D2817" s="68">
        <v>0</v>
      </c>
      <c r="E2817" s="110">
        <f t="shared" si="44"/>
        <v>37193</v>
      </c>
      <c r="F2817" s="69">
        <v>6.3093368671510962E-3</v>
      </c>
    </row>
    <row r="2818" spans="1:6" x14ac:dyDescent="0.3">
      <c r="A2818" s="24">
        <v>37696</v>
      </c>
      <c r="B2818" s="66">
        <v>449.37299999999993</v>
      </c>
      <c r="C2818" s="67"/>
      <c r="D2818" s="68">
        <v>0</v>
      </c>
      <c r="E2818" s="110">
        <f t="shared" si="44"/>
        <v>37193</v>
      </c>
      <c r="F2818" s="69">
        <v>6.3093368671510962E-3</v>
      </c>
    </row>
    <row r="2819" spans="1:6" x14ac:dyDescent="0.3">
      <c r="A2819" s="24">
        <v>37697</v>
      </c>
      <c r="B2819" s="66">
        <v>449.37299999999993</v>
      </c>
      <c r="C2819" s="67"/>
      <c r="D2819" s="68">
        <v>0</v>
      </c>
      <c r="E2819" s="110">
        <f t="shared" si="44"/>
        <v>37193</v>
      </c>
      <c r="F2819" s="69">
        <v>6.3093368671510962E-3</v>
      </c>
    </row>
    <row r="2820" spans="1:6" x14ac:dyDescent="0.3">
      <c r="A2820" s="24">
        <v>37698</v>
      </c>
      <c r="B2820" s="66">
        <v>449.37299999999993</v>
      </c>
      <c r="C2820" s="67"/>
      <c r="D2820" s="68">
        <v>0</v>
      </c>
      <c r="E2820" s="110">
        <f t="shared" si="44"/>
        <v>37193</v>
      </c>
      <c r="F2820" s="69">
        <v>6.3093368671510962E-3</v>
      </c>
    </row>
    <row r="2821" spans="1:6" x14ac:dyDescent="0.3">
      <c r="A2821" s="24">
        <v>37699</v>
      </c>
      <c r="B2821" s="66">
        <v>449.37299999999993</v>
      </c>
      <c r="C2821" s="67"/>
      <c r="D2821" s="68">
        <v>0</v>
      </c>
      <c r="E2821" s="110">
        <f t="shared" si="44"/>
        <v>37193</v>
      </c>
      <c r="F2821" s="69">
        <v>6.3093368671510962E-3</v>
      </c>
    </row>
    <row r="2822" spans="1:6" x14ac:dyDescent="0.3">
      <c r="A2822" s="24">
        <v>37700</v>
      </c>
      <c r="B2822" s="66">
        <v>449.37299999999993</v>
      </c>
      <c r="C2822" s="67"/>
      <c r="D2822" s="68">
        <v>0</v>
      </c>
      <c r="E2822" s="110">
        <f t="shared" si="44"/>
        <v>37193</v>
      </c>
      <c r="F2822" s="69">
        <v>6.3093368671510962E-3</v>
      </c>
    </row>
    <row r="2823" spans="1:6" x14ac:dyDescent="0.3">
      <c r="A2823" s="24">
        <v>37701</v>
      </c>
      <c r="B2823" s="66">
        <v>449.37299999999993</v>
      </c>
      <c r="C2823" s="67"/>
      <c r="D2823" s="68">
        <v>0</v>
      </c>
      <c r="E2823" s="110">
        <f t="shared" si="44"/>
        <v>37193</v>
      </c>
      <c r="F2823" s="69">
        <v>6.3093368671510962E-3</v>
      </c>
    </row>
    <row r="2824" spans="1:6" x14ac:dyDescent="0.3">
      <c r="A2824" s="24">
        <v>37702</v>
      </c>
      <c r="B2824" s="66">
        <v>449.37299999999993</v>
      </c>
      <c r="C2824" s="67"/>
      <c r="D2824" s="68">
        <v>0</v>
      </c>
      <c r="E2824" s="110">
        <f t="shared" si="44"/>
        <v>37193</v>
      </c>
      <c r="F2824" s="69">
        <v>6.3093368671510962E-3</v>
      </c>
    </row>
    <row r="2825" spans="1:6" x14ac:dyDescent="0.3">
      <c r="A2825" s="24">
        <v>37703</v>
      </c>
      <c r="B2825" s="66">
        <v>449.37299999999993</v>
      </c>
      <c r="C2825" s="67"/>
      <c r="D2825" s="68">
        <v>0</v>
      </c>
      <c r="E2825" s="110">
        <f t="shared" si="44"/>
        <v>37193</v>
      </c>
      <c r="F2825" s="69">
        <v>6.3093368671510962E-3</v>
      </c>
    </row>
    <row r="2826" spans="1:6" x14ac:dyDescent="0.3">
      <c r="A2826" s="24">
        <v>37704</v>
      </c>
      <c r="B2826" s="66">
        <v>449.37299999999993</v>
      </c>
      <c r="C2826" s="67"/>
      <c r="D2826" s="68">
        <v>0</v>
      </c>
      <c r="E2826" s="110">
        <f t="shared" si="44"/>
        <v>37193</v>
      </c>
      <c r="F2826" s="69">
        <v>6.3093368671510962E-3</v>
      </c>
    </row>
    <row r="2827" spans="1:6" x14ac:dyDescent="0.3">
      <c r="A2827" s="24">
        <v>37705</v>
      </c>
      <c r="B2827" s="66">
        <v>449.37299999999993</v>
      </c>
      <c r="C2827" s="67"/>
      <c r="D2827" s="68">
        <v>0</v>
      </c>
      <c r="E2827" s="110">
        <f t="shared" si="44"/>
        <v>37193</v>
      </c>
      <c r="F2827" s="69">
        <v>6.3093368671510962E-3</v>
      </c>
    </row>
    <row r="2828" spans="1:6" x14ac:dyDescent="0.3">
      <c r="A2828" s="24">
        <v>37706</v>
      </c>
      <c r="B2828" s="66">
        <v>449.37299999999993</v>
      </c>
      <c r="C2828" s="67"/>
      <c r="D2828" s="68">
        <v>0</v>
      </c>
      <c r="E2828" s="110">
        <f t="shared" si="44"/>
        <v>37193</v>
      </c>
      <c r="F2828" s="69">
        <v>6.3093368671510962E-3</v>
      </c>
    </row>
    <row r="2829" spans="1:6" x14ac:dyDescent="0.3">
      <c r="A2829" s="24">
        <v>37707</v>
      </c>
      <c r="B2829" s="66">
        <v>449.37299999999993</v>
      </c>
      <c r="C2829" s="67"/>
      <c r="D2829" s="68">
        <v>0</v>
      </c>
      <c r="E2829" s="110">
        <f t="shared" si="44"/>
        <v>37193</v>
      </c>
      <c r="F2829" s="69">
        <v>6.3093368671510962E-3</v>
      </c>
    </row>
    <row r="2830" spans="1:6" x14ac:dyDescent="0.3">
      <c r="A2830" s="24">
        <v>37708</v>
      </c>
      <c r="B2830" s="66">
        <v>449.37299999999993</v>
      </c>
      <c r="C2830" s="67"/>
      <c r="D2830" s="68">
        <v>0</v>
      </c>
      <c r="E2830" s="110">
        <f t="shared" si="44"/>
        <v>37193</v>
      </c>
      <c r="F2830" s="69">
        <v>6.3093368671510962E-3</v>
      </c>
    </row>
    <row r="2831" spans="1:6" x14ac:dyDescent="0.3">
      <c r="A2831" s="24">
        <v>37709</v>
      </c>
      <c r="B2831" s="66">
        <v>449.37299999999993</v>
      </c>
      <c r="C2831" s="67"/>
      <c r="D2831" s="68">
        <v>0</v>
      </c>
      <c r="E2831" s="110">
        <f t="shared" si="44"/>
        <v>37193</v>
      </c>
      <c r="F2831" s="69">
        <v>6.3093368671510962E-3</v>
      </c>
    </row>
    <row r="2832" spans="1:6" x14ac:dyDescent="0.3">
      <c r="A2832" s="24">
        <v>37710</v>
      </c>
      <c r="B2832" s="66">
        <v>449.37299999999993</v>
      </c>
      <c r="C2832" s="67"/>
      <c r="D2832" s="68">
        <v>0</v>
      </c>
      <c r="E2832" s="110">
        <f t="shared" si="44"/>
        <v>37193</v>
      </c>
      <c r="F2832" s="69">
        <v>6.272834990536505E-3</v>
      </c>
    </row>
    <row r="2833" spans="1:6" x14ac:dyDescent="0.3">
      <c r="A2833" s="24">
        <v>37711</v>
      </c>
      <c r="B2833" s="66">
        <v>457.10699999999997</v>
      </c>
      <c r="C2833" s="67"/>
      <c r="D2833" s="68">
        <v>0</v>
      </c>
      <c r="E2833" s="110">
        <f t="shared" si="44"/>
        <v>37193</v>
      </c>
      <c r="F2833" s="69">
        <v>6.272834990536505E-3</v>
      </c>
    </row>
    <row r="2834" spans="1:6" x14ac:dyDescent="0.3">
      <c r="A2834" s="24">
        <v>37712</v>
      </c>
      <c r="B2834" s="66">
        <v>457.10699999999997</v>
      </c>
      <c r="C2834" s="67"/>
      <c r="D2834" s="68">
        <v>0</v>
      </c>
      <c r="E2834" s="110">
        <f t="shared" ref="E2834:E2897" si="45">+E2833</f>
        <v>37193</v>
      </c>
      <c r="F2834" s="69">
        <v>6.272834990536505E-3</v>
      </c>
    </row>
    <row r="2835" spans="1:6" x14ac:dyDescent="0.3">
      <c r="A2835" s="24">
        <v>37713</v>
      </c>
      <c r="B2835" s="66">
        <v>457.10699999999997</v>
      </c>
      <c r="C2835" s="67"/>
      <c r="D2835" s="68">
        <v>0</v>
      </c>
      <c r="E2835" s="110">
        <f t="shared" si="45"/>
        <v>37193</v>
      </c>
      <c r="F2835" s="69">
        <v>6.272834990536505E-3</v>
      </c>
    </row>
    <row r="2836" spans="1:6" x14ac:dyDescent="0.3">
      <c r="A2836" s="24">
        <v>37714</v>
      </c>
      <c r="B2836" s="66">
        <v>457.10699999999997</v>
      </c>
      <c r="C2836" s="67"/>
      <c r="D2836" s="68">
        <v>0</v>
      </c>
      <c r="E2836" s="110">
        <f t="shared" si="45"/>
        <v>37193</v>
      </c>
      <c r="F2836" s="69">
        <v>6.272834990536505E-3</v>
      </c>
    </row>
    <row r="2837" spans="1:6" x14ac:dyDescent="0.3">
      <c r="A2837" s="24">
        <v>37715</v>
      </c>
      <c r="B2837" s="66">
        <v>457.10699999999997</v>
      </c>
      <c r="C2837" s="67"/>
      <c r="D2837" s="68">
        <v>0</v>
      </c>
      <c r="E2837" s="110">
        <f t="shared" si="45"/>
        <v>37193</v>
      </c>
      <c r="F2837" s="69">
        <v>6.272834990536505E-3</v>
      </c>
    </row>
    <row r="2838" spans="1:6" x14ac:dyDescent="0.3">
      <c r="A2838" s="24">
        <v>37716</v>
      </c>
      <c r="B2838" s="66">
        <v>457.10699999999997</v>
      </c>
      <c r="C2838" s="67"/>
      <c r="D2838" s="68">
        <v>0</v>
      </c>
      <c r="E2838" s="110">
        <f t="shared" si="45"/>
        <v>37193</v>
      </c>
      <c r="F2838" s="69">
        <v>6.272834990536505E-3</v>
      </c>
    </row>
    <row r="2839" spans="1:6" x14ac:dyDescent="0.3">
      <c r="A2839" s="24">
        <v>37717</v>
      </c>
      <c r="B2839" s="66">
        <v>457.10699999999997</v>
      </c>
      <c r="C2839" s="67"/>
      <c r="D2839" s="68">
        <v>0</v>
      </c>
      <c r="E2839" s="110">
        <f t="shared" si="45"/>
        <v>37193</v>
      </c>
      <c r="F2839" s="69">
        <v>6.272834990536505E-3</v>
      </c>
    </row>
    <row r="2840" spans="1:6" x14ac:dyDescent="0.3">
      <c r="A2840" s="24">
        <v>37718</v>
      </c>
      <c r="B2840" s="66">
        <v>457.10699999999997</v>
      </c>
      <c r="C2840" s="67"/>
      <c r="D2840" s="68">
        <v>0</v>
      </c>
      <c r="E2840" s="110">
        <f t="shared" si="45"/>
        <v>37193</v>
      </c>
      <c r="F2840" s="69">
        <v>6.272834990536505E-3</v>
      </c>
    </row>
    <row r="2841" spans="1:6" x14ac:dyDescent="0.3">
      <c r="A2841" s="24">
        <v>37719</v>
      </c>
      <c r="B2841" s="66">
        <v>457.10699999999997</v>
      </c>
      <c r="C2841" s="67"/>
      <c r="D2841" s="68">
        <v>0</v>
      </c>
      <c r="E2841" s="110">
        <f t="shared" si="45"/>
        <v>37193</v>
      </c>
      <c r="F2841" s="69">
        <v>6.272834990536505E-3</v>
      </c>
    </row>
    <row r="2842" spans="1:6" x14ac:dyDescent="0.3">
      <c r="A2842" s="24">
        <v>37720</v>
      </c>
      <c r="B2842" s="66">
        <v>457.10699999999997</v>
      </c>
      <c r="C2842" s="67"/>
      <c r="D2842" s="68">
        <v>0</v>
      </c>
      <c r="E2842" s="110">
        <f t="shared" si="45"/>
        <v>37193</v>
      </c>
      <c r="F2842" s="69">
        <v>6.272834990536505E-3</v>
      </c>
    </row>
    <row r="2843" spans="1:6" x14ac:dyDescent="0.3">
      <c r="A2843" s="24">
        <v>37721</v>
      </c>
      <c r="B2843" s="66">
        <v>457.10699999999997</v>
      </c>
      <c r="C2843" s="67"/>
      <c r="D2843" s="68">
        <v>0</v>
      </c>
      <c r="E2843" s="110">
        <f t="shared" si="45"/>
        <v>37193</v>
      </c>
      <c r="F2843" s="69">
        <v>6.272834990536505E-3</v>
      </c>
    </row>
    <row r="2844" spans="1:6" x14ac:dyDescent="0.3">
      <c r="A2844" s="24">
        <v>37722</v>
      </c>
      <c r="B2844" s="66">
        <v>457.10699999999997</v>
      </c>
      <c r="C2844" s="67"/>
      <c r="D2844" s="68">
        <v>0</v>
      </c>
      <c r="E2844" s="110">
        <f t="shared" si="45"/>
        <v>37193</v>
      </c>
      <c r="F2844" s="69">
        <v>6.272834990536505E-3</v>
      </c>
    </row>
    <row r="2845" spans="1:6" x14ac:dyDescent="0.3">
      <c r="A2845" s="24">
        <v>37723</v>
      </c>
      <c r="B2845" s="66">
        <v>457.10699999999997</v>
      </c>
      <c r="C2845" s="67"/>
      <c r="D2845" s="68">
        <v>0</v>
      </c>
      <c r="E2845" s="110">
        <f t="shared" si="45"/>
        <v>37193</v>
      </c>
      <c r="F2845" s="69">
        <v>6.272834990536505E-3</v>
      </c>
    </row>
    <row r="2846" spans="1:6" x14ac:dyDescent="0.3">
      <c r="A2846" s="24">
        <v>37724</v>
      </c>
      <c r="B2846" s="66">
        <v>457.10699999999997</v>
      </c>
      <c r="C2846" s="67"/>
      <c r="D2846" s="68">
        <v>0</v>
      </c>
      <c r="E2846" s="110">
        <f t="shared" si="45"/>
        <v>37193</v>
      </c>
      <c r="F2846" s="69">
        <v>6.272834990536505E-3</v>
      </c>
    </row>
    <row r="2847" spans="1:6" x14ac:dyDescent="0.3">
      <c r="A2847" s="24">
        <v>37725</v>
      </c>
      <c r="B2847" s="66">
        <v>457.10699999999997</v>
      </c>
      <c r="C2847" s="67"/>
      <c r="D2847" s="68">
        <v>0</v>
      </c>
      <c r="E2847" s="110">
        <f t="shared" si="45"/>
        <v>37193</v>
      </c>
      <c r="F2847" s="69">
        <v>6.272834990536505E-3</v>
      </c>
    </row>
    <row r="2848" spans="1:6" x14ac:dyDescent="0.3">
      <c r="A2848" s="24">
        <v>37726</v>
      </c>
      <c r="B2848" s="66">
        <v>457.10699999999997</v>
      </c>
      <c r="C2848" s="67"/>
      <c r="D2848" s="68">
        <v>0</v>
      </c>
      <c r="E2848" s="110">
        <f t="shared" si="45"/>
        <v>37193</v>
      </c>
      <c r="F2848" s="69">
        <v>6.272834990536505E-3</v>
      </c>
    </row>
    <row r="2849" spans="1:6" x14ac:dyDescent="0.3">
      <c r="A2849" s="24">
        <v>37727</v>
      </c>
      <c r="B2849" s="66">
        <v>457.10699999999997</v>
      </c>
      <c r="C2849" s="67"/>
      <c r="D2849" s="68">
        <v>0</v>
      </c>
      <c r="E2849" s="110">
        <f t="shared" si="45"/>
        <v>37193</v>
      </c>
      <c r="F2849" s="69">
        <v>6.272834990536505E-3</v>
      </c>
    </row>
    <row r="2850" spans="1:6" x14ac:dyDescent="0.3">
      <c r="A2850" s="24">
        <v>37728</v>
      </c>
      <c r="B2850" s="66">
        <v>457.10699999999997</v>
      </c>
      <c r="C2850" s="67"/>
      <c r="D2850" s="68">
        <v>0</v>
      </c>
      <c r="E2850" s="110">
        <f t="shared" si="45"/>
        <v>37193</v>
      </c>
      <c r="F2850" s="69">
        <v>6.272834990536505E-3</v>
      </c>
    </row>
    <row r="2851" spans="1:6" x14ac:dyDescent="0.3">
      <c r="A2851" s="24">
        <v>37729</v>
      </c>
      <c r="B2851" s="66">
        <v>457.10699999999997</v>
      </c>
      <c r="C2851" s="67"/>
      <c r="D2851" s="68">
        <v>0</v>
      </c>
      <c r="E2851" s="110">
        <f t="shared" si="45"/>
        <v>37193</v>
      </c>
      <c r="F2851" s="69">
        <v>6.272834990536505E-3</v>
      </c>
    </row>
    <row r="2852" spans="1:6" x14ac:dyDescent="0.3">
      <c r="A2852" s="24">
        <v>37730</v>
      </c>
      <c r="B2852" s="66">
        <v>457.10699999999997</v>
      </c>
      <c r="C2852" s="67"/>
      <c r="D2852" s="68">
        <v>0</v>
      </c>
      <c r="E2852" s="110">
        <f t="shared" si="45"/>
        <v>37193</v>
      </c>
      <c r="F2852" s="69">
        <v>6.272834990536505E-3</v>
      </c>
    </row>
    <row r="2853" spans="1:6" x14ac:dyDescent="0.3">
      <c r="A2853" s="24">
        <v>37731</v>
      </c>
      <c r="B2853" s="66">
        <v>457.10699999999997</v>
      </c>
      <c r="C2853" s="67"/>
      <c r="D2853" s="68">
        <v>0</v>
      </c>
      <c r="E2853" s="110">
        <f t="shared" si="45"/>
        <v>37193</v>
      </c>
      <c r="F2853" s="69">
        <v>6.272834990536505E-3</v>
      </c>
    </row>
    <row r="2854" spans="1:6" x14ac:dyDescent="0.3">
      <c r="A2854" s="24">
        <v>37732</v>
      </c>
      <c r="B2854" s="66">
        <v>457.10699999999997</v>
      </c>
      <c r="C2854" s="67"/>
      <c r="D2854" s="68">
        <v>0</v>
      </c>
      <c r="E2854" s="110">
        <f t="shared" si="45"/>
        <v>37193</v>
      </c>
      <c r="F2854" s="69">
        <v>6.272834990536505E-3</v>
      </c>
    </row>
    <row r="2855" spans="1:6" x14ac:dyDescent="0.3">
      <c r="A2855" s="24">
        <v>37733</v>
      </c>
      <c r="B2855" s="66">
        <v>457.10699999999997</v>
      </c>
      <c r="C2855" s="67"/>
      <c r="D2855" s="68">
        <v>0</v>
      </c>
      <c r="E2855" s="110">
        <f t="shared" si="45"/>
        <v>37193</v>
      </c>
      <c r="F2855" s="69">
        <v>6.272834990536505E-3</v>
      </c>
    </row>
    <row r="2856" spans="1:6" x14ac:dyDescent="0.3">
      <c r="A2856" s="24">
        <v>37734</v>
      </c>
      <c r="B2856" s="66">
        <v>457.10699999999997</v>
      </c>
      <c r="C2856" s="67"/>
      <c r="D2856" s="68">
        <v>0</v>
      </c>
      <c r="E2856" s="110">
        <f t="shared" si="45"/>
        <v>37193</v>
      </c>
      <c r="F2856" s="69">
        <v>6.272834990536505E-3</v>
      </c>
    </row>
    <row r="2857" spans="1:6" x14ac:dyDescent="0.3">
      <c r="A2857" s="24">
        <v>37735</v>
      </c>
      <c r="B2857" s="66">
        <v>457.10699999999997</v>
      </c>
      <c r="C2857" s="67"/>
      <c r="D2857" s="68">
        <v>0</v>
      </c>
      <c r="E2857" s="110">
        <f t="shared" si="45"/>
        <v>37193</v>
      </c>
      <c r="F2857" s="69">
        <v>6.272834990536505E-3</v>
      </c>
    </row>
    <row r="2858" spans="1:6" x14ac:dyDescent="0.3">
      <c r="A2858" s="24">
        <v>37736</v>
      </c>
      <c r="B2858" s="66">
        <v>457.10699999999997</v>
      </c>
      <c r="C2858" s="67"/>
      <c r="D2858" s="68">
        <v>0</v>
      </c>
      <c r="E2858" s="110">
        <f t="shared" si="45"/>
        <v>37193</v>
      </c>
      <c r="F2858" s="69">
        <v>6.272834990536505E-3</v>
      </c>
    </row>
    <row r="2859" spans="1:6" x14ac:dyDescent="0.3">
      <c r="A2859" s="24">
        <v>37737</v>
      </c>
      <c r="B2859" s="66">
        <v>457.10699999999997</v>
      </c>
      <c r="C2859" s="67"/>
      <c r="D2859" s="68">
        <v>0</v>
      </c>
      <c r="E2859" s="110">
        <f t="shared" si="45"/>
        <v>37193</v>
      </c>
      <c r="F2859" s="69">
        <v>6.272834990536505E-3</v>
      </c>
    </row>
    <row r="2860" spans="1:6" x14ac:dyDescent="0.3">
      <c r="A2860" s="24">
        <v>37738</v>
      </c>
      <c r="B2860" s="66">
        <v>457.10699999999997</v>
      </c>
      <c r="C2860" s="67"/>
      <c r="D2860" s="68">
        <v>0</v>
      </c>
      <c r="E2860" s="110">
        <f t="shared" si="45"/>
        <v>37193</v>
      </c>
      <c r="F2860" s="69">
        <v>6.272834990536505E-3</v>
      </c>
    </row>
    <row r="2861" spans="1:6" x14ac:dyDescent="0.3">
      <c r="A2861" s="24">
        <v>37739</v>
      </c>
      <c r="B2861" s="66">
        <v>457.10699999999997</v>
      </c>
      <c r="C2861" s="67"/>
      <c r="D2861" s="68">
        <v>0</v>
      </c>
      <c r="E2861" s="110">
        <f t="shared" si="45"/>
        <v>37193</v>
      </c>
      <c r="F2861" s="69">
        <v>6.272834990536505E-3</v>
      </c>
    </row>
    <row r="2862" spans="1:6" x14ac:dyDescent="0.3">
      <c r="A2862" s="24">
        <v>37740</v>
      </c>
      <c r="B2862" s="66">
        <v>457.10699999999997</v>
      </c>
      <c r="C2862" s="67"/>
      <c r="D2862" s="68">
        <v>0</v>
      </c>
      <c r="E2862" s="110">
        <f t="shared" si="45"/>
        <v>37193</v>
      </c>
      <c r="F2862" s="69">
        <v>6.272834990536505E-3</v>
      </c>
    </row>
    <row r="2863" spans="1:6" x14ac:dyDescent="0.3">
      <c r="A2863" s="24">
        <v>37741</v>
      </c>
      <c r="B2863" s="66">
        <v>457.10699999999997</v>
      </c>
      <c r="C2863" s="67"/>
      <c r="D2863" s="68">
        <v>0</v>
      </c>
      <c r="E2863" s="110">
        <f t="shared" si="45"/>
        <v>37193</v>
      </c>
      <c r="F2863" s="69">
        <v>6.272834990536505E-3</v>
      </c>
    </row>
    <row r="2864" spans="1:6" x14ac:dyDescent="0.3">
      <c r="A2864" s="24">
        <v>37742</v>
      </c>
      <c r="B2864" s="66">
        <v>457.10699999999997</v>
      </c>
      <c r="C2864" s="67"/>
      <c r="D2864" s="68">
        <v>0</v>
      </c>
      <c r="E2864" s="110">
        <f t="shared" si="45"/>
        <v>37193</v>
      </c>
      <c r="F2864" s="69">
        <v>6.272834990536505E-3</v>
      </c>
    </row>
    <row r="2865" spans="1:6" x14ac:dyDescent="0.3">
      <c r="A2865" s="24">
        <v>37743</v>
      </c>
      <c r="B2865" s="66">
        <v>457.10699999999997</v>
      </c>
      <c r="C2865" s="67"/>
      <c r="D2865" s="68">
        <v>0</v>
      </c>
      <c r="E2865" s="110">
        <f t="shared" si="45"/>
        <v>37193</v>
      </c>
      <c r="F2865" s="69">
        <v>6.272834990536505E-3</v>
      </c>
    </row>
    <row r="2866" spans="1:6" x14ac:dyDescent="0.3">
      <c r="A2866" s="24">
        <v>37744</v>
      </c>
      <c r="B2866" s="66">
        <v>457.10699999999997</v>
      </c>
      <c r="C2866" s="67"/>
      <c r="D2866" s="68">
        <v>0</v>
      </c>
      <c r="E2866" s="110">
        <f t="shared" si="45"/>
        <v>37193</v>
      </c>
      <c r="F2866" s="69">
        <v>6.272834990536505E-3</v>
      </c>
    </row>
    <row r="2867" spans="1:6" x14ac:dyDescent="0.3">
      <c r="A2867" s="24">
        <v>37745</v>
      </c>
      <c r="B2867" s="66">
        <v>457.10699999999997</v>
      </c>
      <c r="C2867" s="67"/>
      <c r="D2867" s="68">
        <v>0</v>
      </c>
      <c r="E2867" s="110">
        <f t="shared" si="45"/>
        <v>37193</v>
      </c>
      <c r="F2867" s="69">
        <v>6.272834990536505E-3</v>
      </c>
    </row>
    <row r="2868" spans="1:6" x14ac:dyDescent="0.3">
      <c r="A2868" s="24">
        <v>37746</v>
      </c>
      <c r="B2868" s="66">
        <v>457.10699999999997</v>
      </c>
      <c r="C2868" s="67"/>
      <c r="D2868" s="68">
        <v>0</v>
      </c>
      <c r="E2868" s="110">
        <f t="shared" si="45"/>
        <v>37193</v>
      </c>
      <c r="F2868" s="69">
        <v>6.272834990536505E-3</v>
      </c>
    </row>
    <row r="2869" spans="1:6" x14ac:dyDescent="0.3">
      <c r="A2869" s="24">
        <v>37747</v>
      </c>
      <c r="B2869" s="66">
        <v>457.10699999999997</v>
      </c>
      <c r="C2869" s="67"/>
      <c r="D2869" s="68">
        <v>0</v>
      </c>
      <c r="E2869" s="110">
        <f t="shared" si="45"/>
        <v>37193</v>
      </c>
      <c r="F2869" s="69">
        <v>6.272834990536505E-3</v>
      </c>
    </row>
    <row r="2870" spans="1:6" x14ac:dyDescent="0.3">
      <c r="A2870" s="24">
        <v>37748</v>
      </c>
      <c r="B2870" s="66">
        <v>457.10699999999997</v>
      </c>
      <c r="C2870" s="67"/>
      <c r="D2870" s="68">
        <v>0</v>
      </c>
      <c r="E2870" s="110">
        <f t="shared" si="45"/>
        <v>37193</v>
      </c>
      <c r="F2870" s="69">
        <v>6.272834990536505E-3</v>
      </c>
    </row>
    <row r="2871" spans="1:6" x14ac:dyDescent="0.3">
      <c r="A2871" s="24">
        <v>37749</v>
      </c>
      <c r="B2871" s="66">
        <v>457.10699999999997</v>
      </c>
      <c r="C2871" s="67"/>
      <c r="D2871" s="68">
        <v>0</v>
      </c>
      <c r="E2871" s="110">
        <f t="shared" si="45"/>
        <v>37193</v>
      </c>
      <c r="F2871" s="69">
        <v>6.272834990536505E-3</v>
      </c>
    </row>
    <row r="2872" spans="1:6" x14ac:dyDescent="0.3">
      <c r="A2872" s="24">
        <v>37750</v>
      </c>
      <c r="B2872" s="66">
        <v>457.10699999999997</v>
      </c>
      <c r="C2872" s="67"/>
      <c r="D2872" s="68">
        <v>0</v>
      </c>
      <c r="E2872" s="110">
        <f t="shared" si="45"/>
        <v>37193</v>
      </c>
      <c r="F2872" s="69">
        <v>6.272834990536505E-3</v>
      </c>
    </row>
    <row r="2873" spans="1:6" x14ac:dyDescent="0.3">
      <c r="A2873" s="24">
        <v>37751</v>
      </c>
      <c r="B2873" s="66">
        <v>457.10699999999997</v>
      </c>
      <c r="C2873" s="67"/>
      <c r="D2873" s="68">
        <v>0</v>
      </c>
      <c r="E2873" s="110">
        <f t="shared" si="45"/>
        <v>37193</v>
      </c>
      <c r="F2873" s="69">
        <v>6.272834990536505E-3</v>
      </c>
    </row>
    <row r="2874" spans="1:6" x14ac:dyDescent="0.3">
      <c r="A2874" s="24">
        <v>37752</v>
      </c>
      <c r="B2874" s="66">
        <v>457.10699999999997</v>
      </c>
      <c r="C2874" s="67"/>
      <c r="D2874" s="68">
        <v>0</v>
      </c>
      <c r="E2874" s="110">
        <f t="shared" si="45"/>
        <v>37193</v>
      </c>
      <c r="F2874" s="69">
        <v>6.272834990536505E-3</v>
      </c>
    </row>
    <row r="2875" spans="1:6" x14ac:dyDescent="0.3">
      <c r="A2875" s="24">
        <v>37753</v>
      </c>
      <c r="B2875" s="66">
        <v>457.10699999999997</v>
      </c>
      <c r="C2875" s="67"/>
      <c r="D2875" s="68">
        <v>0</v>
      </c>
      <c r="E2875" s="110">
        <f t="shared" si="45"/>
        <v>37193</v>
      </c>
      <c r="F2875" s="69">
        <v>6.272834990536505E-3</v>
      </c>
    </row>
    <row r="2876" spans="1:6" x14ac:dyDescent="0.3">
      <c r="A2876" s="24">
        <v>37754</v>
      </c>
      <c r="B2876" s="66">
        <v>457.10699999999997</v>
      </c>
      <c r="C2876" s="67"/>
      <c r="D2876" s="68">
        <v>0</v>
      </c>
      <c r="E2876" s="110">
        <f t="shared" si="45"/>
        <v>37193</v>
      </c>
      <c r="F2876" s="69">
        <v>6.272834990536505E-3</v>
      </c>
    </row>
    <row r="2877" spans="1:6" x14ac:dyDescent="0.3">
      <c r="A2877" s="24">
        <v>37755</v>
      </c>
      <c r="B2877" s="66">
        <v>457.10699999999997</v>
      </c>
      <c r="C2877" s="67"/>
      <c r="D2877" s="68">
        <v>0</v>
      </c>
      <c r="E2877" s="110">
        <f t="shared" si="45"/>
        <v>37193</v>
      </c>
      <c r="F2877" s="69">
        <v>6.272834990536505E-3</v>
      </c>
    </row>
    <row r="2878" spans="1:6" x14ac:dyDescent="0.3">
      <c r="A2878" s="24">
        <v>37756</v>
      </c>
      <c r="B2878" s="66">
        <v>457.10699999999997</v>
      </c>
      <c r="C2878" s="67"/>
      <c r="D2878" s="68">
        <v>0</v>
      </c>
      <c r="E2878" s="110">
        <f t="shared" si="45"/>
        <v>37193</v>
      </c>
      <c r="F2878" s="69">
        <v>6.272834990536505E-3</v>
      </c>
    </row>
    <row r="2879" spans="1:6" x14ac:dyDescent="0.3">
      <c r="A2879" s="24">
        <v>37757</v>
      </c>
      <c r="B2879" s="66">
        <v>457.10699999999997</v>
      </c>
      <c r="C2879" s="67"/>
      <c r="D2879" s="68">
        <v>0</v>
      </c>
      <c r="E2879" s="110">
        <f t="shared" si="45"/>
        <v>37193</v>
      </c>
      <c r="F2879" s="69">
        <v>6.272834990536505E-3</v>
      </c>
    </row>
    <row r="2880" spans="1:6" x14ac:dyDescent="0.3">
      <c r="A2880" s="24">
        <v>37758</v>
      </c>
      <c r="B2880" s="66">
        <v>457.10699999999997</v>
      </c>
      <c r="C2880" s="67"/>
      <c r="D2880" s="68">
        <v>0</v>
      </c>
      <c r="E2880" s="110">
        <f t="shared" si="45"/>
        <v>37193</v>
      </c>
      <c r="F2880" s="69">
        <v>0</v>
      </c>
    </row>
    <row r="2881" spans="1:6" x14ac:dyDescent="0.3">
      <c r="A2881" s="24">
        <v>37759</v>
      </c>
      <c r="B2881" s="66">
        <v>457.10699999999997</v>
      </c>
      <c r="C2881" s="67"/>
      <c r="D2881" s="68">
        <v>0</v>
      </c>
      <c r="E2881" s="110">
        <f t="shared" si="45"/>
        <v>37193</v>
      </c>
      <c r="F2881" s="69">
        <v>0</v>
      </c>
    </row>
    <row r="2882" spans="1:6" x14ac:dyDescent="0.3">
      <c r="A2882" s="24">
        <v>37760</v>
      </c>
      <c r="B2882" s="66">
        <v>457.10699999999997</v>
      </c>
      <c r="C2882" s="67"/>
      <c r="D2882" s="68">
        <v>0</v>
      </c>
      <c r="E2882" s="110">
        <f t="shared" si="45"/>
        <v>37193</v>
      </c>
      <c r="F2882" s="69">
        <v>0</v>
      </c>
    </row>
    <row r="2883" spans="1:6" x14ac:dyDescent="0.3">
      <c r="A2883" s="24">
        <v>37761</v>
      </c>
      <c r="B2883" s="66">
        <v>457.10699999999997</v>
      </c>
      <c r="C2883" s="67"/>
      <c r="D2883" s="68">
        <v>0</v>
      </c>
      <c r="E2883" s="110">
        <f t="shared" si="45"/>
        <v>37193</v>
      </c>
      <c r="F2883" s="69">
        <v>0</v>
      </c>
    </row>
    <row r="2884" spans="1:6" x14ac:dyDescent="0.3">
      <c r="A2884" s="24">
        <v>37762</v>
      </c>
      <c r="B2884" s="66">
        <v>457.10699999999997</v>
      </c>
      <c r="C2884" s="67"/>
      <c r="D2884" s="68">
        <v>0</v>
      </c>
      <c r="E2884" s="110">
        <f t="shared" si="45"/>
        <v>37193</v>
      </c>
      <c r="F2884" s="69">
        <v>0</v>
      </c>
    </row>
    <row r="2885" spans="1:6" x14ac:dyDescent="0.3">
      <c r="A2885" s="24">
        <v>37763</v>
      </c>
      <c r="B2885" s="66">
        <v>457.10699999999997</v>
      </c>
      <c r="C2885" s="67"/>
      <c r="D2885" s="68">
        <v>0</v>
      </c>
      <c r="E2885" s="110">
        <f t="shared" si="45"/>
        <v>37193</v>
      </c>
      <c r="F2885" s="69">
        <v>0</v>
      </c>
    </row>
    <row r="2886" spans="1:6" x14ac:dyDescent="0.3">
      <c r="A2886" s="24">
        <v>37764</v>
      </c>
      <c r="B2886" s="66">
        <v>457.10699999999997</v>
      </c>
      <c r="C2886" s="67"/>
      <c r="D2886" s="68">
        <v>2.6112334178926409</v>
      </c>
      <c r="E2886" s="110">
        <f t="shared" si="45"/>
        <v>37193</v>
      </c>
      <c r="F2886" s="69">
        <v>6.0890621627941446E-3</v>
      </c>
    </row>
    <row r="2887" spans="1:6" x14ac:dyDescent="0.3">
      <c r="A2887" s="24">
        <v>37765</v>
      </c>
      <c r="B2887" s="66">
        <v>457.10699999999997</v>
      </c>
      <c r="C2887" s="67"/>
      <c r="D2887" s="68">
        <v>0</v>
      </c>
      <c r="E2887" s="110">
        <f t="shared" si="45"/>
        <v>37193</v>
      </c>
      <c r="F2887" s="69">
        <v>6.0890621627941446E-3</v>
      </c>
    </row>
    <row r="2888" spans="1:6" x14ac:dyDescent="0.3">
      <c r="A2888" s="24">
        <v>37766</v>
      </c>
      <c r="B2888" s="66">
        <v>457.10699999999997</v>
      </c>
      <c r="C2888" s="67"/>
      <c r="D2888" s="68">
        <v>0</v>
      </c>
      <c r="E2888" s="110">
        <f t="shared" si="45"/>
        <v>37193</v>
      </c>
      <c r="F2888" s="69">
        <v>6.0890621627941446E-3</v>
      </c>
    </row>
    <row r="2889" spans="1:6" x14ac:dyDescent="0.3">
      <c r="A2889" s="24">
        <v>37767</v>
      </c>
      <c r="B2889" s="66">
        <v>457.10699999999997</v>
      </c>
      <c r="C2889" s="67"/>
      <c r="D2889" s="68">
        <v>0</v>
      </c>
      <c r="E2889" s="110">
        <f t="shared" si="45"/>
        <v>37193</v>
      </c>
      <c r="F2889" s="69">
        <v>6.0890621627941446E-3</v>
      </c>
    </row>
    <row r="2890" spans="1:6" x14ac:dyDescent="0.3">
      <c r="A2890" s="24">
        <v>37768</v>
      </c>
      <c r="B2890" s="66">
        <v>457.10699999999997</v>
      </c>
      <c r="C2890" s="67"/>
      <c r="D2890" s="68">
        <v>0</v>
      </c>
      <c r="E2890" s="110">
        <f t="shared" si="45"/>
        <v>37193</v>
      </c>
      <c r="F2890" s="69">
        <v>6.0890621627941446E-3</v>
      </c>
    </row>
    <row r="2891" spans="1:6" x14ac:dyDescent="0.3">
      <c r="A2891" s="24">
        <v>37769</v>
      </c>
      <c r="B2891" s="66">
        <v>457.10699999999997</v>
      </c>
      <c r="C2891" s="67"/>
      <c r="D2891" s="68">
        <v>0</v>
      </c>
      <c r="E2891" s="110">
        <f t="shared" si="45"/>
        <v>37193</v>
      </c>
      <c r="F2891" s="69">
        <v>6.0890621627941446E-3</v>
      </c>
    </row>
    <row r="2892" spans="1:6" x14ac:dyDescent="0.3">
      <c r="A2892" s="24">
        <v>37770</v>
      </c>
      <c r="B2892" s="66">
        <v>457.10699999999997</v>
      </c>
      <c r="C2892" s="67"/>
      <c r="D2892" s="68">
        <v>0</v>
      </c>
      <c r="E2892" s="110">
        <f t="shared" si="45"/>
        <v>37193</v>
      </c>
      <c r="F2892" s="69">
        <v>6.0890621627941446E-3</v>
      </c>
    </row>
    <row r="2893" spans="1:6" x14ac:dyDescent="0.3">
      <c r="A2893" s="24">
        <v>37771</v>
      </c>
      <c r="B2893" s="66">
        <v>457.10699999999997</v>
      </c>
      <c r="C2893" s="67"/>
      <c r="D2893" s="68">
        <v>0</v>
      </c>
      <c r="E2893" s="110">
        <f t="shared" si="45"/>
        <v>37193</v>
      </c>
      <c r="F2893" s="69">
        <v>6.0890621627941446E-3</v>
      </c>
    </row>
    <row r="2894" spans="1:6" x14ac:dyDescent="0.3">
      <c r="A2894" s="24">
        <v>37772</v>
      </c>
      <c r="B2894" s="66">
        <v>457.10699999999997</v>
      </c>
      <c r="C2894" s="67"/>
      <c r="D2894" s="68">
        <v>0</v>
      </c>
      <c r="E2894" s="110">
        <f t="shared" si="45"/>
        <v>37193</v>
      </c>
      <c r="F2894" s="69">
        <v>6.0890621627941446E-3</v>
      </c>
    </row>
    <row r="2895" spans="1:6" x14ac:dyDescent="0.3">
      <c r="A2895" s="24">
        <v>37773</v>
      </c>
      <c r="B2895" s="66">
        <v>457.10699999999997</v>
      </c>
      <c r="C2895" s="67"/>
      <c r="D2895" s="68">
        <v>0</v>
      </c>
      <c r="E2895" s="110">
        <f t="shared" si="45"/>
        <v>37193</v>
      </c>
      <c r="F2895" s="69">
        <v>6.0890621627941446E-3</v>
      </c>
    </row>
    <row r="2896" spans="1:6" x14ac:dyDescent="0.3">
      <c r="A2896" s="24">
        <v>37774</v>
      </c>
      <c r="B2896" s="66">
        <v>457.10699999999997</v>
      </c>
      <c r="C2896" s="67"/>
      <c r="D2896" s="68">
        <v>0</v>
      </c>
      <c r="E2896" s="110">
        <f t="shared" si="45"/>
        <v>37193</v>
      </c>
      <c r="F2896" s="69">
        <v>6.0890621627941446E-3</v>
      </c>
    </row>
    <row r="2897" spans="1:6" x14ac:dyDescent="0.3">
      <c r="A2897" s="24">
        <v>37775</v>
      </c>
      <c r="B2897" s="66">
        <v>457.10699999999997</v>
      </c>
      <c r="C2897" s="67"/>
      <c r="D2897" s="68">
        <v>0</v>
      </c>
      <c r="E2897" s="110">
        <f t="shared" si="45"/>
        <v>37193</v>
      </c>
      <c r="F2897" s="69">
        <v>6.0890621627941446E-3</v>
      </c>
    </row>
    <row r="2898" spans="1:6" x14ac:dyDescent="0.3">
      <c r="A2898" s="24">
        <v>37776</v>
      </c>
      <c r="B2898" s="66">
        <v>457.10699999999997</v>
      </c>
      <c r="C2898" s="67"/>
      <c r="D2898" s="68">
        <v>0</v>
      </c>
      <c r="E2898" s="110">
        <f t="shared" ref="E2898:E2961" si="46">+E2897</f>
        <v>37193</v>
      </c>
      <c r="F2898" s="69">
        <v>6.0890621627941446E-3</v>
      </c>
    </row>
    <row r="2899" spans="1:6" x14ac:dyDescent="0.3">
      <c r="A2899" s="24">
        <v>37777</v>
      </c>
      <c r="B2899" s="66">
        <v>457.10699999999997</v>
      </c>
      <c r="C2899" s="67"/>
      <c r="D2899" s="68">
        <v>0</v>
      </c>
      <c r="E2899" s="110">
        <f t="shared" si="46"/>
        <v>37193</v>
      </c>
      <c r="F2899" s="69">
        <v>6.0890621627941446E-3</v>
      </c>
    </row>
    <row r="2900" spans="1:6" x14ac:dyDescent="0.3">
      <c r="A2900" s="24">
        <v>37778</v>
      </c>
      <c r="B2900" s="66">
        <v>457.10699999999997</v>
      </c>
      <c r="C2900" s="67"/>
      <c r="D2900" s="68">
        <v>0</v>
      </c>
      <c r="E2900" s="110">
        <f t="shared" si="46"/>
        <v>37193</v>
      </c>
      <c r="F2900" s="69">
        <v>6.0890621627941446E-3</v>
      </c>
    </row>
    <row r="2901" spans="1:6" x14ac:dyDescent="0.3">
      <c r="A2901" s="24">
        <v>37779</v>
      </c>
      <c r="B2901" s="66">
        <v>457.10699999999997</v>
      </c>
      <c r="C2901" s="67"/>
      <c r="D2901" s="68">
        <v>0</v>
      </c>
      <c r="E2901" s="110">
        <f t="shared" si="46"/>
        <v>37193</v>
      </c>
      <c r="F2901" s="69">
        <v>6.0890621627941446E-3</v>
      </c>
    </row>
    <row r="2902" spans="1:6" x14ac:dyDescent="0.3">
      <c r="A2902" s="24">
        <v>37780</v>
      </c>
      <c r="B2902" s="66">
        <v>457.10699999999997</v>
      </c>
      <c r="C2902" s="67"/>
      <c r="D2902" s="68">
        <v>0</v>
      </c>
      <c r="E2902" s="110">
        <f t="shared" si="46"/>
        <v>37193</v>
      </c>
      <c r="F2902" s="69">
        <v>6.0890621627941446E-3</v>
      </c>
    </row>
    <row r="2903" spans="1:6" x14ac:dyDescent="0.3">
      <c r="A2903" s="24">
        <v>37781</v>
      </c>
      <c r="B2903" s="66">
        <v>457.10699999999997</v>
      </c>
      <c r="C2903" s="67"/>
      <c r="D2903" s="68">
        <v>0</v>
      </c>
      <c r="E2903" s="110">
        <f t="shared" si="46"/>
        <v>37193</v>
      </c>
      <c r="F2903" s="69">
        <v>6.0890621627941446E-3</v>
      </c>
    </row>
    <row r="2904" spans="1:6" x14ac:dyDescent="0.3">
      <c r="A2904" s="24">
        <v>37782</v>
      </c>
      <c r="B2904" s="66">
        <v>457.10699999999997</v>
      </c>
      <c r="C2904" s="67"/>
      <c r="D2904" s="68">
        <v>0</v>
      </c>
      <c r="E2904" s="110">
        <f t="shared" si="46"/>
        <v>37193</v>
      </c>
      <c r="F2904" s="69">
        <v>6.0890621627941446E-3</v>
      </c>
    </row>
    <row r="2905" spans="1:6" x14ac:dyDescent="0.3">
      <c r="A2905" s="24">
        <v>37783</v>
      </c>
      <c r="B2905" s="66">
        <v>457.10699999999997</v>
      </c>
      <c r="C2905" s="67"/>
      <c r="D2905" s="68">
        <v>0</v>
      </c>
      <c r="E2905" s="110">
        <f t="shared" si="46"/>
        <v>37193</v>
      </c>
      <c r="F2905" s="69">
        <v>6.0890621627941446E-3</v>
      </c>
    </row>
    <row r="2906" spans="1:6" x14ac:dyDescent="0.3">
      <c r="A2906" s="24">
        <v>37784</v>
      </c>
      <c r="B2906" s="66">
        <v>457.10699999999997</v>
      </c>
      <c r="C2906" s="67"/>
      <c r="D2906" s="68">
        <v>0</v>
      </c>
      <c r="E2906" s="110">
        <f t="shared" si="46"/>
        <v>37193</v>
      </c>
      <c r="F2906" s="69">
        <v>6.0890621627941446E-3</v>
      </c>
    </row>
    <row r="2907" spans="1:6" x14ac:dyDescent="0.3">
      <c r="A2907" s="24">
        <v>37785</v>
      </c>
      <c r="B2907" s="66">
        <v>457.10699999999997</v>
      </c>
      <c r="C2907" s="67"/>
      <c r="D2907" s="68">
        <v>0</v>
      </c>
      <c r="E2907" s="110">
        <f t="shared" si="46"/>
        <v>37193</v>
      </c>
      <c r="F2907" s="69">
        <v>6.0890621627941446E-3</v>
      </c>
    </row>
    <row r="2908" spans="1:6" x14ac:dyDescent="0.3">
      <c r="A2908" s="24">
        <v>37786</v>
      </c>
      <c r="B2908" s="66">
        <v>457.10699999999997</v>
      </c>
      <c r="C2908" s="67"/>
      <c r="D2908" s="68">
        <v>0</v>
      </c>
      <c r="E2908" s="110">
        <f t="shared" si="46"/>
        <v>37193</v>
      </c>
      <c r="F2908" s="69">
        <v>6.0890621627941446E-3</v>
      </c>
    </row>
    <row r="2909" spans="1:6" x14ac:dyDescent="0.3">
      <c r="A2909" s="24">
        <v>37787</v>
      </c>
      <c r="B2909" s="66">
        <v>457.10699999999997</v>
      </c>
      <c r="C2909" s="67"/>
      <c r="D2909" s="68">
        <v>0</v>
      </c>
      <c r="E2909" s="110">
        <f t="shared" si="46"/>
        <v>37193</v>
      </c>
      <c r="F2909" s="69">
        <v>6.0890621627941446E-3</v>
      </c>
    </row>
    <row r="2910" spans="1:6" x14ac:dyDescent="0.3">
      <c r="A2910" s="24">
        <v>37788</v>
      </c>
      <c r="B2910" s="66">
        <v>457.10699999999997</v>
      </c>
      <c r="C2910" s="67"/>
      <c r="D2910" s="68">
        <v>0</v>
      </c>
      <c r="E2910" s="110">
        <f t="shared" si="46"/>
        <v>37193</v>
      </c>
      <c r="F2910" s="69">
        <v>6.0890621627941446E-3</v>
      </c>
    </row>
    <row r="2911" spans="1:6" x14ac:dyDescent="0.3">
      <c r="A2911" s="24">
        <v>37789</v>
      </c>
      <c r="B2911" s="66">
        <v>457.10699999999997</v>
      </c>
      <c r="C2911" s="67"/>
      <c r="D2911" s="68">
        <v>0</v>
      </c>
      <c r="E2911" s="110">
        <f t="shared" si="46"/>
        <v>37193</v>
      </c>
      <c r="F2911" s="69">
        <v>6.0890621627941446E-3</v>
      </c>
    </row>
    <row r="2912" spans="1:6" x14ac:dyDescent="0.3">
      <c r="A2912" s="24">
        <v>37790</v>
      </c>
      <c r="B2912" s="66">
        <v>457.10699999999997</v>
      </c>
      <c r="C2912" s="67"/>
      <c r="D2912" s="68">
        <v>0</v>
      </c>
      <c r="E2912" s="110">
        <f t="shared" si="46"/>
        <v>37193</v>
      </c>
      <c r="F2912" s="69">
        <v>6.0890621627941446E-3</v>
      </c>
    </row>
    <row r="2913" spans="1:6" x14ac:dyDescent="0.3">
      <c r="A2913" s="24">
        <v>37791</v>
      </c>
      <c r="B2913" s="66">
        <v>457.10699999999997</v>
      </c>
      <c r="C2913" s="67"/>
      <c r="D2913" s="68">
        <v>0</v>
      </c>
      <c r="E2913" s="110">
        <f t="shared" si="46"/>
        <v>37193</v>
      </c>
      <c r="F2913" s="69">
        <v>6.0890621627941446E-3</v>
      </c>
    </row>
    <row r="2914" spans="1:6" x14ac:dyDescent="0.3">
      <c r="A2914" s="24">
        <v>37792</v>
      </c>
      <c r="B2914" s="66">
        <v>457.10699999999997</v>
      </c>
      <c r="C2914" s="67"/>
      <c r="D2914" s="68">
        <v>0</v>
      </c>
      <c r="E2914" s="110">
        <f t="shared" si="46"/>
        <v>37193</v>
      </c>
      <c r="F2914" s="69">
        <v>6.0890621627941446E-3</v>
      </c>
    </row>
    <row r="2915" spans="1:6" x14ac:dyDescent="0.3">
      <c r="A2915" s="24">
        <v>37793</v>
      </c>
      <c r="B2915" s="66">
        <v>457.10699999999997</v>
      </c>
      <c r="C2915" s="67"/>
      <c r="D2915" s="68">
        <v>0</v>
      </c>
      <c r="E2915" s="110">
        <f t="shared" si="46"/>
        <v>37193</v>
      </c>
      <c r="F2915" s="69">
        <v>6.0890621627941446E-3</v>
      </c>
    </row>
    <row r="2916" spans="1:6" x14ac:dyDescent="0.3">
      <c r="A2916" s="24">
        <v>37794</v>
      </c>
      <c r="B2916" s="66">
        <v>457.10699999999997</v>
      </c>
      <c r="C2916" s="67"/>
      <c r="D2916" s="68">
        <v>0</v>
      </c>
      <c r="E2916" s="110">
        <f t="shared" si="46"/>
        <v>37193</v>
      </c>
      <c r="F2916" s="69">
        <v>6.0890621627941446E-3</v>
      </c>
    </row>
    <row r="2917" spans="1:6" x14ac:dyDescent="0.3">
      <c r="A2917" s="24">
        <v>37795</v>
      </c>
      <c r="B2917" s="66">
        <v>457.10699999999997</v>
      </c>
      <c r="C2917" s="67"/>
      <c r="D2917" s="68">
        <v>0</v>
      </c>
      <c r="E2917" s="110">
        <f t="shared" si="46"/>
        <v>37193</v>
      </c>
      <c r="F2917" s="69">
        <v>6.0890621627941446E-3</v>
      </c>
    </row>
    <row r="2918" spans="1:6" x14ac:dyDescent="0.3">
      <c r="A2918" s="24">
        <v>37796</v>
      </c>
      <c r="B2918" s="66">
        <v>457.10699999999997</v>
      </c>
      <c r="C2918" s="67"/>
      <c r="D2918" s="68">
        <v>0</v>
      </c>
      <c r="E2918" s="110">
        <f t="shared" si="46"/>
        <v>37193</v>
      </c>
      <c r="F2918" s="69">
        <v>6.0890621627941446E-3</v>
      </c>
    </row>
    <row r="2919" spans="1:6" x14ac:dyDescent="0.3">
      <c r="A2919" s="24">
        <v>37797</v>
      </c>
      <c r="B2919" s="66">
        <v>457.10699999999997</v>
      </c>
      <c r="C2919" s="67"/>
      <c r="D2919" s="68">
        <v>0</v>
      </c>
      <c r="E2919" s="110">
        <f t="shared" si="46"/>
        <v>37193</v>
      </c>
      <c r="F2919" s="69">
        <v>6.0890621627941446E-3</v>
      </c>
    </row>
    <row r="2920" spans="1:6" x14ac:dyDescent="0.3">
      <c r="A2920" s="24">
        <v>37798</v>
      </c>
      <c r="B2920" s="66">
        <v>457.10699999999997</v>
      </c>
      <c r="C2920" s="67"/>
      <c r="D2920" s="68">
        <v>0</v>
      </c>
      <c r="E2920" s="110">
        <f t="shared" si="46"/>
        <v>37193</v>
      </c>
      <c r="F2920" s="69">
        <v>6.0890621627941446E-3</v>
      </c>
    </row>
    <row r="2921" spans="1:6" x14ac:dyDescent="0.3">
      <c r="A2921" s="24">
        <v>37799</v>
      </c>
      <c r="B2921" s="66">
        <v>457.10699999999997</v>
      </c>
      <c r="C2921" s="67"/>
      <c r="D2921" s="68">
        <v>0</v>
      </c>
      <c r="E2921" s="110">
        <f t="shared" si="46"/>
        <v>37193</v>
      </c>
      <c r="F2921" s="69">
        <v>6.0890621627941446E-3</v>
      </c>
    </row>
    <row r="2922" spans="1:6" x14ac:dyDescent="0.3">
      <c r="A2922" s="24">
        <v>37800</v>
      </c>
      <c r="B2922" s="66">
        <v>457.10699999999997</v>
      </c>
      <c r="C2922" s="67"/>
      <c r="D2922" s="68">
        <v>0</v>
      </c>
      <c r="E2922" s="110">
        <f t="shared" si="46"/>
        <v>37193</v>
      </c>
      <c r="F2922" s="69">
        <v>6.0890621627941446E-3</v>
      </c>
    </row>
    <row r="2923" spans="1:6" x14ac:dyDescent="0.3">
      <c r="A2923" s="24">
        <v>37801</v>
      </c>
      <c r="B2923" s="66">
        <v>457.10699999999997</v>
      </c>
      <c r="C2923" s="67"/>
      <c r="D2923" s="68">
        <v>0</v>
      </c>
      <c r="E2923" s="110">
        <f t="shared" si="46"/>
        <v>37193</v>
      </c>
      <c r="F2923" s="69">
        <v>6.0147543359315254E-3</v>
      </c>
    </row>
    <row r="2924" spans="1:6" x14ac:dyDescent="0.3">
      <c r="A2924" s="24">
        <v>37802</v>
      </c>
      <c r="B2924" s="66">
        <v>461.08299999999997</v>
      </c>
      <c r="C2924" s="67"/>
      <c r="D2924" s="68">
        <v>0</v>
      </c>
      <c r="E2924" s="110">
        <f t="shared" si="46"/>
        <v>37193</v>
      </c>
      <c r="F2924" s="69">
        <v>6.0147543359315254E-3</v>
      </c>
    </row>
    <row r="2925" spans="1:6" x14ac:dyDescent="0.3">
      <c r="A2925" s="24">
        <v>37803</v>
      </c>
      <c r="B2925" s="66">
        <v>461.08299999999997</v>
      </c>
      <c r="C2925" s="67"/>
      <c r="D2925" s="68">
        <v>0</v>
      </c>
      <c r="E2925" s="110">
        <f t="shared" si="46"/>
        <v>37193</v>
      </c>
      <c r="F2925" s="69">
        <v>6.0147543359315254E-3</v>
      </c>
    </row>
    <row r="2926" spans="1:6" x14ac:dyDescent="0.3">
      <c r="A2926" s="24">
        <v>37804</v>
      </c>
      <c r="B2926" s="66">
        <v>461.08299999999997</v>
      </c>
      <c r="C2926" s="67"/>
      <c r="D2926" s="68">
        <v>0</v>
      </c>
      <c r="E2926" s="110">
        <f t="shared" si="46"/>
        <v>37193</v>
      </c>
      <c r="F2926" s="69">
        <v>6.0147543359315254E-3</v>
      </c>
    </row>
    <row r="2927" spans="1:6" x14ac:dyDescent="0.3">
      <c r="A2927" s="24">
        <v>37805</v>
      </c>
      <c r="B2927" s="66">
        <v>461.08299999999997</v>
      </c>
      <c r="C2927" s="67"/>
      <c r="D2927" s="68">
        <v>0</v>
      </c>
      <c r="E2927" s="110">
        <f t="shared" si="46"/>
        <v>37193</v>
      </c>
      <c r="F2927" s="69">
        <v>6.0147543359315254E-3</v>
      </c>
    </row>
    <row r="2928" spans="1:6" x14ac:dyDescent="0.3">
      <c r="A2928" s="24">
        <v>37806</v>
      </c>
      <c r="B2928" s="66">
        <v>461.08299999999997</v>
      </c>
      <c r="C2928" s="67"/>
      <c r="D2928" s="68">
        <v>0</v>
      </c>
      <c r="E2928" s="110">
        <f t="shared" si="46"/>
        <v>37193</v>
      </c>
      <c r="F2928" s="69">
        <v>6.0147543359315254E-3</v>
      </c>
    </row>
    <row r="2929" spans="1:6" x14ac:dyDescent="0.3">
      <c r="A2929" s="24">
        <v>37807</v>
      </c>
      <c r="B2929" s="66">
        <v>461.08299999999997</v>
      </c>
      <c r="C2929" s="67"/>
      <c r="D2929" s="68">
        <v>0</v>
      </c>
      <c r="E2929" s="110">
        <f t="shared" si="46"/>
        <v>37193</v>
      </c>
      <c r="F2929" s="69">
        <v>6.0147543359315254E-3</v>
      </c>
    </row>
    <row r="2930" spans="1:6" x14ac:dyDescent="0.3">
      <c r="A2930" s="24">
        <v>37808</v>
      </c>
      <c r="B2930" s="66">
        <v>461.08299999999997</v>
      </c>
      <c r="C2930" s="67"/>
      <c r="D2930" s="68">
        <v>0</v>
      </c>
      <c r="E2930" s="110">
        <f t="shared" si="46"/>
        <v>37193</v>
      </c>
      <c r="F2930" s="69">
        <v>6.0147543359315254E-3</v>
      </c>
    </row>
    <row r="2931" spans="1:6" x14ac:dyDescent="0.3">
      <c r="A2931" s="24">
        <v>37809</v>
      </c>
      <c r="B2931" s="66">
        <v>461.08299999999997</v>
      </c>
      <c r="C2931" s="67"/>
      <c r="D2931" s="68">
        <v>0</v>
      </c>
      <c r="E2931" s="110">
        <f t="shared" si="46"/>
        <v>37193</v>
      </c>
      <c r="F2931" s="69">
        <v>6.0147543359315254E-3</v>
      </c>
    </row>
    <row r="2932" spans="1:6" x14ac:dyDescent="0.3">
      <c r="A2932" s="24">
        <v>37810</v>
      </c>
      <c r="B2932" s="66">
        <v>461.08299999999997</v>
      </c>
      <c r="C2932" s="67"/>
      <c r="D2932" s="68">
        <v>0</v>
      </c>
      <c r="E2932" s="110">
        <f t="shared" si="46"/>
        <v>37193</v>
      </c>
      <c r="F2932" s="69">
        <v>6.0147543359315254E-3</v>
      </c>
    </row>
    <row r="2933" spans="1:6" x14ac:dyDescent="0.3">
      <c r="A2933" s="24">
        <v>37811</v>
      </c>
      <c r="B2933" s="66">
        <v>461.08299999999997</v>
      </c>
      <c r="C2933" s="67"/>
      <c r="D2933" s="68">
        <v>0</v>
      </c>
      <c r="E2933" s="110">
        <f t="shared" si="46"/>
        <v>37193</v>
      </c>
      <c r="F2933" s="69">
        <v>6.0147543359315254E-3</v>
      </c>
    </row>
    <row r="2934" spans="1:6" x14ac:dyDescent="0.3">
      <c r="A2934" s="24">
        <v>37812</v>
      </c>
      <c r="B2934" s="66">
        <v>461.08299999999997</v>
      </c>
      <c r="C2934" s="67"/>
      <c r="D2934" s="68">
        <v>0</v>
      </c>
      <c r="E2934" s="110">
        <f t="shared" si="46"/>
        <v>37193</v>
      </c>
      <c r="F2934" s="69">
        <v>6.0147543359315254E-3</v>
      </c>
    </row>
    <row r="2935" spans="1:6" x14ac:dyDescent="0.3">
      <c r="A2935" s="24">
        <v>37813</v>
      </c>
      <c r="B2935" s="66">
        <v>461.08299999999997</v>
      </c>
      <c r="C2935" s="67"/>
      <c r="D2935" s="68">
        <v>0</v>
      </c>
      <c r="E2935" s="110">
        <f t="shared" si="46"/>
        <v>37193</v>
      </c>
      <c r="F2935" s="69">
        <v>6.0147543359315254E-3</v>
      </c>
    </row>
    <row r="2936" spans="1:6" x14ac:dyDescent="0.3">
      <c r="A2936" s="24">
        <v>37814</v>
      </c>
      <c r="B2936" s="66">
        <v>461.08299999999997</v>
      </c>
      <c r="C2936" s="67"/>
      <c r="D2936" s="68">
        <v>0</v>
      </c>
      <c r="E2936" s="110">
        <f t="shared" si="46"/>
        <v>37193</v>
      </c>
      <c r="F2936" s="69">
        <v>6.0147543359315254E-3</v>
      </c>
    </row>
    <row r="2937" spans="1:6" x14ac:dyDescent="0.3">
      <c r="A2937" s="24">
        <v>37815</v>
      </c>
      <c r="B2937" s="66">
        <v>461.08299999999997</v>
      </c>
      <c r="C2937" s="67"/>
      <c r="D2937" s="68">
        <v>0</v>
      </c>
      <c r="E2937" s="110">
        <f t="shared" si="46"/>
        <v>37193</v>
      </c>
      <c r="F2937" s="69">
        <v>6.0147543359315254E-3</v>
      </c>
    </row>
    <row r="2938" spans="1:6" x14ac:dyDescent="0.3">
      <c r="A2938" s="24">
        <v>37816</v>
      </c>
      <c r="B2938" s="66">
        <v>461.08299999999997</v>
      </c>
      <c r="C2938" s="67"/>
      <c r="D2938" s="68">
        <v>0</v>
      </c>
      <c r="E2938" s="110">
        <f t="shared" si="46"/>
        <v>37193</v>
      </c>
      <c r="F2938" s="69">
        <v>6.0147543359315254E-3</v>
      </c>
    </row>
    <row r="2939" spans="1:6" x14ac:dyDescent="0.3">
      <c r="A2939" s="24">
        <v>37817</v>
      </c>
      <c r="B2939" s="66">
        <v>461.08299999999997</v>
      </c>
      <c r="C2939" s="67"/>
      <c r="D2939" s="68">
        <v>0</v>
      </c>
      <c r="E2939" s="110">
        <f t="shared" si="46"/>
        <v>37193</v>
      </c>
      <c r="F2939" s="69">
        <v>6.0147543359315254E-3</v>
      </c>
    </row>
    <row r="2940" spans="1:6" x14ac:dyDescent="0.3">
      <c r="A2940" s="24">
        <v>37818</v>
      </c>
      <c r="B2940" s="66">
        <v>461.08299999999997</v>
      </c>
      <c r="C2940" s="67"/>
      <c r="D2940" s="68">
        <v>0</v>
      </c>
      <c r="E2940" s="110">
        <f t="shared" si="46"/>
        <v>37193</v>
      </c>
      <c r="F2940" s="69">
        <v>6.0147543359315254E-3</v>
      </c>
    </row>
    <row r="2941" spans="1:6" x14ac:dyDescent="0.3">
      <c r="A2941" s="24">
        <v>37819</v>
      </c>
      <c r="B2941" s="66">
        <v>461.08299999999997</v>
      </c>
      <c r="C2941" s="67"/>
      <c r="D2941" s="68">
        <v>0</v>
      </c>
      <c r="E2941" s="110">
        <f t="shared" si="46"/>
        <v>37193</v>
      </c>
      <c r="F2941" s="69">
        <v>6.0147543359315254E-3</v>
      </c>
    </row>
    <row r="2942" spans="1:6" x14ac:dyDescent="0.3">
      <c r="A2942" s="24">
        <v>37820</v>
      </c>
      <c r="B2942" s="66">
        <v>461.08299999999997</v>
      </c>
      <c r="C2942" s="67"/>
      <c r="D2942" s="68">
        <v>0</v>
      </c>
      <c r="E2942" s="110">
        <f t="shared" si="46"/>
        <v>37193</v>
      </c>
      <c r="F2942" s="69">
        <v>6.0147543359315254E-3</v>
      </c>
    </row>
    <row r="2943" spans="1:6" x14ac:dyDescent="0.3">
      <c r="A2943" s="24">
        <v>37821</v>
      </c>
      <c r="B2943" s="66">
        <v>461.08299999999997</v>
      </c>
      <c r="C2943" s="67"/>
      <c r="D2943" s="68">
        <v>0</v>
      </c>
      <c r="E2943" s="110">
        <f t="shared" si="46"/>
        <v>37193</v>
      </c>
      <c r="F2943" s="69">
        <v>6.0147543359315254E-3</v>
      </c>
    </row>
    <row r="2944" spans="1:6" x14ac:dyDescent="0.3">
      <c r="A2944" s="24">
        <v>37822</v>
      </c>
      <c r="B2944" s="66">
        <v>461.08299999999997</v>
      </c>
      <c r="C2944" s="67"/>
      <c r="D2944" s="68">
        <v>0</v>
      </c>
      <c r="E2944" s="110">
        <f t="shared" si="46"/>
        <v>37193</v>
      </c>
      <c r="F2944" s="69">
        <v>6.0147543359315254E-3</v>
      </c>
    </row>
    <row r="2945" spans="1:6" x14ac:dyDescent="0.3">
      <c r="A2945" s="24">
        <v>37823</v>
      </c>
      <c r="B2945" s="66">
        <v>461.08299999999997</v>
      </c>
      <c r="C2945" s="67"/>
      <c r="D2945" s="68">
        <v>0</v>
      </c>
      <c r="E2945" s="110">
        <f t="shared" si="46"/>
        <v>37193</v>
      </c>
      <c r="F2945" s="69">
        <v>6.0147543359315254E-3</v>
      </c>
    </row>
    <row r="2946" spans="1:6" x14ac:dyDescent="0.3">
      <c r="A2946" s="24">
        <v>37824</v>
      </c>
      <c r="B2946" s="66">
        <v>461.08299999999997</v>
      </c>
      <c r="C2946" s="67"/>
      <c r="D2946" s="68">
        <v>0</v>
      </c>
      <c r="E2946" s="110">
        <f t="shared" si="46"/>
        <v>37193</v>
      </c>
      <c r="F2946" s="69">
        <v>6.0147543359315254E-3</v>
      </c>
    </row>
    <row r="2947" spans="1:6" x14ac:dyDescent="0.3">
      <c r="A2947" s="24">
        <v>37825</v>
      </c>
      <c r="B2947" s="66">
        <v>461.08299999999997</v>
      </c>
      <c r="C2947" s="67"/>
      <c r="D2947" s="68">
        <v>0</v>
      </c>
      <c r="E2947" s="110">
        <f t="shared" si="46"/>
        <v>37193</v>
      </c>
      <c r="F2947" s="69">
        <v>6.0147543359315254E-3</v>
      </c>
    </row>
    <row r="2948" spans="1:6" x14ac:dyDescent="0.3">
      <c r="A2948" s="24">
        <v>37826</v>
      </c>
      <c r="B2948" s="66">
        <v>461.08299999999997</v>
      </c>
      <c r="C2948" s="67"/>
      <c r="D2948" s="68">
        <v>0</v>
      </c>
      <c r="E2948" s="110">
        <f t="shared" si="46"/>
        <v>37193</v>
      </c>
      <c r="F2948" s="69">
        <v>6.0147543359315254E-3</v>
      </c>
    </row>
    <row r="2949" spans="1:6" x14ac:dyDescent="0.3">
      <c r="A2949" s="24">
        <v>37827</v>
      </c>
      <c r="B2949" s="66">
        <v>461.08299999999997</v>
      </c>
      <c r="C2949" s="67"/>
      <c r="D2949" s="68">
        <v>0</v>
      </c>
      <c r="E2949" s="110">
        <f t="shared" si="46"/>
        <v>37193</v>
      </c>
      <c r="F2949" s="69">
        <v>6.0147543359315254E-3</v>
      </c>
    </row>
    <row r="2950" spans="1:6" x14ac:dyDescent="0.3">
      <c r="A2950" s="24">
        <v>37828</v>
      </c>
      <c r="B2950" s="66">
        <v>461.08299999999997</v>
      </c>
      <c r="C2950" s="67"/>
      <c r="D2950" s="68">
        <v>0</v>
      </c>
      <c r="E2950" s="110">
        <f t="shared" si="46"/>
        <v>37193</v>
      </c>
      <c r="F2950" s="69">
        <v>6.0147543359315254E-3</v>
      </c>
    </row>
    <row r="2951" spans="1:6" x14ac:dyDescent="0.3">
      <c r="A2951" s="24">
        <v>37829</v>
      </c>
      <c r="B2951" s="66">
        <v>461.08299999999997</v>
      </c>
      <c r="C2951" s="67"/>
      <c r="D2951" s="68">
        <v>0</v>
      </c>
      <c r="E2951" s="110">
        <f t="shared" si="46"/>
        <v>37193</v>
      </c>
      <c r="F2951" s="69">
        <v>6.0147543359315254E-3</v>
      </c>
    </row>
    <row r="2952" spans="1:6" x14ac:dyDescent="0.3">
      <c r="A2952" s="24">
        <v>37830</v>
      </c>
      <c r="B2952" s="66">
        <v>461.08299999999997</v>
      </c>
      <c r="C2952" s="67"/>
      <c r="D2952" s="68">
        <v>0</v>
      </c>
      <c r="E2952" s="110">
        <f t="shared" si="46"/>
        <v>37193</v>
      </c>
      <c r="F2952" s="69">
        <v>6.0147543359315254E-3</v>
      </c>
    </row>
    <row r="2953" spans="1:6" x14ac:dyDescent="0.3">
      <c r="A2953" s="24">
        <v>37831</v>
      </c>
      <c r="B2953" s="66">
        <v>461.08299999999997</v>
      </c>
      <c r="C2953" s="67"/>
      <c r="D2953" s="68">
        <v>0</v>
      </c>
      <c r="E2953" s="110">
        <f t="shared" si="46"/>
        <v>37193</v>
      </c>
      <c r="F2953" s="69">
        <v>6.0147543359315254E-3</v>
      </c>
    </row>
    <row r="2954" spans="1:6" x14ac:dyDescent="0.3">
      <c r="A2954" s="24">
        <v>37832</v>
      </c>
      <c r="B2954" s="66">
        <v>461.08299999999997</v>
      </c>
      <c r="C2954" s="67"/>
      <c r="D2954" s="68">
        <v>0</v>
      </c>
      <c r="E2954" s="110">
        <f t="shared" si="46"/>
        <v>37193</v>
      </c>
      <c r="F2954" s="69">
        <v>6.0147543359315254E-3</v>
      </c>
    </row>
    <row r="2955" spans="1:6" x14ac:dyDescent="0.3">
      <c r="A2955" s="24">
        <v>37833</v>
      </c>
      <c r="B2955" s="66">
        <v>461.08299999999997</v>
      </c>
      <c r="C2955" s="67"/>
      <c r="D2955" s="68">
        <v>0</v>
      </c>
      <c r="E2955" s="110">
        <f t="shared" si="46"/>
        <v>37193</v>
      </c>
      <c r="F2955" s="69">
        <v>6.0147543359315254E-3</v>
      </c>
    </row>
    <row r="2956" spans="1:6" x14ac:dyDescent="0.3">
      <c r="A2956" s="24">
        <v>37834</v>
      </c>
      <c r="B2956" s="66">
        <v>461.08299999999997</v>
      </c>
      <c r="C2956" s="67"/>
      <c r="D2956" s="68">
        <v>0</v>
      </c>
      <c r="E2956" s="110">
        <f t="shared" si="46"/>
        <v>37193</v>
      </c>
      <c r="F2956" s="69">
        <v>6.0147543359315254E-3</v>
      </c>
    </row>
    <row r="2957" spans="1:6" x14ac:dyDescent="0.3">
      <c r="A2957" s="24">
        <v>37835</v>
      </c>
      <c r="B2957" s="66">
        <v>461.08299999999997</v>
      </c>
      <c r="C2957" s="67"/>
      <c r="D2957" s="68">
        <v>0</v>
      </c>
      <c r="E2957" s="110">
        <f t="shared" si="46"/>
        <v>37193</v>
      </c>
      <c r="F2957" s="69">
        <v>6.0147543359315254E-3</v>
      </c>
    </row>
    <row r="2958" spans="1:6" x14ac:dyDescent="0.3">
      <c r="A2958" s="24">
        <v>37836</v>
      </c>
      <c r="B2958" s="66">
        <v>461.08299999999997</v>
      </c>
      <c r="C2958" s="67"/>
      <c r="D2958" s="68">
        <v>0</v>
      </c>
      <c r="E2958" s="110">
        <f t="shared" si="46"/>
        <v>37193</v>
      </c>
      <c r="F2958" s="69">
        <v>6.0147543359315254E-3</v>
      </c>
    </row>
    <row r="2959" spans="1:6" x14ac:dyDescent="0.3">
      <c r="A2959" s="24">
        <v>37837</v>
      </c>
      <c r="B2959" s="66">
        <v>461.08299999999997</v>
      </c>
      <c r="C2959" s="67"/>
      <c r="D2959" s="68">
        <v>0</v>
      </c>
      <c r="E2959" s="110">
        <f t="shared" si="46"/>
        <v>37193</v>
      </c>
      <c r="F2959" s="69">
        <v>6.0147543359315254E-3</v>
      </c>
    </row>
    <row r="2960" spans="1:6" x14ac:dyDescent="0.3">
      <c r="A2960" s="24">
        <v>37838</v>
      </c>
      <c r="B2960" s="66">
        <v>461.08299999999997</v>
      </c>
      <c r="C2960" s="67"/>
      <c r="D2960" s="68">
        <v>0</v>
      </c>
      <c r="E2960" s="110">
        <f t="shared" si="46"/>
        <v>37193</v>
      </c>
      <c r="F2960" s="69">
        <v>6.0147543359315254E-3</v>
      </c>
    </row>
    <row r="2961" spans="1:6" x14ac:dyDescent="0.3">
      <c r="A2961" s="24">
        <v>37839</v>
      </c>
      <c r="B2961" s="66">
        <v>461.08299999999997</v>
      </c>
      <c r="C2961" s="67"/>
      <c r="D2961" s="68">
        <v>0</v>
      </c>
      <c r="E2961" s="110">
        <f t="shared" si="46"/>
        <v>37193</v>
      </c>
      <c r="F2961" s="69">
        <v>6.0147543359315254E-3</v>
      </c>
    </row>
    <row r="2962" spans="1:6" x14ac:dyDescent="0.3">
      <c r="A2962" s="24">
        <v>37840</v>
      </c>
      <c r="B2962" s="66">
        <v>461.08299999999997</v>
      </c>
      <c r="C2962" s="67"/>
      <c r="D2962" s="68">
        <v>0</v>
      </c>
      <c r="E2962" s="110">
        <f t="shared" ref="E2962:E3025" si="47">+E2961</f>
        <v>37193</v>
      </c>
      <c r="F2962" s="69">
        <v>6.0147543359315254E-3</v>
      </c>
    </row>
    <row r="2963" spans="1:6" x14ac:dyDescent="0.3">
      <c r="A2963" s="24">
        <v>37841</v>
      </c>
      <c r="B2963" s="66">
        <v>461.08299999999997</v>
      </c>
      <c r="C2963" s="67"/>
      <c r="D2963" s="68">
        <v>0</v>
      </c>
      <c r="E2963" s="110">
        <f t="shared" si="47"/>
        <v>37193</v>
      </c>
      <c r="F2963" s="69">
        <v>6.0147543359315254E-3</v>
      </c>
    </row>
    <row r="2964" spans="1:6" x14ac:dyDescent="0.3">
      <c r="A2964" s="24">
        <v>37842</v>
      </c>
      <c r="B2964" s="66">
        <v>461.08299999999997</v>
      </c>
      <c r="C2964" s="67"/>
      <c r="D2964" s="68">
        <v>0</v>
      </c>
      <c r="E2964" s="110">
        <f t="shared" si="47"/>
        <v>37193</v>
      </c>
      <c r="F2964" s="69">
        <v>6.0147543359315254E-3</v>
      </c>
    </row>
    <row r="2965" spans="1:6" x14ac:dyDescent="0.3">
      <c r="A2965" s="24">
        <v>37843</v>
      </c>
      <c r="B2965" s="66">
        <v>461.08299999999997</v>
      </c>
      <c r="C2965" s="67"/>
      <c r="D2965" s="68">
        <v>0</v>
      </c>
      <c r="E2965" s="110">
        <f t="shared" si="47"/>
        <v>37193</v>
      </c>
      <c r="F2965" s="69">
        <v>6.0147543359315254E-3</v>
      </c>
    </row>
    <row r="2966" spans="1:6" x14ac:dyDescent="0.3">
      <c r="A2966" s="24">
        <v>37844</v>
      </c>
      <c r="B2966" s="66">
        <v>461.08299999999997</v>
      </c>
      <c r="C2966" s="67"/>
      <c r="D2966" s="68">
        <v>0</v>
      </c>
      <c r="E2966" s="110">
        <f t="shared" si="47"/>
        <v>37193</v>
      </c>
      <c r="F2966" s="69">
        <v>6.0147543359315254E-3</v>
      </c>
    </row>
    <row r="2967" spans="1:6" x14ac:dyDescent="0.3">
      <c r="A2967" s="24">
        <v>37845</v>
      </c>
      <c r="B2967" s="66">
        <v>461.08299999999997</v>
      </c>
      <c r="C2967" s="67"/>
      <c r="D2967" s="68">
        <v>0</v>
      </c>
      <c r="E2967" s="110">
        <f t="shared" si="47"/>
        <v>37193</v>
      </c>
      <c r="F2967" s="69">
        <v>6.0147543359315254E-3</v>
      </c>
    </row>
    <row r="2968" spans="1:6" x14ac:dyDescent="0.3">
      <c r="A2968" s="24">
        <v>37846</v>
      </c>
      <c r="B2968" s="66">
        <v>461.08299999999997</v>
      </c>
      <c r="C2968" s="67"/>
      <c r="D2968" s="68">
        <v>0</v>
      </c>
      <c r="E2968" s="110">
        <f t="shared" si="47"/>
        <v>37193</v>
      </c>
      <c r="F2968" s="69">
        <v>6.0147543359315254E-3</v>
      </c>
    </row>
    <row r="2969" spans="1:6" x14ac:dyDescent="0.3">
      <c r="A2969" s="24">
        <v>37847</v>
      </c>
      <c r="B2969" s="66">
        <v>461.08299999999997</v>
      </c>
      <c r="C2969" s="67"/>
      <c r="D2969" s="68">
        <v>0</v>
      </c>
      <c r="E2969" s="110">
        <f t="shared" si="47"/>
        <v>37193</v>
      </c>
      <c r="F2969" s="69">
        <v>6.0147543359315254E-3</v>
      </c>
    </row>
    <row r="2970" spans="1:6" x14ac:dyDescent="0.3">
      <c r="A2970" s="24">
        <v>37848</v>
      </c>
      <c r="B2970" s="66">
        <v>461.08299999999997</v>
      </c>
      <c r="C2970" s="67"/>
      <c r="D2970" s="68">
        <v>0</v>
      </c>
      <c r="E2970" s="110">
        <f t="shared" si="47"/>
        <v>37193</v>
      </c>
      <c r="F2970" s="69">
        <v>6.0147543359315254E-3</v>
      </c>
    </row>
    <row r="2971" spans="1:6" x14ac:dyDescent="0.3">
      <c r="A2971" s="24">
        <v>37849</v>
      </c>
      <c r="B2971" s="66">
        <v>461.08299999999997</v>
      </c>
      <c r="C2971" s="67"/>
      <c r="D2971" s="68">
        <v>0</v>
      </c>
      <c r="E2971" s="110">
        <f t="shared" si="47"/>
        <v>37193</v>
      </c>
      <c r="F2971" s="69">
        <v>6.0147543359315254E-3</v>
      </c>
    </row>
    <row r="2972" spans="1:6" x14ac:dyDescent="0.3">
      <c r="A2972" s="24">
        <v>37850</v>
      </c>
      <c r="B2972" s="66">
        <v>461.08299999999997</v>
      </c>
      <c r="C2972" s="67"/>
      <c r="D2972" s="68">
        <v>0</v>
      </c>
      <c r="E2972" s="110">
        <f t="shared" si="47"/>
        <v>37193</v>
      </c>
      <c r="F2972" s="69">
        <v>6.0147543359315254E-3</v>
      </c>
    </row>
    <row r="2973" spans="1:6" x14ac:dyDescent="0.3">
      <c r="A2973" s="24">
        <v>37851</v>
      </c>
      <c r="B2973" s="66">
        <v>461.08299999999997</v>
      </c>
      <c r="C2973" s="67"/>
      <c r="D2973" s="68">
        <v>0</v>
      </c>
      <c r="E2973" s="110">
        <f t="shared" si="47"/>
        <v>37193</v>
      </c>
      <c r="F2973" s="69">
        <v>6.0147543359315254E-3</v>
      </c>
    </row>
    <row r="2974" spans="1:6" x14ac:dyDescent="0.3">
      <c r="A2974" s="24">
        <v>37852</v>
      </c>
      <c r="B2974" s="66">
        <v>461.08299999999997</v>
      </c>
      <c r="C2974" s="67"/>
      <c r="D2974" s="68">
        <v>0</v>
      </c>
      <c r="E2974" s="110">
        <f t="shared" si="47"/>
        <v>37193</v>
      </c>
      <c r="F2974" s="69">
        <v>6.0147543359315254E-3</v>
      </c>
    </row>
    <row r="2975" spans="1:6" x14ac:dyDescent="0.3">
      <c r="A2975" s="24">
        <v>37853</v>
      </c>
      <c r="B2975" s="66">
        <v>461.08299999999997</v>
      </c>
      <c r="C2975" s="67"/>
      <c r="D2975" s="68">
        <v>0</v>
      </c>
      <c r="E2975" s="110">
        <f t="shared" si="47"/>
        <v>37193</v>
      </c>
      <c r="F2975" s="69">
        <v>6.0147543359315254E-3</v>
      </c>
    </row>
    <row r="2976" spans="1:6" x14ac:dyDescent="0.3">
      <c r="A2976" s="24">
        <v>37854</v>
      </c>
      <c r="B2976" s="66">
        <v>461.08299999999997</v>
      </c>
      <c r="C2976" s="67"/>
      <c r="D2976" s="68">
        <v>0</v>
      </c>
      <c r="E2976" s="110">
        <f t="shared" si="47"/>
        <v>37193</v>
      </c>
      <c r="F2976" s="69">
        <v>6.0147543359315254E-3</v>
      </c>
    </row>
    <row r="2977" spans="1:6" x14ac:dyDescent="0.3">
      <c r="A2977" s="24">
        <v>37855</v>
      </c>
      <c r="B2977" s="66">
        <v>461.08299999999997</v>
      </c>
      <c r="C2977" s="67"/>
      <c r="D2977" s="68">
        <v>0</v>
      </c>
      <c r="E2977" s="110">
        <f t="shared" si="47"/>
        <v>37193</v>
      </c>
      <c r="F2977" s="69">
        <v>6.0147543359315254E-3</v>
      </c>
    </row>
    <row r="2978" spans="1:6" x14ac:dyDescent="0.3">
      <c r="A2978" s="24">
        <v>37856</v>
      </c>
      <c r="B2978" s="66">
        <v>461.08299999999997</v>
      </c>
      <c r="C2978" s="67"/>
      <c r="D2978" s="68">
        <v>0</v>
      </c>
      <c r="E2978" s="110">
        <f t="shared" si="47"/>
        <v>37193</v>
      </c>
      <c r="F2978" s="69">
        <v>6.0147543359315254E-3</v>
      </c>
    </row>
    <row r="2979" spans="1:6" x14ac:dyDescent="0.3">
      <c r="A2979" s="24">
        <v>37857</v>
      </c>
      <c r="B2979" s="66">
        <v>461.08299999999997</v>
      </c>
      <c r="C2979" s="67"/>
      <c r="D2979" s="68">
        <v>0</v>
      </c>
      <c r="E2979" s="110">
        <f t="shared" si="47"/>
        <v>37193</v>
      </c>
      <c r="F2979" s="69">
        <v>6.0147543359315254E-3</v>
      </c>
    </row>
    <row r="2980" spans="1:6" x14ac:dyDescent="0.3">
      <c r="A2980" s="24">
        <v>37858</v>
      </c>
      <c r="B2980" s="66">
        <v>461.08299999999997</v>
      </c>
      <c r="C2980" s="67"/>
      <c r="D2980" s="68">
        <v>0</v>
      </c>
      <c r="E2980" s="110">
        <f t="shared" si="47"/>
        <v>37193</v>
      </c>
      <c r="F2980" s="69">
        <v>6.0147543359315254E-3</v>
      </c>
    </row>
    <row r="2981" spans="1:6" x14ac:dyDescent="0.3">
      <c r="A2981" s="24">
        <v>37859</v>
      </c>
      <c r="B2981" s="66">
        <v>461.08299999999997</v>
      </c>
      <c r="C2981" s="67"/>
      <c r="D2981" s="68">
        <v>0</v>
      </c>
      <c r="E2981" s="110">
        <f t="shared" si="47"/>
        <v>37193</v>
      </c>
      <c r="F2981" s="69">
        <v>6.0147543359315254E-3</v>
      </c>
    </row>
    <row r="2982" spans="1:6" x14ac:dyDescent="0.3">
      <c r="A2982" s="24">
        <v>37860</v>
      </c>
      <c r="B2982" s="66">
        <v>461.08299999999997</v>
      </c>
      <c r="C2982" s="67"/>
      <c r="D2982" s="68">
        <v>0</v>
      </c>
      <c r="E2982" s="110">
        <f t="shared" si="47"/>
        <v>37193</v>
      </c>
      <c r="F2982" s="69">
        <v>6.0147543359315254E-3</v>
      </c>
    </row>
    <row r="2983" spans="1:6" x14ac:dyDescent="0.3">
      <c r="A2983" s="24">
        <v>37861</v>
      </c>
      <c r="B2983" s="66">
        <v>461.08299999999997</v>
      </c>
      <c r="C2983" s="67"/>
      <c r="D2983" s="68">
        <v>0</v>
      </c>
      <c r="E2983" s="110">
        <f t="shared" si="47"/>
        <v>37193</v>
      </c>
      <c r="F2983" s="69">
        <v>6.0147543359315254E-3</v>
      </c>
    </row>
    <row r="2984" spans="1:6" x14ac:dyDescent="0.3">
      <c r="A2984" s="24">
        <v>37862</v>
      </c>
      <c r="B2984" s="66">
        <v>461.08299999999997</v>
      </c>
      <c r="C2984" s="67"/>
      <c r="D2984" s="68">
        <v>0</v>
      </c>
      <c r="E2984" s="110">
        <f t="shared" si="47"/>
        <v>37193</v>
      </c>
      <c r="F2984" s="69">
        <v>6.0147543359315254E-3</v>
      </c>
    </row>
    <row r="2985" spans="1:6" x14ac:dyDescent="0.3">
      <c r="A2985" s="24">
        <v>37863</v>
      </c>
      <c r="B2985" s="66">
        <v>461.08299999999997</v>
      </c>
      <c r="C2985" s="67"/>
      <c r="D2985" s="68">
        <v>0</v>
      </c>
      <c r="E2985" s="110">
        <f t="shared" si="47"/>
        <v>37193</v>
      </c>
      <c r="F2985" s="69">
        <v>6.0147543359315254E-3</v>
      </c>
    </row>
    <row r="2986" spans="1:6" x14ac:dyDescent="0.3">
      <c r="A2986" s="24">
        <v>37864</v>
      </c>
      <c r="B2986" s="66">
        <v>461.08299999999997</v>
      </c>
      <c r="C2986" s="67"/>
      <c r="D2986" s="68">
        <v>0</v>
      </c>
      <c r="E2986" s="110">
        <f t="shared" si="47"/>
        <v>37193</v>
      </c>
      <c r="F2986" s="69">
        <v>6.0147543359315254E-3</v>
      </c>
    </row>
    <row r="2987" spans="1:6" x14ac:dyDescent="0.3">
      <c r="A2987" s="24">
        <v>37865</v>
      </c>
      <c r="B2987" s="66">
        <v>461.08299999999997</v>
      </c>
      <c r="C2987" s="67"/>
      <c r="D2987" s="68">
        <v>0</v>
      </c>
      <c r="E2987" s="110">
        <f t="shared" si="47"/>
        <v>37193</v>
      </c>
      <c r="F2987" s="69">
        <v>6.0147543359315254E-3</v>
      </c>
    </row>
    <row r="2988" spans="1:6" x14ac:dyDescent="0.3">
      <c r="A2988" s="24">
        <v>37866</v>
      </c>
      <c r="B2988" s="66">
        <v>461.08299999999997</v>
      </c>
      <c r="C2988" s="67"/>
      <c r="D2988" s="68">
        <v>0</v>
      </c>
      <c r="E2988" s="110">
        <f t="shared" si="47"/>
        <v>37193</v>
      </c>
      <c r="F2988" s="69">
        <v>6.0147543359315254E-3</v>
      </c>
    </row>
    <row r="2989" spans="1:6" x14ac:dyDescent="0.3">
      <c r="A2989" s="24">
        <v>37867</v>
      </c>
      <c r="B2989" s="66">
        <v>461.08299999999997</v>
      </c>
      <c r="C2989" s="67"/>
      <c r="D2989" s="68">
        <v>0</v>
      </c>
      <c r="E2989" s="110">
        <f t="shared" si="47"/>
        <v>37193</v>
      </c>
      <c r="F2989" s="69">
        <v>6.0147543359315254E-3</v>
      </c>
    </row>
    <row r="2990" spans="1:6" x14ac:dyDescent="0.3">
      <c r="A2990" s="24">
        <v>37868</v>
      </c>
      <c r="B2990" s="66">
        <v>461.08299999999997</v>
      </c>
      <c r="C2990" s="67"/>
      <c r="D2990" s="68">
        <v>0</v>
      </c>
      <c r="E2990" s="110">
        <f t="shared" si="47"/>
        <v>37193</v>
      </c>
      <c r="F2990" s="69">
        <v>6.0147543359315254E-3</v>
      </c>
    </row>
    <row r="2991" spans="1:6" x14ac:dyDescent="0.3">
      <c r="A2991" s="24">
        <v>37869</v>
      </c>
      <c r="B2991" s="66">
        <v>461.08299999999997</v>
      </c>
      <c r="C2991" s="67"/>
      <c r="D2991" s="68">
        <v>0</v>
      </c>
      <c r="E2991" s="110">
        <f t="shared" si="47"/>
        <v>37193</v>
      </c>
      <c r="F2991" s="69">
        <v>6.0147543359315254E-3</v>
      </c>
    </row>
    <row r="2992" spans="1:6" x14ac:dyDescent="0.3">
      <c r="A2992" s="24">
        <v>37870</v>
      </c>
      <c r="B2992" s="66">
        <v>461.08299999999997</v>
      </c>
      <c r="C2992" s="67"/>
      <c r="D2992" s="68">
        <v>0</v>
      </c>
      <c r="E2992" s="110">
        <f t="shared" si="47"/>
        <v>37193</v>
      </c>
      <c r="F2992" s="69">
        <v>6.0147543359315254E-3</v>
      </c>
    </row>
    <row r="2993" spans="1:6" x14ac:dyDescent="0.3">
      <c r="A2993" s="24">
        <v>37871</v>
      </c>
      <c r="B2993" s="66">
        <v>461.08299999999997</v>
      </c>
      <c r="C2993" s="67"/>
      <c r="D2993" s="68">
        <v>0</v>
      </c>
      <c r="E2993" s="110">
        <f t="shared" si="47"/>
        <v>37193</v>
      </c>
      <c r="F2993" s="69">
        <v>6.0147543359315254E-3</v>
      </c>
    </row>
    <row r="2994" spans="1:6" x14ac:dyDescent="0.3">
      <c r="A2994" s="24">
        <v>37872</v>
      </c>
      <c r="B2994" s="66">
        <v>461.08299999999997</v>
      </c>
      <c r="C2994" s="67"/>
      <c r="D2994" s="68">
        <v>0</v>
      </c>
      <c r="E2994" s="110">
        <f t="shared" si="47"/>
        <v>37193</v>
      </c>
      <c r="F2994" s="69">
        <v>6.0147543359315254E-3</v>
      </c>
    </row>
    <row r="2995" spans="1:6" x14ac:dyDescent="0.3">
      <c r="A2995" s="24">
        <v>37873</v>
      </c>
      <c r="B2995" s="66">
        <v>461.08299999999997</v>
      </c>
      <c r="C2995" s="67"/>
      <c r="D2995" s="68">
        <v>0</v>
      </c>
      <c r="E2995" s="110">
        <f t="shared" si="47"/>
        <v>37193</v>
      </c>
      <c r="F2995" s="69">
        <v>6.0147543359315254E-3</v>
      </c>
    </row>
    <row r="2996" spans="1:6" x14ac:dyDescent="0.3">
      <c r="A2996" s="24">
        <v>37874</v>
      </c>
      <c r="B2996" s="66">
        <v>461.08299999999997</v>
      </c>
      <c r="C2996" s="67"/>
      <c r="D2996" s="68">
        <v>0</v>
      </c>
      <c r="E2996" s="110">
        <f t="shared" si="47"/>
        <v>37193</v>
      </c>
      <c r="F2996" s="69">
        <v>6.0147543359315254E-3</v>
      </c>
    </row>
    <row r="2997" spans="1:6" x14ac:dyDescent="0.3">
      <c r="A2997" s="24">
        <v>37875</v>
      </c>
      <c r="B2997" s="66">
        <v>461.08299999999997</v>
      </c>
      <c r="C2997" s="67"/>
      <c r="D2997" s="68">
        <v>0</v>
      </c>
      <c r="E2997" s="110">
        <f t="shared" si="47"/>
        <v>37193</v>
      </c>
      <c r="F2997" s="69">
        <v>6.0147543359315254E-3</v>
      </c>
    </row>
    <row r="2998" spans="1:6" x14ac:dyDescent="0.3">
      <c r="A2998" s="24">
        <v>37876</v>
      </c>
      <c r="B2998" s="66">
        <v>461.08299999999997</v>
      </c>
      <c r="C2998" s="67"/>
      <c r="D2998" s="68">
        <v>0</v>
      </c>
      <c r="E2998" s="110">
        <f t="shared" si="47"/>
        <v>37193</v>
      </c>
      <c r="F2998" s="69">
        <v>6.0147543359315254E-3</v>
      </c>
    </row>
    <row r="2999" spans="1:6" x14ac:dyDescent="0.3">
      <c r="A2999" s="24">
        <v>37877</v>
      </c>
      <c r="B2999" s="66">
        <v>461.08299999999997</v>
      </c>
      <c r="C2999" s="67"/>
      <c r="D2999" s="68">
        <v>0</v>
      </c>
      <c r="E2999" s="110">
        <f t="shared" si="47"/>
        <v>37193</v>
      </c>
      <c r="F2999" s="69">
        <v>6.0147543359315254E-3</v>
      </c>
    </row>
    <row r="3000" spans="1:6" x14ac:dyDescent="0.3">
      <c r="A3000" s="24">
        <v>37878</v>
      </c>
      <c r="B3000" s="66">
        <v>461.08299999999997</v>
      </c>
      <c r="C3000" s="67"/>
      <c r="D3000" s="68">
        <v>0</v>
      </c>
      <c r="E3000" s="110">
        <f t="shared" si="47"/>
        <v>37193</v>
      </c>
      <c r="F3000" s="69">
        <v>6.0147543359315254E-3</v>
      </c>
    </row>
    <row r="3001" spans="1:6" x14ac:dyDescent="0.3">
      <c r="A3001" s="24">
        <v>37879</v>
      </c>
      <c r="B3001" s="66">
        <v>461.08299999999997</v>
      </c>
      <c r="C3001" s="67"/>
      <c r="D3001" s="68">
        <v>0</v>
      </c>
      <c r="E3001" s="110">
        <f t="shared" si="47"/>
        <v>37193</v>
      </c>
      <c r="F3001" s="69">
        <v>6.0147543359315254E-3</v>
      </c>
    </row>
    <row r="3002" spans="1:6" x14ac:dyDescent="0.3">
      <c r="A3002" s="24">
        <v>37880</v>
      </c>
      <c r="B3002" s="66">
        <v>461.08299999999997</v>
      </c>
      <c r="C3002" s="67"/>
      <c r="D3002" s="68">
        <v>0</v>
      </c>
      <c r="E3002" s="110">
        <f t="shared" si="47"/>
        <v>37193</v>
      </c>
      <c r="F3002" s="69">
        <v>6.0147543359315254E-3</v>
      </c>
    </row>
    <row r="3003" spans="1:6" x14ac:dyDescent="0.3">
      <c r="A3003" s="24">
        <v>37881</v>
      </c>
      <c r="B3003" s="66">
        <v>461.08299999999997</v>
      </c>
      <c r="C3003" s="67"/>
      <c r="D3003" s="68">
        <v>0</v>
      </c>
      <c r="E3003" s="110">
        <f t="shared" si="47"/>
        <v>37193</v>
      </c>
      <c r="F3003" s="69">
        <v>6.0147543359315254E-3</v>
      </c>
    </row>
    <row r="3004" spans="1:6" x14ac:dyDescent="0.3">
      <c r="A3004" s="24">
        <v>37882</v>
      </c>
      <c r="B3004" s="66">
        <v>461.08299999999997</v>
      </c>
      <c r="C3004" s="67"/>
      <c r="D3004" s="68">
        <v>0</v>
      </c>
      <c r="E3004" s="110">
        <f t="shared" si="47"/>
        <v>37193</v>
      </c>
      <c r="F3004" s="69">
        <v>6.0147543359315254E-3</v>
      </c>
    </row>
    <row r="3005" spans="1:6" x14ac:dyDescent="0.3">
      <c r="A3005" s="24">
        <v>37883</v>
      </c>
      <c r="B3005" s="66">
        <v>461.08299999999997</v>
      </c>
      <c r="C3005" s="67"/>
      <c r="D3005" s="68">
        <v>0</v>
      </c>
      <c r="E3005" s="110">
        <f t="shared" si="47"/>
        <v>37193</v>
      </c>
      <c r="F3005" s="69">
        <v>6.0147543359315254E-3</v>
      </c>
    </row>
    <row r="3006" spans="1:6" x14ac:dyDescent="0.3">
      <c r="A3006" s="24">
        <v>37884</v>
      </c>
      <c r="B3006" s="66">
        <v>461.08299999999997</v>
      </c>
      <c r="C3006" s="67"/>
      <c r="D3006" s="68">
        <v>0</v>
      </c>
      <c r="E3006" s="110">
        <f t="shared" si="47"/>
        <v>37193</v>
      </c>
      <c r="F3006" s="69">
        <v>6.0147543359315254E-3</v>
      </c>
    </row>
    <row r="3007" spans="1:6" x14ac:dyDescent="0.3">
      <c r="A3007" s="24">
        <v>37885</v>
      </c>
      <c r="B3007" s="66">
        <v>461.08299999999997</v>
      </c>
      <c r="C3007" s="67"/>
      <c r="D3007" s="68">
        <v>0</v>
      </c>
      <c r="E3007" s="110">
        <f t="shared" si="47"/>
        <v>37193</v>
      </c>
      <c r="F3007" s="69">
        <v>6.0147543359315254E-3</v>
      </c>
    </row>
    <row r="3008" spans="1:6" x14ac:dyDescent="0.3">
      <c r="A3008" s="24">
        <v>37886</v>
      </c>
      <c r="B3008" s="66">
        <v>461.08299999999997</v>
      </c>
      <c r="C3008" s="67"/>
      <c r="D3008" s="68">
        <v>0</v>
      </c>
      <c r="E3008" s="110">
        <f t="shared" si="47"/>
        <v>37193</v>
      </c>
      <c r="F3008" s="69">
        <v>6.0147543359315254E-3</v>
      </c>
    </row>
    <row r="3009" spans="1:6" x14ac:dyDescent="0.3">
      <c r="A3009" s="24">
        <v>37887</v>
      </c>
      <c r="B3009" s="66">
        <v>461.08299999999997</v>
      </c>
      <c r="C3009" s="67"/>
      <c r="D3009" s="68">
        <v>0</v>
      </c>
      <c r="E3009" s="110">
        <f t="shared" si="47"/>
        <v>37193</v>
      </c>
      <c r="F3009" s="69">
        <v>6.0147543359315254E-3</v>
      </c>
    </row>
    <row r="3010" spans="1:6" x14ac:dyDescent="0.3">
      <c r="A3010" s="24">
        <v>37888</v>
      </c>
      <c r="B3010" s="66">
        <v>461.08299999999997</v>
      </c>
      <c r="C3010" s="67"/>
      <c r="D3010" s="68">
        <v>0</v>
      </c>
      <c r="E3010" s="110">
        <f t="shared" si="47"/>
        <v>37193</v>
      </c>
      <c r="F3010" s="69">
        <v>6.0147543359315254E-3</v>
      </c>
    </row>
    <row r="3011" spans="1:6" x14ac:dyDescent="0.3">
      <c r="A3011" s="24">
        <v>37889</v>
      </c>
      <c r="B3011" s="66">
        <v>461.08299999999997</v>
      </c>
      <c r="C3011" s="67"/>
      <c r="D3011" s="68">
        <v>0</v>
      </c>
      <c r="E3011" s="110">
        <f t="shared" si="47"/>
        <v>37193</v>
      </c>
      <c r="F3011" s="69">
        <v>6.0147543359315254E-3</v>
      </c>
    </row>
    <row r="3012" spans="1:6" x14ac:dyDescent="0.3">
      <c r="A3012" s="24">
        <v>37890</v>
      </c>
      <c r="B3012" s="66">
        <v>461.08299999999997</v>
      </c>
      <c r="C3012" s="67"/>
      <c r="D3012" s="68">
        <v>0</v>
      </c>
      <c r="E3012" s="110">
        <f t="shared" si="47"/>
        <v>37193</v>
      </c>
      <c r="F3012" s="69">
        <v>6.0147543359315254E-3</v>
      </c>
    </row>
    <row r="3013" spans="1:6" x14ac:dyDescent="0.3">
      <c r="A3013" s="24">
        <v>37891</v>
      </c>
      <c r="B3013" s="66">
        <v>461.08299999999997</v>
      </c>
      <c r="C3013" s="67"/>
      <c r="D3013" s="68">
        <v>0</v>
      </c>
      <c r="E3013" s="110">
        <f t="shared" si="47"/>
        <v>37193</v>
      </c>
      <c r="F3013" s="69">
        <v>6.0147543359315254E-3</v>
      </c>
    </row>
    <row r="3014" spans="1:6" x14ac:dyDescent="0.3">
      <c r="A3014" s="24">
        <v>37892</v>
      </c>
      <c r="B3014" s="66">
        <v>461.08299999999997</v>
      </c>
      <c r="C3014" s="67"/>
      <c r="D3014" s="68">
        <v>0</v>
      </c>
      <c r="E3014" s="110">
        <f t="shared" si="47"/>
        <v>37193</v>
      </c>
      <c r="F3014" s="69">
        <v>6.0147543359315254E-3</v>
      </c>
    </row>
    <row r="3015" spans="1:6" x14ac:dyDescent="0.3">
      <c r="A3015" s="24">
        <v>37893</v>
      </c>
      <c r="B3015" s="66">
        <v>461.08299999999997</v>
      </c>
      <c r="C3015" s="67"/>
      <c r="D3015" s="68">
        <v>0</v>
      </c>
      <c r="E3015" s="110">
        <f t="shared" si="47"/>
        <v>37193</v>
      </c>
      <c r="F3015" s="69">
        <v>5.9171255399209166E-3</v>
      </c>
    </row>
    <row r="3016" spans="1:6" x14ac:dyDescent="0.3">
      <c r="A3016" s="24">
        <v>37894</v>
      </c>
      <c r="B3016" s="66">
        <v>467.36800000000005</v>
      </c>
      <c r="C3016" s="67"/>
      <c r="D3016" s="68">
        <v>0</v>
      </c>
      <c r="E3016" s="110">
        <f t="shared" si="47"/>
        <v>37193</v>
      </c>
      <c r="F3016" s="69">
        <v>5.9171255399209166E-3</v>
      </c>
    </row>
    <row r="3017" spans="1:6" x14ac:dyDescent="0.3">
      <c r="A3017" s="24">
        <v>37895</v>
      </c>
      <c r="B3017" s="66">
        <v>467.36800000000005</v>
      </c>
      <c r="C3017" s="67"/>
      <c r="D3017" s="68">
        <v>0</v>
      </c>
      <c r="E3017" s="110">
        <f t="shared" si="47"/>
        <v>37193</v>
      </c>
      <c r="F3017" s="69">
        <v>5.9171255399209166E-3</v>
      </c>
    </row>
    <row r="3018" spans="1:6" x14ac:dyDescent="0.3">
      <c r="A3018" s="24">
        <v>37896</v>
      </c>
      <c r="B3018" s="66">
        <v>467.36800000000005</v>
      </c>
      <c r="C3018" s="67"/>
      <c r="D3018" s="68">
        <v>0</v>
      </c>
      <c r="E3018" s="110">
        <f t="shared" si="47"/>
        <v>37193</v>
      </c>
      <c r="F3018" s="69">
        <v>5.9171255399209166E-3</v>
      </c>
    </row>
    <row r="3019" spans="1:6" x14ac:dyDescent="0.3">
      <c r="A3019" s="24">
        <v>37897</v>
      </c>
      <c r="B3019" s="66">
        <v>467.36800000000005</v>
      </c>
      <c r="C3019" s="67"/>
      <c r="D3019" s="68">
        <v>0</v>
      </c>
      <c r="E3019" s="110">
        <f t="shared" si="47"/>
        <v>37193</v>
      </c>
      <c r="F3019" s="69">
        <v>5.9171255399209166E-3</v>
      </c>
    </row>
    <row r="3020" spans="1:6" x14ac:dyDescent="0.3">
      <c r="A3020" s="24">
        <v>37898</v>
      </c>
      <c r="B3020" s="66">
        <v>467.36800000000005</v>
      </c>
      <c r="C3020" s="67"/>
      <c r="D3020" s="68">
        <v>0</v>
      </c>
      <c r="E3020" s="110">
        <f t="shared" si="47"/>
        <v>37193</v>
      </c>
      <c r="F3020" s="69">
        <v>5.9171255399209166E-3</v>
      </c>
    </row>
    <row r="3021" spans="1:6" x14ac:dyDescent="0.3">
      <c r="A3021" s="24">
        <v>37899</v>
      </c>
      <c r="B3021" s="66">
        <v>467.36800000000005</v>
      </c>
      <c r="C3021" s="67"/>
      <c r="D3021" s="68">
        <v>0</v>
      </c>
      <c r="E3021" s="110">
        <f t="shared" si="47"/>
        <v>37193</v>
      </c>
      <c r="F3021" s="69">
        <v>5.9171255399209166E-3</v>
      </c>
    </row>
    <row r="3022" spans="1:6" x14ac:dyDescent="0.3">
      <c r="A3022" s="24">
        <v>37900</v>
      </c>
      <c r="B3022" s="66">
        <v>467.36800000000005</v>
      </c>
      <c r="C3022" s="67"/>
      <c r="D3022" s="68">
        <v>0</v>
      </c>
      <c r="E3022" s="110">
        <f t="shared" si="47"/>
        <v>37193</v>
      </c>
      <c r="F3022" s="69">
        <v>5.9171255399209166E-3</v>
      </c>
    </row>
    <row r="3023" spans="1:6" x14ac:dyDescent="0.3">
      <c r="A3023" s="24">
        <v>37901</v>
      </c>
      <c r="B3023" s="66">
        <v>467.36800000000005</v>
      </c>
      <c r="C3023" s="67"/>
      <c r="D3023" s="68">
        <v>0</v>
      </c>
      <c r="E3023" s="110">
        <f t="shared" si="47"/>
        <v>37193</v>
      </c>
      <c r="F3023" s="69">
        <v>5.9171255399209166E-3</v>
      </c>
    </row>
    <row r="3024" spans="1:6" x14ac:dyDescent="0.3">
      <c r="A3024" s="24">
        <v>37902</v>
      </c>
      <c r="B3024" s="66">
        <v>467.36800000000005</v>
      </c>
      <c r="C3024" s="67"/>
      <c r="D3024" s="68">
        <v>0</v>
      </c>
      <c r="E3024" s="110">
        <f t="shared" si="47"/>
        <v>37193</v>
      </c>
      <c r="F3024" s="69">
        <v>5.9171255399209166E-3</v>
      </c>
    </row>
    <row r="3025" spans="1:6" x14ac:dyDescent="0.3">
      <c r="A3025" s="24">
        <v>37903</v>
      </c>
      <c r="B3025" s="66">
        <v>467.36800000000005</v>
      </c>
      <c r="C3025" s="67"/>
      <c r="D3025" s="68">
        <v>0</v>
      </c>
      <c r="E3025" s="110">
        <f t="shared" si="47"/>
        <v>37193</v>
      </c>
      <c r="F3025" s="69">
        <v>5.9171255399209166E-3</v>
      </c>
    </row>
    <row r="3026" spans="1:6" x14ac:dyDescent="0.3">
      <c r="A3026" s="24">
        <v>37904</v>
      </c>
      <c r="B3026" s="66">
        <v>467.36800000000005</v>
      </c>
      <c r="C3026" s="67"/>
      <c r="D3026" s="68">
        <v>0</v>
      </c>
      <c r="E3026" s="110">
        <f t="shared" ref="E3026:E3089" si="48">+E3025</f>
        <v>37193</v>
      </c>
      <c r="F3026" s="69">
        <v>5.9171255399209166E-3</v>
      </c>
    </row>
    <row r="3027" spans="1:6" x14ac:dyDescent="0.3">
      <c r="A3027" s="24">
        <v>37905</v>
      </c>
      <c r="B3027" s="66">
        <v>467.36800000000005</v>
      </c>
      <c r="C3027" s="67"/>
      <c r="D3027" s="68">
        <v>0</v>
      </c>
      <c r="E3027" s="110">
        <f t="shared" si="48"/>
        <v>37193</v>
      </c>
      <c r="F3027" s="69">
        <v>5.9171255399209166E-3</v>
      </c>
    </row>
    <row r="3028" spans="1:6" x14ac:dyDescent="0.3">
      <c r="A3028" s="24">
        <v>37906</v>
      </c>
      <c r="B3028" s="66">
        <v>467.36800000000005</v>
      </c>
      <c r="C3028" s="67"/>
      <c r="D3028" s="68">
        <v>0</v>
      </c>
      <c r="E3028" s="110">
        <f t="shared" si="48"/>
        <v>37193</v>
      </c>
      <c r="F3028" s="69">
        <v>5.9171255399209166E-3</v>
      </c>
    </row>
    <row r="3029" spans="1:6" x14ac:dyDescent="0.3">
      <c r="A3029" s="24">
        <v>37907</v>
      </c>
      <c r="B3029" s="66">
        <v>467.36800000000005</v>
      </c>
      <c r="C3029" s="67"/>
      <c r="D3029" s="68">
        <v>0</v>
      </c>
      <c r="E3029" s="110">
        <f t="shared" si="48"/>
        <v>37193</v>
      </c>
      <c r="F3029" s="69">
        <v>5.9171255399209166E-3</v>
      </c>
    </row>
    <row r="3030" spans="1:6" x14ac:dyDescent="0.3">
      <c r="A3030" s="24">
        <v>37908</v>
      </c>
      <c r="B3030" s="66">
        <v>467.36800000000005</v>
      </c>
      <c r="C3030" s="67"/>
      <c r="D3030" s="68">
        <v>0</v>
      </c>
      <c r="E3030" s="110">
        <f t="shared" si="48"/>
        <v>37193</v>
      </c>
      <c r="F3030" s="69">
        <v>5.9171255399209166E-3</v>
      </c>
    </row>
    <row r="3031" spans="1:6" x14ac:dyDescent="0.3">
      <c r="A3031" s="24">
        <v>37909</v>
      </c>
      <c r="B3031" s="66">
        <v>467.36800000000005</v>
      </c>
      <c r="C3031" s="67"/>
      <c r="D3031" s="68">
        <v>0</v>
      </c>
      <c r="E3031" s="110">
        <f t="shared" si="48"/>
        <v>37193</v>
      </c>
      <c r="F3031" s="69">
        <v>5.9171255399209166E-3</v>
      </c>
    </row>
    <row r="3032" spans="1:6" x14ac:dyDescent="0.3">
      <c r="A3032" s="24">
        <v>37910</v>
      </c>
      <c r="B3032" s="66">
        <v>467.36800000000005</v>
      </c>
      <c r="C3032" s="67"/>
      <c r="D3032" s="68">
        <v>0</v>
      </c>
      <c r="E3032" s="110">
        <f t="shared" si="48"/>
        <v>37193</v>
      </c>
      <c r="F3032" s="69">
        <v>5.9171255399209166E-3</v>
      </c>
    </row>
    <row r="3033" spans="1:6" x14ac:dyDescent="0.3">
      <c r="A3033" s="24">
        <v>37911</v>
      </c>
      <c r="B3033" s="66">
        <v>467.36800000000005</v>
      </c>
      <c r="C3033" s="67"/>
      <c r="D3033" s="68">
        <v>0</v>
      </c>
      <c r="E3033" s="110">
        <f t="shared" si="48"/>
        <v>37193</v>
      </c>
      <c r="F3033" s="69">
        <v>5.9171255399209166E-3</v>
      </c>
    </row>
    <row r="3034" spans="1:6" x14ac:dyDescent="0.3">
      <c r="A3034" s="24">
        <v>37912</v>
      </c>
      <c r="B3034" s="66">
        <v>467.36800000000005</v>
      </c>
      <c r="C3034" s="67"/>
      <c r="D3034" s="68">
        <v>0</v>
      </c>
      <c r="E3034" s="110">
        <f t="shared" si="48"/>
        <v>37193</v>
      </c>
      <c r="F3034" s="69">
        <v>5.9171255399209166E-3</v>
      </c>
    </row>
    <row r="3035" spans="1:6" x14ac:dyDescent="0.3">
      <c r="A3035" s="24">
        <v>37913</v>
      </c>
      <c r="B3035" s="66">
        <v>467.36800000000005</v>
      </c>
      <c r="C3035" s="67"/>
      <c r="D3035" s="68">
        <v>0</v>
      </c>
      <c r="E3035" s="110">
        <f t="shared" si="48"/>
        <v>37193</v>
      </c>
      <c r="F3035" s="69">
        <v>5.9171255399209166E-3</v>
      </c>
    </row>
    <row r="3036" spans="1:6" x14ac:dyDescent="0.3">
      <c r="A3036" s="24">
        <v>37914</v>
      </c>
      <c r="B3036" s="66">
        <v>467.36800000000005</v>
      </c>
      <c r="C3036" s="67"/>
      <c r="D3036" s="68">
        <v>0</v>
      </c>
      <c r="E3036" s="110">
        <f t="shared" si="48"/>
        <v>37193</v>
      </c>
      <c r="F3036" s="69">
        <v>5.9171255399209166E-3</v>
      </c>
    </row>
    <row r="3037" spans="1:6" x14ac:dyDescent="0.3">
      <c r="A3037" s="24">
        <v>37915</v>
      </c>
      <c r="B3037" s="66">
        <v>467.36800000000005</v>
      </c>
      <c r="C3037" s="67"/>
      <c r="D3037" s="68">
        <v>0</v>
      </c>
      <c r="E3037" s="110">
        <f t="shared" si="48"/>
        <v>37193</v>
      </c>
      <c r="F3037" s="69">
        <v>5.9171255399209166E-3</v>
      </c>
    </row>
    <row r="3038" spans="1:6" x14ac:dyDescent="0.3">
      <c r="A3038" s="24">
        <v>37916</v>
      </c>
      <c r="B3038" s="66">
        <v>467.36800000000005</v>
      </c>
      <c r="C3038" s="67"/>
      <c r="D3038" s="68">
        <v>0</v>
      </c>
      <c r="E3038" s="110">
        <f t="shared" si="48"/>
        <v>37193</v>
      </c>
      <c r="F3038" s="69">
        <v>5.9171255399209166E-3</v>
      </c>
    </row>
    <row r="3039" spans="1:6" x14ac:dyDescent="0.3">
      <c r="A3039" s="24">
        <v>37917</v>
      </c>
      <c r="B3039" s="66">
        <v>467.36800000000005</v>
      </c>
      <c r="C3039" s="67"/>
      <c r="D3039" s="68">
        <v>0</v>
      </c>
      <c r="E3039" s="110">
        <f t="shared" si="48"/>
        <v>37193</v>
      </c>
      <c r="F3039" s="69">
        <v>5.9171255399209166E-3</v>
      </c>
    </row>
    <row r="3040" spans="1:6" x14ac:dyDescent="0.3">
      <c r="A3040" s="24">
        <v>37918</v>
      </c>
      <c r="B3040" s="66">
        <v>467.36800000000005</v>
      </c>
      <c r="C3040" s="67"/>
      <c r="D3040" s="68">
        <v>0</v>
      </c>
      <c r="E3040" s="110">
        <f t="shared" si="48"/>
        <v>37193</v>
      </c>
      <c r="F3040" s="69">
        <v>5.9171255399209166E-3</v>
      </c>
    </row>
    <row r="3041" spans="1:6" x14ac:dyDescent="0.3">
      <c r="A3041" s="24">
        <v>37919</v>
      </c>
      <c r="B3041" s="66">
        <v>467.36800000000005</v>
      </c>
      <c r="C3041" s="67"/>
      <c r="D3041" s="68">
        <v>0</v>
      </c>
      <c r="E3041" s="110">
        <f t="shared" si="48"/>
        <v>37193</v>
      </c>
      <c r="F3041" s="69">
        <v>5.9171255399209166E-3</v>
      </c>
    </row>
    <row r="3042" spans="1:6" x14ac:dyDescent="0.3">
      <c r="A3042" s="24">
        <v>37920</v>
      </c>
      <c r="B3042" s="66">
        <v>467.36800000000005</v>
      </c>
      <c r="C3042" s="67"/>
      <c r="D3042" s="68">
        <v>0</v>
      </c>
      <c r="E3042" s="110">
        <f t="shared" si="48"/>
        <v>37193</v>
      </c>
      <c r="F3042" s="69">
        <v>5.9171255399209166E-3</v>
      </c>
    </row>
    <row r="3043" spans="1:6" x14ac:dyDescent="0.3">
      <c r="A3043" s="24">
        <v>37921</v>
      </c>
      <c r="B3043" s="66">
        <v>467.36800000000005</v>
      </c>
      <c r="C3043" s="67"/>
      <c r="D3043" s="68">
        <v>0</v>
      </c>
      <c r="E3043" s="110">
        <f t="shared" si="48"/>
        <v>37193</v>
      </c>
      <c r="F3043" s="69">
        <v>5.9171255399209166E-3</v>
      </c>
    </row>
    <row r="3044" spans="1:6" x14ac:dyDescent="0.3">
      <c r="A3044" s="24">
        <v>37922</v>
      </c>
      <c r="B3044" s="66">
        <v>467.36800000000005</v>
      </c>
      <c r="C3044" s="67"/>
      <c r="D3044" s="68">
        <v>0</v>
      </c>
      <c r="E3044" s="110">
        <f t="shared" si="48"/>
        <v>37193</v>
      </c>
      <c r="F3044" s="69">
        <v>5.9171255399209166E-3</v>
      </c>
    </row>
    <row r="3045" spans="1:6" x14ac:dyDescent="0.3">
      <c r="A3045" s="24">
        <v>37923</v>
      </c>
      <c r="B3045" s="66">
        <v>467.36800000000005</v>
      </c>
      <c r="C3045" s="67"/>
      <c r="D3045" s="68">
        <v>0</v>
      </c>
      <c r="E3045" s="110">
        <f t="shared" si="48"/>
        <v>37193</v>
      </c>
      <c r="F3045" s="69">
        <v>5.9171255399209166E-3</v>
      </c>
    </row>
    <row r="3046" spans="1:6" x14ac:dyDescent="0.3">
      <c r="A3046" s="24">
        <v>37924</v>
      </c>
      <c r="B3046" s="66">
        <v>467.36800000000005</v>
      </c>
      <c r="C3046" s="67"/>
      <c r="D3046" s="68">
        <v>0</v>
      </c>
      <c r="E3046" s="110">
        <f t="shared" si="48"/>
        <v>37193</v>
      </c>
      <c r="F3046" s="69">
        <v>5.9171255399209166E-3</v>
      </c>
    </row>
    <row r="3047" spans="1:6" x14ac:dyDescent="0.3">
      <c r="A3047" s="24">
        <v>37925</v>
      </c>
      <c r="B3047" s="66">
        <v>467.36800000000005</v>
      </c>
      <c r="C3047" s="67"/>
      <c r="D3047" s="68">
        <v>0</v>
      </c>
      <c r="E3047" s="110">
        <f t="shared" si="48"/>
        <v>37193</v>
      </c>
      <c r="F3047" s="69">
        <v>5.9171255399209166E-3</v>
      </c>
    </row>
    <row r="3048" spans="1:6" x14ac:dyDescent="0.3">
      <c r="A3048" s="24">
        <v>37926</v>
      </c>
      <c r="B3048" s="66">
        <v>467.36800000000005</v>
      </c>
      <c r="C3048" s="67"/>
      <c r="D3048" s="68">
        <v>0</v>
      </c>
      <c r="E3048" s="110">
        <f t="shared" si="48"/>
        <v>37193</v>
      </c>
      <c r="F3048" s="69">
        <v>5.9171255399209166E-3</v>
      </c>
    </row>
    <row r="3049" spans="1:6" x14ac:dyDescent="0.3">
      <c r="A3049" s="24">
        <v>37927</v>
      </c>
      <c r="B3049" s="66">
        <v>467.36800000000005</v>
      </c>
      <c r="C3049" s="67"/>
      <c r="D3049" s="68">
        <v>0</v>
      </c>
      <c r="E3049" s="110">
        <f t="shared" si="48"/>
        <v>37193</v>
      </c>
      <c r="F3049" s="69">
        <v>5.9171255399209166E-3</v>
      </c>
    </row>
    <row r="3050" spans="1:6" x14ac:dyDescent="0.3">
      <c r="A3050" s="24">
        <v>37928</v>
      </c>
      <c r="B3050" s="66">
        <v>467.36800000000005</v>
      </c>
      <c r="C3050" s="67"/>
      <c r="D3050" s="68">
        <v>0</v>
      </c>
      <c r="E3050" s="110">
        <f t="shared" si="48"/>
        <v>37193</v>
      </c>
      <c r="F3050" s="69">
        <v>5.9171255399209166E-3</v>
      </c>
    </row>
    <row r="3051" spans="1:6" x14ac:dyDescent="0.3">
      <c r="A3051" s="24">
        <v>37929</v>
      </c>
      <c r="B3051" s="66">
        <v>467.36800000000005</v>
      </c>
      <c r="C3051" s="67"/>
      <c r="D3051" s="68">
        <v>0</v>
      </c>
      <c r="E3051" s="110">
        <f t="shared" si="48"/>
        <v>37193</v>
      </c>
      <c r="F3051" s="69">
        <v>5.9171255399209166E-3</v>
      </c>
    </row>
    <row r="3052" spans="1:6" x14ac:dyDescent="0.3">
      <c r="A3052" s="24">
        <v>37930</v>
      </c>
      <c r="B3052" s="66">
        <v>467.36800000000005</v>
      </c>
      <c r="C3052" s="67"/>
      <c r="D3052" s="68">
        <v>0</v>
      </c>
      <c r="E3052" s="110">
        <f t="shared" si="48"/>
        <v>37193</v>
      </c>
      <c r="F3052" s="69">
        <v>5.9171255399209166E-3</v>
      </c>
    </row>
    <row r="3053" spans="1:6" x14ac:dyDescent="0.3">
      <c r="A3053" s="24">
        <v>37931</v>
      </c>
      <c r="B3053" s="66">
        <v>467.36800000000005</v>
      </c>
      <c r="C3053" s="67"/>
      <c r="D3053" s="68">
        <v>0</v>
      </c>
      <c r="E3053" s="110">
        <f t="shared" si="48"/>
        <v>37193</v>
      </c>
      <c r="F3053" s="69">
        <v>5.9171255399209166E-3</v>
      </c>
    </row>
    <row r="3054" spans="1:6" x14ac:dyDescent="0.3">
      <c r="A3054" s="24">
        <v>37932</v>
      </c>
      <c r="B3054" s="66">
        <v>467.36800000000005</v>
      </c>
      <c r="C3054" s="67"/>
      <c r="D3054" s="68">
        <v>0</v>
      </c>
      <c r="E3054" s="110">
        <f t="shared" si="48"/>
        <v>37193</v>
      </c>
      <c r="F3054" s="69">
        <v>5.9171255399209166E-3</v>
      </c>
    </row>
    <row r="3055" spans="1:6" x14ac:dyDescent="0.3">
      <c r="A3055" s="24">
        <v>37933</v>
      </c>
      <c r="B3055" s="66">
        <v>467.36800000000005</v>
      </c>
      <c r="C3055" s="67"/>
      <c r="D3055" s="68">
        <v>0</v>
      </c>
      <c r="E3055" s="110">
        <f t="shared" si="48"/>
        <v>37193</v>
      </c>
      <c r="F3055" s="69">
        <v>5.9171255399209166E-3</v>
      </c>
    </row>
    <row r="3056" spans="1:6" x14ac:dyDescent="0.3">
      <c r="A3056" s="24">
        <v>37934</v>
      </c>
      <c r="B3056" s="66">
        <v>467.36800000000005</v>
      </c>
      <c r="C3056" s="67"/>
      <c r="D3056" s="68">
        <v>0</v>
      </c>
      <c r="E3056" s="110">
        <f t="shared" si="48"/>
        <v>37193</v>
      </c>
      <c r="F3056" s="69">
        <v>5.9171255399209166E-3</v>
      </c>
    </row>
    <row r="3057" spans="1:6" x14ac:dyDescent="0.3">
      <c r="A3057" s="24">
        <v>37935</v>
      </c>
      <c r="B3057" s="66">
        <v>467.36800000000005</v>
      </c>
      <c r="C3057" s="67"/>
      <c r="D3057" s="68">
        <v>0</v>
      </c>
      <c r="E3057" s="110">
        <f t="shared" si="48"/>
        <v>37193</v>
      </c>
      <c r="F3057" s="69">
        <v>5.9171255399209166E-3</v>
      </c>
    </row>
    <row r="3058" spans="1:6" x14ac:dyDescent="0.3">
      <c r="A3058" s="24">
        <v>37936</v>
      </c>
      <c r="B3058" s="66">
        <v>467.36800000000005</v>
      </c>
      <c r="C3058" s="67"/>
      <c r="D3058" s="68">
        <v>0</v>
      </c>
      <c r="E3058" s="110">
        <f t="shared" si="48"/>
        <v>37193</v>
      </c>
      <c r="F3058" s="69">
        <v>5.9171255399209166E-3</v>
      </c>
    </row>
    <row r="3059" spans="1:6" x14ac:dyDescent="0.3">
      <c r="A3059" s="24">
        <v>37937</v>
      </c>
      <c r="B3059" s="66">
        <v>467.36800000000005</v>
      </c>
      <c r="C3059" s="67"/>
      <c r="D3059" s="68">
        <v>0</v>
      </c>
      <c r="E3059" s="110">
        <f t="shared" si="48"/>
        <v>37193</v>
      </c>
      <c r="F3059" s="69">
        <v>5.9171255399209166E-3</v>
      </c>
    </row>
    <row r="3060" spans="1:6" x14ac:dyDescent="0.3">
      <c r="A3060" s="24">
        <v>37938</v>
      </c>
      <c r="B3060" s="66">
        <v>467.36800000000005</v>
      </c>
      <c r="C3060" s="67"/>
      <c r="D3060" s="68">
        <v>0</v>
      </c>
      <c r="E3060" s="110">
        <f t="shared" si="48"/>
        <v>37193</v>
      </c>
      <c r="F3060" s="69">
        <v>5.9171255399209166E-3</v>
      </c>
    </row>
    <row r="3061" spans="1:6" x14ac:dyDescent="0.3">
      <c r="A3061" s="24">
        <v>37939</v>
      </c>
      <c r="B3061" s="66">
        <v>467.36800000000005</v>
      </c>
      <c r="C3061" s="67"/>
      <c r="D3061" s="68">
        <v>0</v>
      </c>
      <c r="E3061" s="110">
        <f t="shared" si="48"/>
        <v>37193</v>
      </c>
      <c r="F3061" s="69">
        <v>5.9171255399209166E-3</v>
      </c>
    </row>
    <row r="3062" spans="1:6" x14ac:dyDescent="0.3">
      <c r="A3062" s="24">
        <v>37940</v>
      </c>
      <c r="B3062" s="66">
        <v>467.36800000000005</v>
      </c>
      <c r="C3062" s="67"/>
      <c r="D3062" s="68">
        <v>0</v>
      </c>
      <c r="E3062" s="110">
        <f t="shared" si="48"/>
        <v>37193</v>
      </c>
      <c r="F3062" s="69">
        <v>5.9171255399209166E-3</v>
      </c>
    </row>
    <row r="3063" spans="1:6" x14ac:dyDescent="0.3">
      <c r="A3063" s="24">
        <v>37941</v>
      </c>
      <c r="B3063" s="66">
        <v>467.36800000000005</v>
      </c>
      <c r="C3063" s="67"/>
      <c r="D3063" s="68">
        <v>0</v>
      </c>
      <c r="E3063" s="110">
        <f t="shared" si="48"/>
        <v>37193</v>
      </c>
      <c r="F3063" s="69">
        <v>5.9171255399209166E-3</v>
      </c>
    </row>
    <row r="3064" spans="1:6" x14ac:dyDescent="0.3">
      <c r="A3064" s="24">
        <v>37942</v>
      </c>
      <c r="B3064" s="66">
        <v>467.36800000000005</v>
      </c>
      <c r="C3064" s="67"/>
      <c r="D3064" s="68">
        <v>0</v>
      </c>
      <c r="E3064" s="110">
        <f t="shared" si="48"/>
        <v>37193</v>
      </c>
      <c r="F3064" s="69">
        <v>5.9171255399209166E-3</v>
      </c>
    </row>
    <row r="3065" spans="1:6" x14ac:dyDescent="0.3">
      <c r="A3065" s="24">
        <v>37943</v>
      </c>
      <c r="B3065" s="66">
        <v>467.36800000000005</v>
      </c>
      <c r="C3065" s="67"/>
      <c r="D3065" s="68">
        <v>0</v>
      </c>
      <c r="E3065" s="110">
        <f t="shared" si="48"/>
        <v>37193</v>
      </c>
      <c r="F3065" s="69">
        <v>5.9171255399209166E-3</v>
      </c>
    </row>
    <row r="3066" spans="1:6" x14ac:dyDescent="0.3">
      <c r="A3066" s="24">
        <v>37944</v>
      </c>
      <c r="B3066" s="66">
        <v>467.36800000000005</v>
      </c>
      <c r="C3066" s="67"/>
      <c r="D3066" s="68">
        <v>0</v>
      </c>
      <c r="E3066" s="110">
        <f t="shared" si="48"/>
        <v>37193</v>
      </c>
      <c r="F3066" s="69">
        <v>5.9171255399209166E-3</v>
      </c>
    </row>
    <row r="3067" spans="1:6" x14ac:dyDescent="0.3">
      <c r="A3067" s="24">
        <v>37945</v>
      </c>
      <c r="B3067" s="66">
        <v>467.36800000000005</v>
      </c>
      <c r="C3067" s="67"/>
      <c r="D3067" s="68">
        <v>0</v>
      </c>
      <c r="E3067" s="110">
        <f t="shared" si="48"/>
        <v>37193</v>
      </c>
      <c r="F3067" s="69">
        <v>5.9171255399209166E-3</v>
      </c>
    </row>
    <row r="3068" spans="1:6" x14ac:dyDescent="0.3">
      <c r="A3068" s="24">
        <v>37946</v>
      </c>
      <c r="B3068" s="66">
        <v>467.36800000000005</v>
      </c>
      <c r="C3068" s="67"/>
      <c r="D3068" s="68">
        <v>0</v>
      </c>
      <c r="E3068" s="110">
        <f t="shared" si="48"/>
        <v>37193</v>
      </c>
      <c r="F3068" s="69">
        <v>5.9171255399209166E-3</v>
      </c>
    </row>
    <row r="3069" spans="1:6" x14ac:dyDescent="0.3">
      <c r="A3069" s="24">
        <v>37947</v>
      </c>
      <c r="B3069" s="66">
        <v>467.36800000000005</v>
      </c>
      <c r="C3069" s="67"/>
      <c r="D3069" s="68">
        <v>0</v>
      </c>
      <c r="E3069" s="110">
        <f t="shared" si="48"/>
        <v>37193</v>
      </c>
      <c r="F3069" s="69">
        <v>5.9171255399209166E-3</v>
      </c>
    </row>
    <row r="3070" spans="1:6" x14ac:dyDescent="0.3">
      <c r="A3070" s="24">
        <v>37948</v>
      </c>
      <c r="B3070" s="66">
        <v>467.36800000000005</v>
      </c>
      <c r="C3070" s="67"/>
      <c r="D3070" s="68">
        <v>0</v>
      </c>
      <c r="E3070" s="110">
        <f t="shared" si="48"/>
        <v>37193</v>
      </c>
      <c r="F3070" s="69">
        <v>5.9171255399209166E-3</v>
      </c>
    </row>
    <row r="3071" spans="1:6" x14ac:dyDescent="0.3">
      <c r="A3071" s="24">
        <v>37949</v>
      </c>
      <c r="B3071" s="66">
        <v>467.36800000000005</v>
      </c>
      <c r="C3071" s="67"/>
      <c r="D3071" s="68">
        <v>0</v>
      </c>
      <c r="E3071" s="110">
        <f t="shared" si="48"/>
        <v>37193</v>
      </c>
      <c r="F3071" s="69">
        <v>5.9171255399209166E-3</v>
      </c>
    </row>
    <row r="3072" spans="1:6" x14ac:dyDescent="0.3">
      <c r="A3072" s="24">
        <v>37950</v>
      </c>
      <c r="B3072" s="66">
        <v>467.36800000000005</v>
      </c>
      <c r="C3072" s="67"/>
      <c r="D3072" s="68">
        <v>0</v>
      </c>
      <c r="E3072" s="110">
        <f t="shared" si="48"/>
        <v>37193</v>
      </c>
      <c r="F3072" s="69">
        <v>5.9171255399209166E-3</v>
      </c>
    </row>
    <row r="3073" spans="1:6" x14ac:dyDescent="0.3">
      <c r="A3073" s="24">
        <v>37951</v>
      </c>
      <c r="B3073" s="66">
        <v>467.36800000000005</v>
      </c>
      <c r="C3073" s="67"/>
      <c r="D3073" s="68">
        <v>0</v>
      </c>
      <c r="E3073" s="110">
        <f t="shared" si="48"/>
        <v>37193</v>
      </c>
      <c r="F3073" s="69">
        <v>5.9171255399209166E-3</v>
      </c>
    </row>
    <row r="3074" spans="1:6" x14ac:dyDescent="0.3">
      <c r="A3074" s="24">
        <v>37952</v>
      </c>
      <c r="B3074" s="66">
        <v>467.36800000000005</v>
      </c>
      <c r="C3074" s="67"/>
      <c r="D3074" s="68">
        <v>0</v>
      </c>
      <c r="E3074" s="110">
        <f t="shared" si="48"/>
        <v>37193</v>
      </c>
      <c r="F3074" s="69">
        <v>5.9171255399209166E-3</v>
      </c>
    </row>
    <row r="3075" spans="1:6" x14ac:dyDescent="0.3">
      <c r="A3075" s="24">
        <v>37953</v>
      </c>
      <c r="B3075" s="66">
        <v>467.36800000000005</v>
      </c>
      <c r="C3075" s="67"/>
      <c r="D3075" s="68">
        <v>0</v>
      </c>
      <c r="E3075" s="110">
        <f t="shared" si="48"/>
        <v>37193</v>
      </c>
      <c r="F3075" s="69">
        <v>5.9171255399209166E-3</v>
      </c>
    </row>
    <row r="3076" spans="1:6" x14ac:dyDescent="0.3">
      <c r="A3076" s="24">
        <v>37954</v>
      </c>
      <c r="B3076" s="66">
        <v>467.36800000000005</v>
      </c>
      <c r="C3076" s="67"/>
      <c r="D3076" s="68">
        <v>0</v>
      </c>
      <c r="E3076" s="110">
        <f t="shared" si="48"/>
        <v>37193</v>
      </c>
      <c r="F3076" s="69">
        <v>5.9171255399209166E-3</v>
      </c>
    </row>
    <row r="3077" spans="1:6" x14ac:dyDescent="0.3">
      <c r="A3077" s="24">
        <v>37955</v>
      </c>
      <c r="B3077" s="66">
        <v>467.36800000000005</v>
      </c>
      <c r="C3077" s="67"/>
      <c r="D3077" s="68">
        <v>0</v>
      </c>
      <c r="E3077" s="110">
        <f t="shared" si="48"/>
        <v>37193</v>
      </c>
      <c r="F3077" s="69">
        <v>5.9171255399209166E-3</v>
      </c>
    </row>
    <row r="3078" spans="1:6" x14ac:dyDescent="0.3">
      <c r="A3078" s="24">
        <v>37956</v>
      </c>
      <c r="B3078" s="66">
        <v>467.36800000000005</v>
      </c>
      <c r="C3078" s="67"/>
      <c r="D3078" s="68">
        <v>0</v>
      </c>
      <c r="E3078" s="110">
        <f t="shared" si="48"/>
        <v>37193</v>
      </c>
      <c r="F3078" s="69">
        <v>5.9171255399209166E-3</v>
      </c>
    </row>
    <row r="3079" spans="1:6" x14ac:dyDescent="0.3">
      <c r="A3079" s="24">
        <v>37957</v>
      </c>
      <c r="B3079" s="66">
        <v>467.36800000000005</v>
      </c>
      <c r="C3079" s="67"/>
      <c r="D3079" s="68">
        <v>0</v>
      </c>
      <c r="E3079" s="110">
        <f t="shared" si="48"/>
        <v>37193</v>
      </c>
      <c r="F3079" s="69">
        <v>5.9171255399209166E-3</v>
      </c>
    </row>
    <row r="3080" spans="1:6" x14ac:dyDescent="0.3">
      <c r="A3080" s="24">
        <v>37958</v>
      </c>
      <c r="B3080" s="66">
        <v>467.36800000000005</v>
      </c>
      <c r="C3080" s="67"/>
      <c r="D3080" s="68">
        <v>0</v>
      </c>
      <c r="E3080" s="110">
        <f t="shared" si="48"/>
        <v>37193</v>
      </c>
      <c r="F3080" s="69">
        <v>5.9171255399209166E-3</v>
      </c>
    </row>
    <row r="3081" spans="1:6" x14ac:dyDescent="0.3">
      <c r="A3081" s="24">
        <v>37959</v>
      </c>
      <c r="B3081" s="66">
        <v>467.36800000000005</v>
      </c>
      <c r="C3081" s="67"/>
      <c r="D3081" s="68">
        <v>0</v>
      </c>
      <c r="E3081" s="110">
        <f t="shared" si="48"/>
        <v>37193</v>
      </c>
      <c r="F3081" s="69">
        <v>5.9171255399209166E-3</v>
      </c>
    </row>
    <row r="3082" spans="1:6" x14ac:dyDescent="0.3">
      <c r="A3082" s="24">
        <v>37960</v>
      </c>
      <c r="B3082" s="66">
        <v>467.36800000000005</v>
      </c>
      <c r="C3082" s="67"/>
      <c r="D3082" s="68">
        <v>0</v>
      </c>
      <c r="E3082" s="110">
        <f t="shared" si="48"/>
        <v>37193</v>
      </c>
      <c r="F3082" s="69">
        <v>5.9171255399209166E-3</v>
      </c>
    </row>
    <row r="3083" spans="1:6" x14ac:dyDescent="0.3">
      <c r="A3083" s="24">
        <v>37961</v>
      </c>
      <c r="B3083" s="66">
        <v>467.36800000000005</v>
      </c>
      <c r="C3083" s="67"/>
      <c r="D3083" s="68">
        <v>0</v>
      </c>
      <c r="E3083" s="110">
        <f t="shared" si="48"/>
        <v>37193</v>
      </c>
      <c r="F3083" s="69">
        <v>5.9171255399209166E-3</v>
      </c>
    </row>
    <row r="3084" spans="1:6" x14ac:dyDescent="0.3">
      <c r="A3084" s="24">
        <v>37962</v>
      </c>
      <c r="B3084" s="66">
        <v>467.36800000000005</v>
      </c>
      <c r="C3084" s="67"/>
      <c r="D3084" s="68">
        <v>0</v>
      </c>
      <c r="E3084" s="110">
        <f t="shared" si="48"/>
        <v>37193</v>
      </c>
      <c r="F3084" s="69">
        <v>5.9171255399209166E-3</v>
      </c>
    </row>
    <row r="3085" spans="1:6" x14ac:dyDescent="0.3">
      <c r="A3085" s="24">
        <v>37963</v>
      </c>
      <c r="B3085" s="66">
        <v>467.36800000000005</v>
      </c>
      <c r="C3085" s="67"/>
      <c r="D3085" s="68">
        <v>0</v>
      </c>
      <c r="E3085" s="110">
        <f t="shared" si="48"/>
        <v>37193</v>
      </c>
      <c r="F3085" s="69">
        <v>5.9171255399209166E-3</v>
      </c>
    </row>
    <row r="3086" spans="1:6" x14ac:dyDescent="0.3">
      <c r="A3086" s="24">
        <v>37964</v>
      </c>
      <c r="B3086" s="66">
        <v>467.36800000000005</v>
      </c>
      <c r="C3086" s="67"/>
      <c r="D3086" s="68">
        <v>0</v>
      </c>
      <c r="E3086" s="110">
        <f t="shared" si="48"/>
        <v>37193</v>
      </c>
      <c r="F3086" s="69">
        <v>5.9171255399209166E-3</v>
      </c>
    </row>
    <row r="3087" spans="1:6" x14ac:dyDescent="0.3">
      <c r="A3087" s="24">
        <v>37965</v>
      </c>
      <c r="B3087" s="66">
        <v>467.36800000000005</v>
      </c>
      <c r="C3087" s="67"/>
      <c r="D3087" s="68">
        <v>0</v>
      </c>
      <c r="E3087" s="110">
        <f t="shared" si="48"/>
        <v>37193</v>
      </c>
      <c r="F3087" s="69">
        <v>5.9171255399209166E-3</v>
      </c>
    </row>
    <row r="3088" spans="1:6" x14ac:dyDescent="0.3">
      <c r="A3088" s="24">
        <v>37966</v>
      </c>
      <c r="B3088" s="66">
        <v>467.36800000000005</v>
      </c>
      <c r="C3088" s="67"/>
      <c r="D3088" s="68">
        <v>0</v>
      </c>
      <c r="E3088" s="110">
        <f t="shared" si="48"/>
        <v>37193</v>
      </c>
      <c r="F3088" s="69">
        <v>5.9171255399209166E-3</v>
      </c>
    </row>
    <row r="3089" spans="1:6" x14ac:dyDescent="0.3">
      <c r="A3089" s="24">
        <v>37967</v>
      </c>
      <c r="B3089" s="66">
        <v>467.36800000000005</v>
      </c>
      <c r="C3089" s="67"/>
      <c r="D3089" s="68">
        <v>0</v>
      </c>
      <c r="E3089" s="110">
        <f t="shared" si="48"/>
        <v>37193</v>
      </c>
      <c r="F3089" s="69">
        <v>5.9171255399209166E-3</v>
      </c>
    </row>
    <row r="3090" spans="1:6" x14ac:dyDescent="0.3">
      <c r="A3090" s="24">
        <v>37968</v>
      </c>
      <c r="B3090" s="66">
        <v>467.36800000000005</v>
      </c>
      <c r="C3090" s="67"/>
      <c r="D3090" s="68">
        <v>0</v>
      </c>
      <c r="E3090" s="110">
        <f t="shared" ref="E3090:E3153" si="49">+E3089</f>
        <v>37193</v>
      </c>
      <c r="F3090" s="69">
        <v>5.9171255399209166E-3</v>
      </c>
    </row>
    <row r="3091" spans="1:6" x14ac:dyDescent="0.3">
      <c r="A3091" s="24">
        <v>37969</v>
      </c>
      <c r="B3091" s="66">
        <v>467.36800000000005</v>
      </c>
      <c r="C3091" s="67"/>
      <c r="D3091" s="68">
        <v>0</v>
      </c>
      <c r="E3091" s="110">
        <f t="shared" si="49"/>
        <v>37193</v>
      </c>
      <c r="F3091" s="69">
        <v>5.9171255399209166E-3</v>
      </c>
    </row>
    <row r="3092" spans="1:6" x14ac:dyDescent="0.3">
      <c r="A3092" s="24">
        <v>37970</v>
      </c>
      <c r="B3092" s="66">
        <v>467.36800000000005</v>
      </c>
      <c r="C3092" s="67"/>
      <c r="D3092" s="68">
        <v>0</v>
      </c>
      <c r="E3092" s="110">
        <f t="shared" si="49"/>
        <v>37193</v>
      </c>
      <c r="F3092" s="69">
        <v>5.9171255399209166E-3</v>
      </c>
    </row>
    <row r="3093" spans="1:6" x14ac:dyDescent="0.3">
      <c r="A3093" s="24">
        <v>37971</v>
      </c>
      <c r="B3093" s="66">
        <v>467.36800000000005</v>
      </c>
      <c r="C3093" s="67"/>
      <c r="D3093" s="68">
        <v>0</v>
      </c>
      <c r="E3093" s="110">
        <f t="shared" si="49"/>
        <v>37193</v>
      </c>
      <c r="F3093" s="69">
        <v>5.9171255399209166E-3</v>
      </c>
    </row>
    <row r="3094" spans="1:6" x14ac:dyDescent="0.3">
      <c r="A3094" s="24">
        <v>37972</v>
      </c>
      <c r="B3094" s="66">
        <v>467.36800000000005</v>
      </c>
      <c r="C3094" s="67"/>
      <c r="D3094" s="68">
        <v>0</v>
      </c>
      <c r="E3094" s="110">
        <f t="shared" si="49"/>
        <v>37193</v>
      </c>
      <c r="F3094" s="69">
        <v>5.9171255399209166E-3</v>
      </c>
    </row>
    <row r="3095" spans="1:6" x14ac:dyDescent="0.3">
      <c r="A3095" s="24">
        <v>37973</v>
      </c>
      <c r="B3095" s="66">
        <v>467.36800000000005</v>
      </c>
      <c r="C3095" s="67"/>
      <c r="D3095" s="68">
        <v>0</v>
      </c>
      <c r="E3095" s="110">
        <f t="shared" si="49"/>
        <v>37193</v>
      </c>
      <c r="F3095" s="69">
        <v>5.9171255399209166E-3</v>
      </c>
    </row>
    <row r="3096" spans="1:6" x14ac:dyDescent="0.3">
      <c r="A3096" s="24">
        <v>37974</v>
      </c>
      <c r="B3096" s="66">
        <v>467.36800000000005</v>
      </c>
      <c r="C3096" s="67"/>
      <c r="D3096" s="68">
        <v>0</v>
      </c>
      <c r="E3096" s="110">
        <f t="shared" si="49"/>
        <v>37193</v>
      </c>
      <c r="F3096" s="69">
        <v>5.9171255399209166E-3</v>
      </c>
    </row>
    <row r="3097" spans="1:6" x14ac:dyDescent="0.3">
      <c r="A3097" s="24">
        <v>37975</v>
      </c>
      <c r="B3097" s="66">
        <v>467.36800000000005</v>
      </c>
      <c r="C3097" s="67"/>
      <c r="D3097" s="68">
        <v>0</v>
      </c>
      <c r="E3097" s="110">
        <f t="shared" si="49"/>
        <v>37193</v>
      </c>
      <c r="F3097" s="69">
        <v>5.9171255399209166E-3</v>
      </c>
    </row>
    <row r="3098" spans="1:6" x14ac:dyDescent="0.3">
      <c r="A3098" s="24">
        <v>37976</v>
      </c>
      <c r="B3098" s="66">
        <v>467.36800000000005</v>
      </c>
      <c r="C3098" s="67"/>
      <c r="D3098" s="68">
        <v>0</v>
      </c>
      <c r="E3098" s="110">
        <f t="shared" si="49"/>
        <v>37193</v>
      </c>
      <c r="F3098" s="69">
        <v>5.9171255399209166E-3</v>
      </c>
    </row>
    <row r="3099" spans="1:6" x14ac:dyDescent="0.3">
      <c r="A3099" s="24">
        <v>37977</v>
      </c>
      <c r="B3099" s="66">
        <v>467.36800000000005</v>
      </c>
      <c r="C3099" s="67"/>
      <c r="D3099" s="68">
        <v>0</v>
      </c>
      <c r="E3099" s="110">
        <f t="shared" si="49"/>
        <v>37193</v>
      </c>
      <c r="F3099" s="69">
        <v>5.9171255399209166E-3</v>
      </c>
    </row>
    <row r="3100" spans="1:6" x14ac:dyDescent="0.3">
      <c r="A3100" s="24">
        <v>37978</v>
      </c>
      <c r="B3100" s="66">
        <v>467.36800000000005</v>
      </c>
      <c r="C3100" s="67"/>
      <c r="D3100" s="68">
        <v>0</v>
      </c>
      <c r="E3100" s="110">
        <f t="shared" si="49"/>
        <v>37193</v>
      </c>
      <c r="F3100" s="69">
        <v>5.9171255399209166E-3</v>
      </c>
    </row>
    <row r="3101" spans="1:6" x14ac:dyDescent="0.3">
      <c r="A3101" s="24">
        <v>37979</v>
      </c>
      <c r="B3101" s="66">
        <v>467.36800000000005</v>
      </c>
      <c r="C3101" s="67"/>
      <c r="D3101" s="68">
        <v>0</v>
      </c>
      <c r="E3101" s="110">
        <f t="shared" si="49"/>
        <v>37193</v>
      </c>
      <c r="F3101" s="69">
        <v>5.9171255399209166E-3</v>
      </c>
    </row>
    <row r="3102" spans="1:6" x14ac:dyDescent="0.3">
      <c r="A3102" s="24">
        <v>37980</v>
      </c>
      <c r="B3102" s="66">
        <v>467.36800000000005</v>
      </c>
      <c r="C3102" s="67"/>
      <c r="D3102" s="68">
        <v>0</v>
      </c>
      <c r="E3102" s="110">
        <f t="shared" si="49"/>
        <v>37193</v>
      </c>
      <c r="F3102" s="69">
        <v>5.9171255399209166E-3</v>
      </c>
    </row>
    <row r="3103" spans="1:6" x14ac:dyDescent="0.3">
      <c r="A3103" s="24">
        <v>37981</v>
      </c>
      <c r="B3103" s="66">
        <v>467.36800000000005</v>
      </c>
      <c r="C3103" s="67"/>
      <c r="D3103" s="68">
        <v>0</v>
      </c>
      <c r="E3103" s="110">
        <f t="shared" si="49"/>
        <v>37193</v>
      </c>
      <c r="F3103" s="69">
        <v>5.9171255399209166E-3</v>
      </c>
    </row>
    <row r="3104" spans="1:6" x14ac:dyDescent="0.3">
      <c r="A3104" s="24">
        <v>37982</v>
      </c>
      <c r="B3104" s="66">
        <v>467.36800000000005</v>
      </c>
      <c r="C3104" s="67"/>
      <c r="D3104" s="68">
        <v>0</v>
      </c>
      <c r="E3104" s="110">
        <f t="shared" si="49"/>
        <v>37193</v>
      </c>
      <c r="F3104" s="69">
        <v>5.9171255399209166E-3</v>
      </c>
    </row>
    <row r="3105" spans="1:6" x14ac:dyDescent="0.3">
      <c r="A3105" s="24">
        <v>37983</v>
      </c>
      <c r="B3105" s="66">
        <v>467.36800000000005</v>
      </c>
      <c r="C3105" s="67"/>
      <c r="D3105" s="68">
        <v>0</v>
      </c>
      <c r="E3105" s="110">
        <f t="shared" si="49"/>
        <v>37193</v>
      </c>
      <c r="F3105" s="69">
        <v>5.9171255399209166E-3</v>
      </c>
    </row>
    <row r="3106" spans="1:6" x14ac:dyDescent="0.3">
      <c r="A3106" s="24">
        <v>37984</v>
      </c>
      <c r="B3106" s="66">
        <v>467.36800000000005</v>
      </c>
      <c r="C3106" s="67"/>
      <c r="D3106" s="68">
        <v>0</v>
      </c>
      <c r="E3106" s="110">
        <f t="shared" si="49"/>
        <v>37193</v>
      </c>
      <c r="F3106" s="69">
        <v>5.9171255399209166E-3</v>
      </c>
    </row>
    <row r="3107" spans="1:6" x14ac:dyDescent="0.3">
      <c r="A3107" s="24">
        <v>37985</v>
      </c>
      <c r="B3107" s="66">
        <v>467.36800000000005</v>
      </c>
      <c r="C3107" s="67"/>
      <c r="D3107" s="68">
        <v>0</v>
      </c>
      <c r="E3107" s="110">
        <f t="shared" si="49"/>
        <v>37193</v>
      </c>
      <c r="F3107" s="69">
        <v>5.8108373620414247E-3</v>
      </c>
    </row>
    <row r="3108" spans="1:6" x14ac:dyDescent="0.3">
      <c r="A3108" s="24">
        <v>37986</v>
      </c>
      <c r="B3108" s="66">
        <v>452.64799999999997</v>
      </c>
      <c r="C3108" s="67"/>
      <c r="D3108" s="68">
        <v>0</v>
      </c>
      <c r="E3108" s="110">
        <f t="shared" si="49"/>
        <v>37193</v>
      </c>
      <c r="F3108" s="69">
        <v>5.8108373620414247E-3</v>
      </c>
    </row>
    <row r="3109" spans="1:6" x14ac:dyDescent="0.3">
      <c r="A3109" s="24">
        <v>37987</v>
      </c>
      <c r="B3109" s="66">
        <v>452.64799999999997</v>
      </c>
      <c r="C3109" s="67"/>
      <c r="D3109" s="68">
        <v>0</v>
      </c>
      <c r="E3109" s="110">
        <f t="shared" si="49"/>
        <v>37193</v>
      </c>
      <c r="F3109" s="69">
        <v>5.8108373620414247E-3</v>
      </c>
    </row>
    <row r="3110" spans="1:6" x14ac:dyDescent="0.3">
      <c r="A3110" s="24">
        <v>37988</v>
      </c>
      <c r="B3110" s="66">
        <v>452.64799999999997</v>
      </c>
      <c r="C3110" s="67"/>
      <c r="D3110" s="68">
        <v>0</v>
      </c>
      <c r="E3110" s="110">
        <f t="shared" si="49"/>
        <v>37193</v>
      </c>
      <c r="F3110" s="69">
        <v>5.8108373620414247E-3</v>
      </c>
    </row>
    <row r="3111" spans="1:6" x14ac:dyDescent="0.3">
      <c r="A3111" s="24">
        <v>37989</v>
      </c>
      <c r="B3111" s="66">
        <v>452.64799999999997</v>
      </c>
      <c r="C3111" s="67"/>
      <c r="D3111" s="68">
        <v>0</v>
      </c>
      <c r="E3111" s="110">
        <f t="shared" si="49"/>
        <v>37193</v>
      </c>
      <c r="F3111" s="69">
        <v>5.8108373620414247E-3</v>
      </c>
    </row>
    <row r="3112" spans="1:6" x14ac:dyDescent="0.3">
      <c r="A3112" s="24">
        <v>37990</v>
      </c>
      <c r="B3112" s="66">
        <v>452.64799999999997</v>
      </c>
      <c r="C3112" s="67"/>
      <c r="D3112" s="68">
        <v>0</v>
      </c>
      <c r="E3112" s="110">
        <f t="shared" si="49"/>
        <v>37193</v>
      </c>
      <c r="F3112" s="69">
        <v>5.8108373620414247E-3</v>
      </c>
    </row>
    <row r="3113" spans="1:6" x14ac:dyDescent="0.3">
      <c r="A3113" s="24">
        <v>37991</v>
      </c>
      <c r="B3113" s="66">
        <v>452.64799999999997</v>
      </c>
      <c r="C3113" s="67"/>
      <c r="D3113" s="68">
        <v>0</v>
      </c>
      <c r="E3113" s="110">
        <f t="shared" si="49"/>
        <v>37193</v>
      </c>
      <c r="F3113" s="69">
        <v>5.8108373620414247E-3</v>
      </c>
    </row>
    <row r="3114" spans="1:6" x14ac:dyDescent="0.3">
      <c r="A3114" s="24">
        <v>37992</v>
      </c>
      <c r="B3114" s="66">
        <v>452.64799999999997</v>
      </c>
      <c r="C3114" s="67"/>
      <c r="D3114" s="68">
        <v>0</v>
      </c>
      <c r="E3114" s="110">
        <f t="shared" si="49"/>
        <v>37193</v>
      </c>
      <c r="F3114" s="69">
        <v>5.8108373620414247E-3</v>
      </c>
    </row>
    <row r="3115" spans="1:6" x14ac:dyDescent="0.3">
      <c r="A3115" s="24">
        <v>37993</v>
      </c>
      <c r="B3115" s="66">
        <v>452.64799999999997</v>
      </c>
      <c r="C3115" s="67"/>
      <c r="D3115" s="68">
        <v>0</v>
      </c>
      <c r="E3115" s="110">
        <f t="shared" si="49"/>
        <v>37193</v>
      </c>
      <c r="F3115" s="69">
        <v>5.8108373620414247E-3</v>
      </c>
    </row>
    <row r="3116" spans="1:6" x14ac:dyDescent="0.3">
      <c r="A3116" s="24">
        <v>37994</v>
      </c>
      <c r="B3116" s="66">
        <v>452.64799999999997</v>
      </c>
      <c r="C3116" s="67"/>
      <c r="D3116" s="68">
        <v>0</v>
      </c>
      <c r="E3116" s="110">
        <f t="shared" si="49"/>
        <v>37193</v>
      </c>
      <c r="F3116" s="69">
        <v>5.8108373620414247E-3</v>
      </c>
    </row>
    <row r="3117" spans="1:6" x14ac:dyDescent="0.3">
      <c r="A3117" s="24">
        <v>37995</v>
      </c>
      <c r="B3117" s="66">
        <v>452.64799999999997</v>
      </c>
      <c r="C3117" s="67"/>
      <c r="D3117" s="68">
        <v>0</v>
      </c>
      <c r="E3117" s="110">
        <f t="shared" si="49"/>
        <v>37193</v>
      </c>
      <c r="F3117" s="69">
        <v>5.8108373620414247E-3</v>
      </c>
    </row>
    <row r="3118" spans="1:6" x14ac:dyDescent="0.3">
      <c r="A3118" s="24">
        <v>37996</v>
      </c>
      <c r="B3118" s="66">
        <v>452.64799999999997</v>
      </c>
      <c r="C3118" s="67"/>
      <c r="D3118" s="68">
        <v>0</v>
      </c>
      <c r="E3118" s="110">
        <f t="shared" si="49"/>
        <v>37193</v>
      </c>
      <c r="F3118" s="69">
        <v>5.8108373620414247E-3</v>
      </c>
    </row>
    <row r="3119" spans="1:6" x14ac:dyDescent="0.3">
      <c r="A3119" s="24">
        <v>37997</v>
      </c>
      <c r="B3119" s="66">
        <v>452.64799999999997</v>
      </c>
      <c r="C3119" s="67"/>
      <c r="D3119" s="68">
        <v>0</v>
      </c>
      <c r="E3119" s="110">
        <f t="shared" si="49"/>
        <v>37193</v>
      </c>
      <c r="F3119" s="69">
        <v>5.8108373620414247E-3</v>
      </c>
    </row>
    <row r="3120" spans="1:6" x14ac:dyDescent="0.3">
      <c r="A3120" s="24">
        <v>37998</v>
      </c>
      <c r="B3120" s="66">
        <v>452.64799999999997</v>
      </c>
      <c r="C3120" s="67"/>
      <c r="D3120" s="68">
        <v>0</v>
      </c>
      <c r="E3120" s="110">
        <f t="shared" si="49"/>
        <v>37193</v>
      </c>
      <c r="F3120" s="69">
        <v>5.8108373620414247E-3</v>
      </c>
    </row>
    <row r="3121" spans="1:6" x14ac:dyDescent="0.3">
      <c r="A3121" s="24">
        <v>37999</v>
      </c>
      <c r="B3121" s="66">
        <v>452.64799999999997</v>
      </c>
      <c r="C3121" s="67"/>
      <c r="D3121" s="68">
        <v>0</v>
      </c>
      <c r="E3121" s="110">
        <f t="shared" si="49"/>
        <v>37193</v>
      </c>
      <c r="F3121" s="69">
        <v>5.8108373620414247E-3</v>
      </c>
    </row>
    <row r="3122" spans="1:6" x14ac:dyDescent="0.3">
      <c r="A3122" s="24">
        <v>38000</v>
      </c>
      <c r="B3122" s="66">
        <v>452.64799999999997</v>
      </c>
      <c r="C3122" s="67"/>
      <c r="D3122" s="68">
        <v>0</v>
      </c>
      <c r="E3122" s="110">
        <f t="shared" si="49"/>
        <v>37193</v>
      </c>
      <c r="F3122" s="69">
        <v>5.8108373620414247E-3</v>
      </c>
    </row>
    <row r="3123" spans="1:6" x14ac:dyDescent="0.3">
      <c r="A3123" s="24">
        <v>38001</v>
      </c>
      <c r="B3123" s="66">
        <v>452.64799999999997</v>
      </c>
      <c r="C3123" s="67"/>
      <c r="D3123" s="68">
        <v>0</v>
      </c>
      <c r="E3123" s="110">
        <f t="shared" si="49"/>
        <v>37193</v>
      </c>
      <c r="F3123" s="69">
        <v>5.8108373620414247E-3</v>
      </c>
    </row>
    <row r="3124" spans="1:6" x14ac:dyDescent="0.3">
      <c r="A3124" s="24">
        <v>38002</v>
      </c>
      <c r="B3124" s="66">
        <v>452.64799999999997</v>
      </c>
      <c r="C3124" s="67"/>
      <c r="D3124" s="68">
        <v>0</v>
      </c>
      <c r="E3124" s="110">
        <f t="shared" si="49"/>
        <v>37193</v>
      </c>
      <c r="F3124" s="69">
        <v>5.8108373620414247E-3</v>
      </c>
    </row>
    <row r="3125" spans="1:6" x14ac:dyDescent="0.3">
      <c r="A3125" s="24">
        <v>38003</v>
      </c>
      <c r="B3125" s="66">
        <v>452.64799999999997</v>
      </c>
      <c r="C3125" s="67"/>
      <c r="D3125" s="68">
        <v>0</v>
      </c>
      <c r="E3125" s="110">
        <f t="shared" si="49"/>
        <v>37193</v>
      </c>
      <c r="F3125" s="69">
        <v>5.8108373620414247E-3</v>
      </c>
    </row>
    <row r="3126" spans="1:6" x14ac:dyDescent="0.3">
      <c r="A3126" s="24">
        <v>38004</v>
      </c>
      <c r="B3126" s="66">
        <v>452.64799999999997</v>
      </c>
      <c r="C3126" s="67"/>
      <c r="D3126" s="68">
        <v>0</v>
      </c>
      <c r="E3126" s="110">
        <f t="shared" si="49"/>
        <v>37193</v>
      </c>
      <c r="F3126" s="69">
        <v>5.8108373620414247E-3</v>
      </c>
    </row>
    <row r="3127" spans="1:6" x14ac:dyDescent="0.3">
      <c r="A3127" s="24">
        <v>38005</v>
      </c>
      <c r="B3127" s="66">
        <v>452.64799999999997</v>
      </c>
      <c r="C3127" s="67"/>
      <c r="D3127" s="68">
        <v>0</v>
      </c>
      <c r="E3127" s="110">
        <f t="shared" si="49"/>
        <v>37193</v>
      </c>
      <c r="F3127" s="69">
        <v>5.8108373620414247E-3</v>
      </c>
    </row>
    <row r="3128" spans="1:6" x14ac:dyDescent="0.3">
      <c r="A3128" s="24">
        <v>38006</v>
      </c>
      <c r="B3128" s="66">
        <v>452.64799999999997</v>
      </c>
      <c r="C3128" s="67"/>
      <c r="D3128" s="68">
        <v>0</v>
      </c>
      <c r="E3128" s="110">
        <f t="shared" si="49"/>
        <v>37193</v>
      </c>
      <c r="F3128" s="69">
        <v>5.8108373620414247E-3</v>
      </c>
    </row>
    <row r="3129" spans="1:6" x14ac:dyDescent="0.3">
      <c r="A3129" s="24">
        <v>38007</v>
      </c>
      <c r="B3129" s="66">
        <v>452.64799999999997</v>
      </c>
      <c r="C3129" s="67"/>
      <c r="D3129" s="68">
        <v>0</v>
      </c>
      <c r="E3129" s="110">
        <f t="shared" si="49"/>
        <v>37193</v>
      </c>
      <c r="F3129" s="69">
        <v>5.8108373620414247E-3</v>
      </c>
    </row>
    <row r="3130" spans="1:6" x14ac:dyDescent="0.3">
      <c r="A3130" s="24">
        <v>38008</v>
      </c>
      <c r="B3130" s="66">
        <v>452.64799999999997</v>
      </c>
      <c r="C3130" s="67"/>
      <c r="D3130" s="68">
        <v>0</v>
      </c>
      <c r="E3130" s="110">
        <f t="shared" si="49"/>
        <v>37193</v>
      </c>
      <c r="F3130" s="69">
        <v>5.8108373620414247E-3</v>
      </c>
    </row>
    <row r="3131" spans="1:6" x14ac:dyDescent="0.3">
      <c r="A3131" s="24">
        <v>38009</v>
      </c>
      <c r="B3131" s="66">
        <v>452.64799999999997</v>
      </c>
      <c r="C3131" s="67"/>
      <c r="D3131" s="68">
        <v>0</v>
      </c>
      <c r="E3131" s="110">
        <f t="shared" si="49"/>
        <v>37193</v>
      </c>
      <c r="F3131" s="69">
        <v>5.8108373620414247E-3</v>
      </c>
    </row>
    <row r="3132" spans="1:6" x14ac:dyDescent="0.3">
      <c r="A3132" s="24">
        <v>38010</v>
      </c>
      <c r="B3132" s="66">
        <v>452.64799999999997</v>
      </c>
      <c r="C3132" s="67"/>
      <c r="D3132" s="68">
        <v>0</v>
      </c>
      <c r="E3132" s="110">
        <f t="shared" si="49"/>
        <v>37193</v>
      </c>
      <c r="F3132" s="69">
        <v>5.8108373620414247E-3</v>
      </c>
    </row>
    <row r="3133" spans="1:6" x14ac:dyDescent="0.3">
      <c r="A3133" s="24">
        <v>38011</v>
      </c>
      <c r="B3133" s="66">
        <v>452.64799999999997</v>
      </c>
      <c r="C3133" s="67"/>
      <c r="D3133" s="68">
        <v>0</v>
      </c>
      <c r="E3133" s="110">
        <f t="shared" si="49"/>
        <v>37193</v>
      </c>
      <c r="F3133" s="69">
        <v>5.8108373620414247E-3</v>
      </c>
    </row>
    <row r="3134" spans="1:6" x14ac:dyDescent="0.3">
      <c r="A3134" s="24">
        <v>38012</v>
      </c>
      <c r="B3134" s="66">
        <v>452.64799999999997</v>
      </c>
      <c r="C3134" s="67"/>
      <c r="D3134" s="68">
        <v>0</v>
      </c>
      <c r="E3134" s="110">
        <f t="shared" si="49"/>
        <v>37193</v>
      </c>
      <c r="F3134" s="69">
        <v>5.8108373620414247E-3</v>
      </c>
    </row>
    <row r="3135" spans="1:6" x14ac:dyDescent="0.3">
      <c r="A3135" s="24">
        <v>38013</v>
      </c>
      <c r="B3135" s="66">
        <v>452.64799999999997</v>
      </c>
      <c r="C3135" s="67"/>
      <c r="D3135" s="68">
        <v>0</v>
      </c>
      <c r="E3135" s="110">
        <f t="shared" si="49"/>
        <v>37193</v>
      </c>
      <c r="F3135" s="69">
        <v>5.8108373620414247E-3</v>
      </c>
    </row>
    <row r="3136" spans="1:6" x14ac:dyDescent="0.3">
      <c r="A3136" s="24">
        <v>38014</v>
      </c>
      <c r="B3136" s="66">
        <v>452.64799999999997</v>
      </c>
      <c r="C3136" s="67"/>
      <c r="D3136" s="68">
        <v>0</v>
      </c>
      <c r="E3136" s="110">
        <f t="shared" si="49"/>
        <v>37193</v>
      </c>
      <c r="F3136" s="69">
        <v>5.8108373620414247E-3</v>
      </c>
    </row>
    <row r="3137" spans="1:6" x14ac:dyDescent="0.3">
      <c r="A3137" s="24">
        <v>38015</v>
      </c>
      <c r="B3137" s="66">
        <v>452.64799999999997</v>
      </c>
      <c r="C3137" s="67"/>
      <c r="D3137" s="68">
        <v>0</v>
      </c>
      <c r="E3137" s="110">
        <f t="shared" si="49"/>
        <v>37193</v>
      </c>
      <c r="F3137" s="69">
        <v>5.8108373620414247E-3</v>
      </c>
    </row>
    <row r="3138" spans="1:6" x14ac:dyDescent="0.3">
      <c r="A3138" s="24">
        <v>38016</v>
      </c>
      <c r="B3138" s="66">
        <v>452.64799999999997</v>
      </c>
      <c r="C3138" s="67"/>
      <c r="D3138" s="68">
        <v>0</v>
      </c>
      <c r="E3138" s="110">
        <f t="shared" si="49"/>
        <v>37193</v>
      </c>
      <c r="F3138" s="69">
        <v>5.8108373620414247E-3</v>
      </c>
    </row>
    <row r="3139" spans="1:6" x14ac:dyDescent="0.3">
      <c r="A3139" s="24">
        <v>38017</v>
      </c>
      <c r="B3139" s="66">
        <v>452.64799999999997</v>
      </c>
      <c r="C3139" s="67"/>
      <c r="D3139" s="68">
        <v>0</v>
      </c>
      <c r="E3139" s="110">
        <f t="shared" si="49"/>
        <v>37193</v>
      </c>
      <c r="F3139" s="69">
        <v>5.8108373620414247E-3</v>
      </c>
    </row>
    <row r="3140" spans="1:6" x14ac:dyDescent="0.3">
      <c r="A3140" s="24">
        <v>38018</v>
      </c>
      <c r="B3140" s="66">
        <v>452.64799999999997</v>
      </c>
      <c r="C3140" s="67"/>
      <c r="D3140" s="68">
        <v>0</v>
      </c>
      <c r="E3140" s="110">
        <f t="shared" si="49"/>
        <v>37193</v>
      </c>
      <c r="F3140" s="69">
        <v>5.8108373620414247E-3</v>
      </c>
    </row>
    <row r="3141" spans="1:6" x14ac:dyDescent="0.3">
      <c r="A3141" s="24">
        <v>38019</v>
      </c>
      <c r="B3141" s="66">
        <v>452.64799999999997</v>
      </c>
      <c r="C3141" s="67"/>
      <c r="D3141" s="68">
        <v>0</v>
      </c>
      <c r="E3141" s="110">
        <f t="shared" si="49"/>
        <v>37193</v>
      </c>
      <c r="F3141" s="69">
        <v>5.8108373620414247E-3</v>
      </c>
    </row>
    <row r="3142" spans="1:6" x14ac:dyDescent="0.3">
      <c r="A3142" s="24">
        <v>38020</v>
      </c>
      <c r="B3142" s="66">
        <v>452.64799999999997</v>
      </c>
      <c r="C3142" s="67"/>
      <c r="D3142" s="68">
        <v>0</v>
      </c>
      <c r="E3142" s="110">
        <f t="shared" si="49"/>
        <v>37193</v>
      </c>
      <c r="F3142" s="69">
        <v>5.8108373620414247E-3</v>
      </c>
    </row>
    <row r="3143" spans="1:6" x14ac:dyDescent="0.3">
      <c r="A3143" s="24">
        <v>38021</v>
      </c>
      <c r="B3143" s="66">
        <v>452.64799999999997</v>
      </c>
      <c r="C3143" s="67"/>
      <c r="D3143" s="68">
        <v>0</v>
      </c>
      <c r="E3143" s="110">
        <f t="shared" si="49"/>
        <v>37193</v>
      </c>
      <c r="F3143" s="69">
        <v>5.8108373620414247E-3</v>
      </c>
    </row>
    <row r="3144" spans="1:6" x14ac:dyDescent="0.3">
      <c r="A3144" s="24">
        <v>38022</v>
      </c>
      <c r="B3144" s="66">
        <v>452.64799999999997</v>
      </c>
      <c r="C3144" s="67"/>
      <c r="D3144" s="68">
        <v>0</v>
      </c>
      <c r="E3144" s="110">
        <f t="shared" si="49"/>
        <v>37193</v>
      </c>
      <c r="F3144" s="69">
        <v>5.8108373620414247E-3</v>
      </c>
    </row>
    <row r="3145" spans="1:6" x14ac:dyDescent="0.3">
      <c r="A3145" s="24">
        <v>38023</v>
      </c>
      <c r="B3145" s="66">
        <v>452.64799999999997</v>
      </c>
      <c r="C3145" s="67"/>
      <c r="D3145" s="68">
        <v>0</v>
      </c>
      <c r="E3145" s="110">
        <f t="shared" si="49"/>
        <v>37193</v>
      </c>
      <c r="F3145" s="69">
        <v>5.8108373620414247E-3</v>
      </c>
    </row>
    <row r="3146" spans="1:6" x14ac:dyDescent="0.3">
      <c r="A3146" s="24">
        <v>38024</v>
      </c>
      <c r="B3146" s="66">
        <v>452.64799999999997</v>
      </c>
      <c r="C3146" s="67"/>
      <c r="D3146" s="68">
        <v>0</v>
      </c>
      <c r="E3146" s="110">
        <f t="shared" si="49"/>
        <v>37193</v>
      </c>
      <c r="F3146" s="69">
        <v>5.8108373620414247E-3</v>
      </c>
    </row>
    <row r="3147" spans="1:6" x14ac:dyDescent="0.3">
      <c r="A3147" s="24">
        <v>38025</v>
      </c>
      <c r="B3147" s="66">
        <v>452.64799999999997</v>
      </c>
      <c r="C3147" s="67"/>
      <c r="D3147" s="68">
        <v>0</v>
      </c>
      <c r="E3147" s="110">
        <f t="shared" si="49"/>
        <v>37193</v>
      </c>
      <c r="F3147" s="69">
        <v>5.8108373620414247E-3</v>
      </c>
    </row>
    <row r="3148" spans="1:6" x14ac:dyDescent="0.3">
      <c r="A3148" s="24">
        <v>38026</v>
      </c>
      <c r="B3148" s="66">
        <v>452.64799999999997</v>
      </c>
      <c r="C3148" s="67"/>
      <c r="D3148" s="68">
        <v>0</v>
      </c>
      <c r="E3148" s="110">
        <f t="shared" si="49"/>
        <v>37193</v>
      </c>
      <c r="F3148" s="69">
        <v>5.8108373620414247E-3</v>
      </c>
    </row>
    <row r="3149" spans="1:6" x14ac:dyDescent="0.3">
      <c r="A3149" s="24">
        <v>38027</v>
      </c>
      <c r="B3149" s="66">
        <v>452.64799999999997</v>
      </c>
      <c r="C3149" s="67"/>
      <c r="D3149" s="68">
        <v>0</v>
      </c>
      <c r="E3149" s="110">
        <f t="shared" si="49"/>
        <v>37193</v>
      </c>
      <c r="F3149" s="69">
        <v>5.8108373620414247E-3</v>
      </c>
    </row>
    <row r="3150" spans="1:6" x14ac:dyDescent="0.3">
      <c r="A3150" s="24">
        <v>38028</v>
      </c>
      <c r="B3150" s="66">
        <v>452.64799999999997</v>
      </c>
      <c r="C3150" s="67"/>
      <c r="D3150" s="68">
        <v>0</v>
      </c>
      <c r="E3150" s="110">
        <f t="shared" si="49"/>
        <v>37193</v>
      </c>
      <c r="F3150" s="69">
        <v>5.8108373620414247E-3</v>
      </c>
    </row>
    <row r="3151" spans="1:6" x14ac:dyDescent="0.3">
      <c r="A3151" s="24">
        <v>38029</v>
      </c>
      <c r="B3151" s="66">
        <v>452.64799999999997</v>
      </c>
      <c r="C3151" s="67"/>
      <c r="D3151" s="68">
        <v>0</v>
      </c>
      <c r="E3151" s="110">
        <f t="shared" si="49"/>
        <v>37193</v>
      </c>
      <c r="F3151" s="69">
        <v>5.8108373620414247E-3</v>
      </c>
    </row>
    <row r="3152" spans="1:6" x14ac:dyDescent="0.3">
      <c r="A3152" s="24">
        <v>38030</v>
      </c>
      <c r="B3152" s="66">
        <v>452.64799999999997</v>
      </c>
      <c r="C3152" s="67"/>
      <c r="D3152" s="68">
        <v>0</v>
      </c>
      <c r="E3152" s="110">
        <f t="shared" si="49"/>
        <v>37193</v>
      </c>
      <c r="F3152" s="69">
        <v>5.8108373620414247E-3</v>
      </c>
    </row>
    <row r="3153" spans="1:6" x14ac:dyDescent="0.3">
      <c r="A3153" s="24">
        <v>38031</v>
      </c>
      <c r="B3153" s="66">
        <v>452.64799999999997</v>
      </c>
      <c r="C3153" s="67"/>
      <c r="D3153" s="68">
        <v>0</v>
      </c>
      <c r="E3153" s="110">
        <f t="shared" si="49"/>
        <v>37193</v>
      </c>
      <c r="F3153" s="69">
        <v>5.8108373620414247E-3</v>
      </c>
    </row>
    <row r="3154" spans="1:6" x14ac:dyDescent="0.3">
      <c r="A3154" s="24">
        <v>38032</v>
      </c>
      <c r="B3154" s="66">
        <v>452.64799999999997</v>
      </c>
      <c r="C3154" s="67"/>
      <c r="D3154" s="68">
        <v>0</v>
      </c>
      <c r="E3154" s="110">
        <f t="shared" ref="E3154:E3217" si="50">+E3153</f>
        <v>37193</v>
      </c>
      <c r="F3154" s="69">
        <v>5.8108373620414247E-3</v>
      </c>
    </row>
    <row r="3155" spans="1:6" x14ac:dyDescent="0.3">
      <c r="A3155" s="24">
        <v>38033</v>
      </c>
      <c r="B3155" s="66">
        <v>452.64799999999997</v>
      </c>
      <c r="C3155" s="67"/>
      <c r="D3155" s="68">
        <v>0</v>
      </c>
      <c r="E3155" s="110">
        <f t="shared" si="50"/>
        <v>37193</v>
      </c>
      <c r="F3155" s="69">
        <v>5.8108373620414247E-3</v>
      </c>
    </row>
    <row r="3156" spans="1:6" x14ac:dyDescent="0.3">
      <c r="A3156" s="24">
        <v>38034</v>
      </c>
      <c r="B3156" s="66">
        <v>452.64799999999997</v>
      </c>
      <c r="C3156" s="67"/>
      <c r="D3156" s="68">
        <v>0</v>
      </c>
      <c r="E3156" s="110">
        <f t="shared" si="50"/>
        <v>37193</v>
      </c>
      <c r="F3156" s="69">
        <v>5.8108373620414247E-3</v>
      </c>
    </row>
    <row r="3157" spans="1:6" x14ac:dyDescent="0.3">
      <c r="A3157" s="24">
        <v>38035</v>
      </c>
      <c r="B3157" s="66">
        <v>452.64799999999997</v>
      </c>
      <c r="C3157" s="67"/>
      <c r="D3157" s="68">
        <v>0</v>
      </c>
      <c r="E3157" s="110">
        <f t="shared" si="50"/>
        <v>37193</v>
      </c>
      <c r="F3157" s="69">
        <v>5.8108373620414247E-3</v>
      </c>
    </row>
    <row r="3158" spans="1:6" x14ac:dyDescent="0.3">
      <c r="A3158" s="24">
        <v>38036</v>
      </c>
      <c r="B3158" s="66">
        <v>452.64799999999997</v>
      </c>
      <c r="C3158" s="67"/>
      <c r="D3158" s="68">
        <v>0</v>
      </c>
      <c r="E3158" s="110">
        <f t="shared" si="50"/>
        <v>37193</v>
      </c>
      <c r="F3158" s="69">
        <v>5.8108373620414247E-3</v>
      </c>
    </row>
    <row r="3159" spans="1:6" x14ac:dyDescent="0.3">
      <c r="A3159" s="24">
        <v>38037</v>
      </c>
      <c r="B3159" s="66">
        <v>452.64799999999997</v>
      </c>
      <c r="C3159" s="67"/>
      <c r="D3159" s="68">
        <v>0</v>
      </c>
      <c r="E3159" s="110">
        <f t="shared" si="50"/>
        <v>37193</v>
      </c>
      <c r="F3159" s="69">
        <v>5.8108373620414247E-3</v>
      </c>
    </row>
    <row r="3160" spans="1:6" x14ac:dyDescent="0.3">
      <c r="A3160" s="24">
        <v>38038</v>
      </c>
      <c r="B3160" s="66">
        <v>452.64799999999997</v>
      </c>
      <c r="C3160" s="67"/>
      <c r="D3160" s="68">
        <v>0</v>
      </c>
      <c r="E3160" s="110">
        <f t="shared" si="50"/>
        <v>37193</v>
      </c>
      <c r="F3160" s="69">
        <v>5.8108373620414247E-3</v>
      </c>
    </row>
    <row r="3161" spans="1:6" x14ac:dyDescent="0.3">
      <c r="A3161" s="24">
        <v>38039</v>
      </c>
      <c r="B3161" s="66">
        <v>452.64799999999997</v>
      </c>
      <c r="C3161" s="67"/>
      <c r="D3161" s="68">
        <v>0</v>
      </c>
      <c r="E3161" s="110">
        <f t="shared" si="50"/>
        <v>37193</v>
      </c>
      <c r="F3161" s="69">
        <v>5.8108373620414247E-3</v>
      </c>
    </row>
    <row r="3162" spans="1:6" x14ac:dyDescent="0.3">
      <c r="A3162" s="24">
        <v>38040</v>
      </c>
      <c r="B3162" s="66">
        <v>452.64799999999997</v>
      </c>
      <c r="C3162" s="67"/>
      <c r="D3162" s="68">
        <v>0</v>
      </c>
      <c r="E3162" s="110">
        <f t="shared" si="50"/>
        <v>37193</v>
      </c>
      <c r="F3162" s="69">
        <v>5.8108373620414247E-3</v>
      </c>
    </row>
    <row r="3163" spans="1:6" x14ac:dyDescent="0.3">
      <c r="A3163" s="24">
        <v>38041</v>
      </c>
      <c r="B3163" s="66">
        <v>452.64799999999997</v>
      </c>
      <c r="C3163" s="67"/>
      <c r="D3163" s="68">
        <v>0</v>
      </c>
      <c r="E3163" s="110">
        <f t="shared" si="50"/>
        <v>37193</v>
      </c>
      <c r="F3163" s="69">
        <v>5.8108373620414247E-3</v>
      </c>
    </row>
    <row r="3164" spans="1:6" x14ac:dyDescent="0.3">
      <c r="A3164" s="24">
        <v>38042</v>
      </c>
      <c r="B3164" s="66">
        <v>452.64799999999997</v>
      </c>
      <c r="C3164" s="67"/>
      <c r="D3164" s="68">
        <v>0</v>
      </c>
      <c r="E3164" s="110">
        <f t="shared" si="50"/>
        <v>37193</v>
      </c>
      <c r="F3164" s="69">
        <v>5.8108373620414247E-3</v>
      </c>
    </row>
    <row r="3165" spans="1:6" x14ac:dyDescent="0.3">
      <c r="A3165" s="24">
        <v>38043</v>
      </c>
      <c r="B3165" s="66">
        <v>452.64799999999997</v>
      </c>
      <c r="C3165" s="67"/>
      <c r="D3165" s="68">
        <v>0</v>
      </c>
      <c r="E3165" s="110">
        <f t="shared" si="50"/>
        <v>37193</v>
      </c>
      <c r="F3165" s="69">
        <v>5.8108373620414247E-3</v>
      </c>
    </row>
    <row r="3166" spans="1:6" x14ac:dyDescent="0.3">
      <c r="A3166" s="24">
        <v>38044</v>
      </c>
      <c r="B3166" s="66">
        <v>452.64799999999997</v>
      </c>
      <c r="C3166" s="67"/>
      <c r="D3166" s="68">
        <v>0</v>
      </c>
      <c r="E3166" s="110">
        <f t="shared" si="50"/>
        <v>37193</v>
      </c>
      <c r="F3166" s="69">
        <v>5.8108373620414247E-3</v>
      </c>
    </row>
    <row r="3167" spans="1:6" x14ac:dyDescent="0.3">
      <c r="A3167" s="24">
        <v>38045</v>
      </c>
      <c r="B3167" s="66">
        <v>452.64799999999997</v>
      </c>
      <c r="C3167" s="67"/>
      <c r="D3167" s="68">
        <v>0</v>
      </c>
      <c r="E3167" s="110">
        <f t="shared" si="50"/>
        <v>37193</v>
      </c>
      <c r="F3167" s="69">
        <v>5.8108373620414247E-3</v>
      </c>
    </row>
    <row r="3168" spans="1:6" x14ac:dyDescent="0.3">
      <c r="A3168" s="24">
        <v>38046</v>
      </c>
      <c r="B3168" s="66">
        <v>452.64799999999997</v>
      </c>
      <c r="C3168" s="67"/>
      <c r="D3168" s="68">
        <v>0</v>
      </c>
      <c r="E3168" s="110">
        <f t="shared" si="50"/>
        <v>37193</v>
      </c>
      <c r="F3168" s="69">
        <v>5.8108373620414247E-3</v>
      </c>
    </row>
    <row r="3169" spans="1:6" x14ac:dyDescent="0.3">
      <c r="A3169" s="24">
        <v>38047</v>
      </c>
      <c r="B3169" s="66">
        <v>452.64799999999997</v>
      </c>
      <c r="C3169" s="67"/>
      <c r="D3169" s="68">
        <v>0</v>
      </c>
      <c r="E3169" s="110">
        <f t="shared" si="50"/>
        <v>37193</v>
      </c>
      <c r="F3169" s="69">
        <v>5.8108373620414247E-3</v>
      </c>
    </row>
    <row r="3170" spans="1:6" x14ac:dyDescent="0.3">
      <c r="A3170" s="24">
        <v>38048</v>
      </c>
      <c r="B3170" s="66">
        <v>452.64799999999997</v>
      </c>
      <c r="C3170" s="67"/>
      <c r="D3170" s="68">
        <v>0</v>
      </c>
      <c r="E3170" s="110">
        <f t="shared" si="50"/>
        <v>37193</v>
      </c>
      <c r="F3170" s="69">
        <v>5.8108373620414247E-3</v>
      </c>
    </row>
    <row r="3171" spans="1:6" x14ac:dyDescent="0.3">
      <c r="A3171" s="24">
        <v>38049</v>
      </c>
      <c r="B3171" s="66">
        <v>452.64799999999997</v>
      </c>
      <c r="C3171" s="67"/>
      <c r="D3171" s="68">
        <v>0</v>
      </c>
      <c r="E3171" s="110">
        <f t="shared" si="50"/>
        <v>37193</v>
      </c>
      <c r="F3171" s="69">
        <v>5.8108373620414247E-3</v>
      </c>
    </row>
    <row r="3172" spans="1:6" x14ac:dyDescent="0.3">
      <c r="A3172" s="24">
        <v>38050</v>
      </c>
      <c r="B3172" s="66">
        <v>452.64799999999997</v>
      </c>
      <c r="C3172" s="67"/>
      <c r="D3172" s="68">
        <v>0</v>
      </c>
      <c r="E3172" s="110">
        <f t="shared" si="50"/>
        <v>37193</v>
      </c>
      <c r="F3172" s="69">
        <v>5.8108373620414247E-3</v>
      </c>
    </row>
    <row r="3173" spans="1:6" x14ac:dyDescent="0.3">
      <c r="A3173" s="24">
        <v>38051</v>
      </c>
      <c r="B3173" s="66">
        <v>452.64799999999997</v>
      </c>
      <c r="C3173" s="67"/>
      <c r="D3173" s="68">
        <v>0</v>
      </c>
      <c r="E3173" s="110">
        <f t="shared" si="50"/>
        <v>37193</v>
      </c>
      <c r="F3173" s="69">
        <v>5.8108373620414247E-3</v>
      </c>
    </row>
    <row r="3174" spans="1:6" x14ac:dyDescent="0.3">
      <c r="A3174" s="24">
        <v>38052</v>
      </c>
      <c r="B3174" s="66">
        <v>452.64799999999997</v>
      </c>
      <c r="C3174" s="67"/>
      <c r="D3174" s="68">
        <v>0</v>
      </c>
      <c r="E3174" s="110">
        <f t="shared" si="50"/>
        <v>37193</v>
      </c>
      <c r="F3174" s="69">
        <v>5.8108373620414247E-3</v>
      </c>
    </row>
    <row r="3175" spans="1:6" x14ac:dyDescent="0.3">
      <c r="A3175" s="24">
        <v>38053</v>
      </c>
      <c r="B3175" s="66">
        <v>452.64799999999997</v>
      </c>
      <c r="C3175" s="67"/>
      <c r="D3175" s="68">
        <v>0</v>
      </c>
      <c r="E3175" s="110">
        <f t="shared" si="50"/>
        <v>37193</v>
      </c>
      <c r="F3175" s="69">
        <v>5.8108373620414247E-3</v>
      </c>
    </row>
    <row r="3176" spans="1:6" x14ac:dyDescent="0.3">
      <c r="A3176" s="24">
        <v>38054</v>
      </c>
      <c r="B3176" s="66">
        <v>452.64799999999997</v>
      </c>
      <c r="C3176" s="67"/>
      <c r="D3176" s="68">
        <v>0</v>
      </c>
      <c r="E3176" s="110">
        <f t="shared" si="50"/>
        <v>37193</v>
      </c>
      <c r="F3176" s="69">
        <v>5.8108373620414247E-3</v>
      </c>
    </row>
    <row r="3177" spans="1:6" x14ac:dyDescent="0.3">
      <c r="A3177" s="24">
        <v>38055</v>
      </c>
      <c r="B3177" s="66">
        <v>452.64799999999997</v>
      </c>
      <c r="C3177" s="67"/>
      <c r="D3177" s="68">
        <v>0</v>
      </c>
      <c r="E3177" s="110">
        <f t="shared" si="50"/>
        <v>37193</v>
      </c>
      <c r="F3177" s="69">
        <v>5.8108373620414247E-3</v>
      </c>
    </row>
    <row r="3178" spans="1:6" x14ac:dyDescent="0.3">
      <c r="A3178" s="24">
        <v>38056</v>
      </c>
      <c r="B3178" s="66">
        <v>452.64799999999997</v>
      </c>
      <c r="C3178" s="67"/>
      <c r="D3178" s="68">
        <v>0</v>
      </c>
      <c r="E3178" s="110">
        <f t="shared" si="50"/>
        <v>37193</v>
      </c>
      <c r="F3178" s="69">
        <v>5.8108373620414247E-3</v>
      </c>
    </row>
    <row r="3179" spans="1:6" x14ac:dyDescent="0.3">
      <c r="A3179" s="24">
        <v>38057</v>
      </c>
      <c r="B3179" s="66">
        <v>452.64799999999997</v>
      </c>
      <c r="C3179" s="67"/>
      <c r="D3179" s="68">
        <v>0</v>
      </c>
      <c r="E3179" s="110">
        <f t="shared" si="50"/>
        <v>37193</v>
      </c>
      <c r="F3179" s="69">
        <v>5.8108373620414247E-3</v>
      </c>
    </row>
    <row r="3180" spans="1:6" x14ac:dyDescent="0.3">
      <c r="A3180" s="24">
        <v>38058</v>
      </c>
      <c r="B3180" s="66">
        <v>452.64799999999997</v>
      </c>
      <c r="C3180" s="67"/>
      <c r="D3180" s="68">
        <v>0</v>
      </c>
      <c r="E3180" s="110">
        <f t="shared" si="50"/>
        <v>37193</v>
      </c>
      <c r="F3180" s="69">
        <v>5.8108373620414247E-3</v>
      </c>
    </row>
    <row r="3181" spans="1:6" x14ac:dyDescent="0.3">
      <c r="A3181" s="24">
        <v>38059</v>
      </c>
      <c r="B3181" s="66">
        <v>452.64799999999997</v>
      </c>
      <c r="C3181" s="67"/>
      <c r="D3181" s="68">
        <v>0</v>
      </c>
      <c r="E3181" s="110">
        <f t="shared" si="50"/>
        <v>37193</v>
      </c>
      <c r="F3181" s="69">
        <v>5.8108373620414247E-3</v>
      </c>
    </row>
    <row r="3182" spans="1:6" x14ac:dyDescent="0.3">
      <c r="A3182" s="24">
        <v>38060</v>
      </c>
      <c r="B3182" s="66">
        <v>452.64799999999997</v>
      </c>
      <c r="C3182" s="67"/>
      <c r="D3182" s="68">
        <v>0</v>
      </c>
      <c r="E3182" s="110">
        <f t="shared" si="50"/>
        <v>37193</v>
      </c>
      <c r="F3182" s="69">
        <v>5.8108373620414247E-3</v>
      </c>
    </row>
    <row r="3183" spans="1:6" x14ac:dyDescent="0.3">
      <c r="A3183" s="24">
        <v>38061</v>
      </c>
      <c r="B3183" s="66">
        <v>452.64799999999997</v>
      </c>
      <c r="C3183" s="67"/>
      <c r="D3183" s="68">
        <v>0</v>
      </c>
      <c r="E3183" s="110">
        <f t="shared" si="50"/>
        <v>37193</v>
      </c>
      <c r="F3183" s="69">
        <v>5.8108373620414247E-3</v>
      </c>
    </row>
    <row r="3184" spans="1:6" x14ac:dyDescent="0.3">
      <c r="A3184" s="24">
        <v>38062</v>
      </c>
      <c r="B3184" s="66">
        <v>452.64799999999997</v>
      </c>
      <c r="C3184" s="67"/>
      <c r="D3184" s="68">
        <v>0</v>
      </c>
      <c r="E3184" s="110">
        <f t="shared" si="50"/>
        <v>37193</v>
      </c>
      <c r="F3184" s="69">
        <v>5.8108373620414247E-3</v>
      </c>
    </row>
    <row r="3185" spans="1:6" x14ac:dyDescent="0.3">
      <c r="A3185" s="24">
        <v>38063</v>
      </c>
      <c r="B3185" s="66">
        <v>452.64799999999997</v>
      </c>
      <c r="C3185" s="67"/>
      <c r="D3185" s="68">
        <v>0</v>
      </c>
      <c r="E3185" s="110">
        <f t="shared" si="50"/>
        <v>37193</v>
      </c>
      <c r="F3185" s="69">
        <v>5.8108373620414247E-3</v>
      </c>
    </row>
    <row r="3186" spans="1:6" x14ac:dyDescent="0.3">
      <c r="A3186" s="24">
        <v>38064</v>
      </c>
      <c r="B3186" s="66">
        <v>452.64799999999997</v>
      </c>
      <c r="C3186" s="67"/>
      <c r="D3186" s="68">
        <v>0</v>
      </c>
      <c r="E3186" s="110">
        <f t="shared" si="50"/>
        <v>37193</v>
      </c>
      <c r="F3186" s="69">
        <v>5.8108373620414247E-3</v>
      </c>
    </row>
    <row r="3187" spans="1:6" x14ac:dyDescent="0.3">
      <c r="A3187" s="24">
        <v>38065</v>
      </c>
      <c r="B3187" s="66">
        <v>452.64799999999997</v>
      </c>
      <c r="C3187" s="67"/>
      <c r="D3187" s="68">
        <v>0</v>
      </c>
      <c r="E3187" s="110">
        <f t="shared" si="50"/>
        <v>37193</v>
      </c>
      <c r="F3187" s="69">
        <v>5.8108373620414247E-3</v>
      </c>
    </row>
    <row r="3188" spans="1:6" x14ac:dyDescent="0.3">
      <c r="A3188" s="24">
        <v>38066</v>
      </c>
      <c r="B3188" s="66">
        <v>452.64799999999997</v>
      </c>
      <c r="C3188" s="67"/>
      <c r="D3188" s="68">
        <v>0</v>
      </c>
      <c r="E3188" s="110">
        <f t="shared" si="50"/>
        <v>37193</v>
      </c>
      <c r="F3188" s="69">
        <v>5.8108373620414247E-3</v>
      </c>
    </row>
    <row r="3189" spans="1:6" x14ac:dyDescent="0.3">
      <c r="A3189" s="24">
        <v>38067</v>
      </c>
      <c r="B3189" s="66">
        <v>452.64799999999997</v>
      </c>
      <c r="C3189" s="67"/>
      <c r="D3189" s="68">
        <v>0</v>
      </c>
      <c r="E3189" s="110">
        <f t="shared" si="50"/>
        <v>37193</v>
      </c>
      <c r="F3189" s="69">
        <v>5.8108373620414247E-3</v>
      </c>
    </row>
    <row r="3190" spans="1:6" x14ac:dyDescent="0.3">
      <c r="A3190" s="24">
        <v>38068</v>
      </c>
      <c r="B3190" s="66">
        <v>452.64799999999997</v>
      </c>
      <c r="C3190" s="67"/>
      <c r="D3190" s="68">
        <v>0</v>
      </c>
      <c r="E3190" s="110">
        <f t="shared" si="50"/>
        <v>37193</v>
      </c>
      <c r="F3190" s="69">
        <v>5.8108373620414247E-3</v>
      </c>
    </row>
    <row r="3191" spans="1:6" x14ac:dyDescent="0.3">
      <c r="A3191" s="24">
        <v>38069</v>
      </c>
      <c r="B3191" s="66">
        <v>452.64799999999997</v>
      </c>
      <c r="C3191" s="67"/>
      <c r="D3191" s="68">
        <v>0</v>
      </c>
      <c r="E3191" s="110">
        <f t="shared" si="50"/>
        <v>37193</v>
      </c>
      <c r="F3191" s="69">
        <v>5.8108373620414247E-3</v>
      </c>
    </row>
    <row r="3192" spans="1:6" x14ac:dyDescent="0.3">
      <c r="A3192" s="24">
        <v>38070</v>
      </c>
      <c r="B3192" s="66">
        <v>452.64799999999997</v>
      </c>
      <c r="C3192" s="67"/>
      <c r="D3192" s="68">
        <v>0</v>
      </c>
      <c r="E3192" s="110">
        <f t="shared" si="50"/>
        <v>37193</v>
      </c>
      <c r="F3192" s="69">
        <v>5.8108373620414247E-3</v>
      </c>
    </row>
    <row r="3193" spans="1:6" x14ac:dyDescent="0.3">
      <c r="A3193" s="24">
        <v>38071</v>
      </c>
      <c r="B3193" s="66">
        <v>452.64799999999997</v>
      </c>
      <c r="C3193" s="67"/>
      <c r="D3193" s="68">
        <v>0</v>
      </c>
      <c r="E3193" s="110">
        <f t="shared" si="50"/>
        <v>37193</v>
      </c>
      <c r="F3193" s="69">
        <v>5.8108373620414247E-3</v>
      </c>
    </row>
    <row r="3194" spans="1:6" x14ac:dyDescent="0.3">
      <c r="A3194" s="24">
        <v>38072</v>
      </c>
      <c r="B3194" s="66">
        <v>452.64799999999997</v>
      </c>
      <c r="C3194" s="67"/>
      <c r="D3194" s="68">
        <v>0</v>
      </c>
      <c r="E3194" s="110">
        <f t="shared" si="50"/>
        <v>37193</v>
      </c>
      <c r="F3194" s="69">
        <v>5.8108373620414247E-3</v>
      </c>
    </row>
    <row r="3195" spans="1:6" x14ac:dyDescent="0.3">
      <c r="A3195" s="24">
        <v>38073</v>
      </c>
      <c r="B3195" s="66">
        <v>452.64799999999997</v>
      </c>
      <c r="C3195" s="67"/>
      <c r="D3195" s="68">
        <v>0</v>
      </c>
      <c r="E3195" s="110">
        <f t="shared" si="50"/>
        <v>37193</v>
      </c>
      <c r="F3195" s="69">
        <v>5.8108373620414247E-3</v>
      </c>
    </row>
    <row r="3196" spans="1:6" x14ac:dyDescent="0.3">
      <c r="A3196" s="24">
        <v>38074</v>
      </c>
      <c r="B3196" s="66">
        <v>452.64799999999997</v>
      </c>
      <c r="C3196" s="67"/>
      <c r="D3196" s="68">
        <v>0</v>
      </c>
      <c r="E3196" s="110">
        <f t="shared" si="50"/>
        <v>37193</v>
      </c>
      <c r="F3196" s="69">
        <v>5.8108373620414247E-3</v>
      </c>
    </row>
    <row r="3197" spans="1:6" x14ac:dyDescent="0.3">
      <c r="A3197" s="24">
        <v>38075</v>
      </c>
      <c r="B3197" s="66">
        <v>452.64799999999997</v>
      </c>
      <c r="C3197" s="67"/>
      <c r="D3197" s="68">
        <v>0</v>
      </c>
      <c r="E3197" s="110">
        <f t="shared" si="50"/>
        <v>37193</v>
      </c>
      <c r="F3197" s="69">
        <v>5.7125211775200142E-3</v>
      </c>
    </row>
    <row r="3198" spans="1:6" x14ac:dyDescent="0.3">
      <c r="A3198" s="24">
        <v>38076</v>
      </c>
      <c r="B3198" s="66">
        <v>452.64799999999997</v>
      </c>
      <c r="C3198" s="67"/>
      <c r="D3198" s="68">
        <v>0</v>
      </c>
      <c r="E3198" s="110">
        <f t="shared" si="50"/>
        <v>37193</v>
      </c>
      <c r="F3198" s="69">
        <v>5.7125211775200142E-3</v>
      </c>
    </row>
    <row r="3199" spans="1:6" x14ac:dyDescent="0.3">
      <c r="A3199" s="24">
        <v>38077</v>
      </c>
      <c r="B3199" s="66">
        <v>456.32</v>
      </c>
      <c r="C3199" s="67"/>
      <c r="D3199" s="68">
        <v>0</v>
      </c>
      <c r="E3199" s="110">
        <f t="shared" si="50"/>
        <v>37193</v>
      </c>
      <c r="F3199" s="69">
        <v>5.7125211775200142E-3</v>
      </c>
    </row>
    <row r="3200" spans="1:6" x14ac:dyDescent="0.3">
      <c r="A3200" s="24">
        <v>38078</v>
      </c>
      <c r="B3200" s="66">
        <v>456.32</v>
      </c>
      <c r="C3200" s="67"/>
      <c r="D3200" s="68">
        <v>0</v>
      </c>
      <c r="E3200" s="110">
        <f t="shared" si="50"/>
        <v>37193</v>
      </c>
      <c r="F3200" s="69">
        <v>5.7125211775200142E-3</v>
      </c>
    </row>
    <row r="3201" spans="1:6" x14ac:dyDescent="0.3">
      <c r="A3201" s="24">
        <v>38079</v>
      </c>
      <c r="B3201" s="66">
        <v>456.32</v>
      </c>
      <c r="C3201" s="67"/>
      <c r="D3201" s="68">
        <v>0</v>
      </c>
      <c r="E3201" s="110">
        <f t="shared" si="50"/>
        <v>37193</v>
      </c>
      <c r="F3201" s="69">
        <v>5.7125211775200142E-3</v>
      </c>
    </row>
    <row r="3202" spans="1:6" x14ac:dyDescent="0.3">
      <c r="A3202" s="24">
        <v>38080</v>
      </c>
      <c r="B3202" s="66">
        <v>456.32</v>
      </c>
      <c r="C3202" s="67"/>
      <c r="D3202" s="68">
        <v>0</v>
      </c>
      <c r="E3202" s="110">
        <f t="shared" si="50"/>
        <v>37193</v>
      </c>
      <c r="F3202" s="69">
        <v>5.7125211775200142E-3</v>
      </c>
    </row>
    <row r="3203" spans="1:6" x14ac:dyDescent="0.3">
      <c r="A3203" s="24">
        <v>38081</v>
      </c>
      <c r="B3203" s="66">
        <v>456.32</v>
      </c>
      <c r="C3203" s="67"/>
      <c r="D3203" s="68">
        <v>0</v>
      </c>
      <c r="E3203" s="110">
        <f t="shared" si="50"/>
        <v>37193</v>
      </c>
      <c r="F3203" s="69">
        <v>5.7125211775200142E-3</v>
      </c>
    </row>
    <row r="3204" spans="1:6" x14ac:dyDescent="0.3">
      <c r="A3204" s="24">
        <v>38082</v>
      </c>
      <c r="B3204" s="66">
        <v>456.32</v>
      </c>
      <c r="C3204" s="67"/>
      <c r="D3204" s="68">
        <v>0</v>
      </c>
      <c r="E3204" s="110">
        <f t="shared" si="50"/>
        <v>37193</v>
      </c>
      <c r="F3204" s="69">
        <v>5.7125211775200142E-3</v>
      </c>
    </row>
    <row r="3205" spans="1:6" x14ac:dyDescent="0.3">
      <c r="A3205" s="24">
        <v>38083</v>
      </c>
      <c r="B3205" s="66">
        <v>456.32</v>
      </c>
      <c r="C3205" s="67"/>
      <c r="D3205" s="68">
        <v>0</v>
      </c>
      <c r="E3205" s="110">
        <f t="shared" si="50"/>
        <v>37193</v>
      </c>
      <c r="F3205" s="69">
        <v>5.7125211775200142E-3</v>
      </c>
    </row>
    <row r="3206" spans="1:6" x14ac:dyDescent="0.3">
      <c r="A3206" s="24">
        <v>38084</v>
      </c>
      <c r="B3206" s="66">
        <v>456.32</v>
      </c>
      <c r="C3206" s="67"/>
      <c r="D3206" s="68">
        <v>0</v>
      </c>
      <c r="E3206" s="110">
        <f t="shared" si="50"/>
        <v>37193</v>
      </c>
      <c r="F3206" s="69">
        <v>5.7125211775200142E-3</v>
      </c>
    </row>
    <row r="3207" spans="1:6" x14ac:dyDescent="0.3">
      <c r="A3207" s="24">
        <v>38085</v>
      </c>
      <c r="B3207" s="66">
        <v>456.32</v>
      </c>
      <c r="C3207" s="67"/>
      <c r="D3207" s="68">
        <v>0</v>
      </c>
      <c r="E3207" s="110">
        <f t="shared" si="50"/>
        <v>37193</v>
      </c>
      <c r="F3207" s="69">
        <v>5.7125211775200142E-3</v>
      </c>
    </row>
    <row r="3208" spans="1:6" x14ac:dyDescent="0.3">
      <c r="A3208" s="24">
        <v>38086</v>
      </c>
      <c r="B3208" s="66">
        <v>456.32</v>
      </c>
      <c r="C3208" s="67"/>
      <c r="D3208" s="68">
        <v>0</v>
      </c>
      <c r="E3208" s="110">
        <f t="shared" si="50"/>
        <v>37193</v>
      </c>
      <c r="F3208" s="69">
        <v>5.7125211775200142E-3</v>
      </c>
    </row>
    <row r="3209" spans="1:6" x14ac:dyDescent="0.3">
      <c r="A3209" s="24">
        <v>38087</v>
      </c>
      <c r="B3209" s="66">
        <v>456.32</v>
      </c>
      <c r="C3209" s="67"/>
      <c r="D3209" s="68">
        <v>0</v>
      </c>
      <c r="E3209" s="110">
        <f t="shared" si="50"/>
        <v>37193</v>
      </c>
      <c r="F3209" s="69">
        <v>5.7125211775200142E-3</v>
      </c>
    </row>
    <row r="3210" spans="1:6" x14ac:dyDescent="0.3">
      <c r="A3210" s="24">
        <v>38088</v>
      </c>
      <c r="B3210" s="66">
        <v>456.32</v>
      </c>
      <c r="C3210" s="67"/>
      <c r="D3210" s="68">
        <v>0</v>
      </c>
      <c r="E3210" s="110">
        <f t="shared" si="50"/>
        <v>37193</v>
      </c>
      <c r="F3210" s="69">
        <v>5.7125211775200142E-3</v>
      </c>
    </row>
    <row r="3211" spans="1:6" x14ac:dyDescent="0.3">
      <c r="A3211" s="24">
        <v>38089</v>
      </c>
      <c r="B3211" s="66">
        <v>456.32</v>
      </c>
      <c r="C3211" s="67"/>
      <c r="D3211" s="68">
        <v>0</v>
      </c>
      <c r="E3211" s="110">
        <f t="shared" si="50"/>
        <v>37193</v>
      </c>
      <c r="F3211" s="69">
        <v>5.7125211775200142E-3</v>
      </c>
    </row>
    <row r="3212" spans="1:6" x14ac:dyDescent="0.3">
      <c r="A3212" s="24">
        <v>38090</v>
      </c>
      <c r="B3212" s="66">
        <v>456.32</v>
      </c>
      <c r="C3212" s="67"/>
      <c r="D3212" s="68">
        <v>0</v>
      </c>
      <c r="E3212" s="110">
        <f t="shared" si="50"/>
        <v>37193</v>
      </c>
      <c r="F3212" s="69">
        <v>5.7125211775200142E-3</v>
      </c>
    </row>
    <row r="3213" spans="1:6" x14ac:dyDescent="0.3">
      <c r="A3213" s="24">
        <v>38091</v>
      </c>
      <c r="B3213" s="66">
        <v>456.32</v>
      </c>
      <c r="C3213" s="67"/>
      <c r="D3213" s="68">
        <v>0</v>
      </c>
      <c r="E3213" s="110">
        <f t="shared" si="50"/>
        <v>37193</v>
      </c>
      <c r="F3213" s="69">
        <v>5.7125211775200142E-3</v>
      </c>
    </row>
    <row r="3214" spans="1:6" x14ac:dyDescent="0.3">
      <c r="A3214" s="24">
        <v>38092</v>
      </c>
      <c r="B3214" s="66">
        <v>456.32</v>
      </c>
      <c r="C3214" s="67"/>
      <c r="D3214" s="68">
        <v>0</v>
      </c>
      <c r="E3214" s="110">
        <f t="shared" si="50"/>
        <v>37193</v>
      </c>
      <c r="F3214" s="69">
        <v>5.7125211775200142E-3</v>
      </c>
    </row>
    <row r="3215" spans="1:6" x14ac:dyDescent="0.3">
      <c r="A3215" s="24">
        <v>38093</v>
      </c>
      <c r="B3215" s="66">
        <v>456.32</v>
      </c>
      <c r="C3215" s="67"/>
      <c r="D3215" s="68">
        <v>0</v>
      </c>
      <c r="E3215" s="110">
        <f t="shared" si="50"/>
        <v>37193</v>
      </c>
      <c r="F3215" s="69">
        <v>5.7125211775200142E-3</v>
      </c>
    </row>
    <row r="3216" spans="1:6" x14ac:dyDescent="0.3">
      <c r="A3216" s="24">
        <v>38094</v>
      </c>
      <c r="B3216" s="66">
        <v>456.32</v>
      </c>
      <c r="C3216" s="67"/>
      <c r="D3216" s="68">
        <v>0</v>
      </c>
      <c r="E3216" s="110">
        <f t="shared" si="50"/>
        <v>37193</v>
      </c>
      <c r="F3216" s="69">
        <v>5.7125211775200142E-3</v>
      </c>
    </row>
    <row r="3217" spans="1:6" x14ac:dyDescent="0.3">
      <c r="A3217" s="24">
        <v>38095</v>
      </c>
      <c r="B3217" s="66">
        <v>456.32</v>
      </c>
      <c r="C3217" s="67"/>
      <c r="D3217" s="68">
        <v>0</v>
      </c>
      <c r="E3217" s="110">
        <f t="shared" si="50"/>
        <v>37193</v>
      </c>
      <c r="F3217" s="69">
        <v>5.7125211775200142E-3</v>
      </c>
    </row>
    <row r="3218" spans="1:6" x14ac:dyDescent="0.3">
      <c r="A3218" s="24">
        <v>38096</v>
      </c>
      <c r="B3218" s="66">
        <v>456.32</v>
      </c>
      <c r="C3218" s="67"/>
      <c r="D3218" s="68">
        <v>0</v>
      </c>
      <c r="E3218" s="110">
        <f t="shared" ref="E3218:E3281" si="51">+E3217</f>
        <v>37193</v>
      </c>
      <c r="F3218" s="69">
        <v>5.7125211775200142E-3</v>
      </c>
    </row>
    <row r="3219" spans="1:6" x14ac:dyDescent="0.3">
      <c r="A3219" s="24">
        <v>38097</v>
      </c>
      <c r="B3219" s="66">
        <v>456.32</v>
      </c>
      <c r="C3219" s="67"/>
      <c r="D3219" s="68">
        <v>0</v>
      </c>
      <c r="E3219" s="110">
        <f t="shared" si="51"/>
        <v>37193</v>
      </c>
      <c r="F3219" s="69">
        <v>5.7125211775200142E-3</v>
      </c>
    </row>
    <row r="3220" spans="1:6" x14ac:dyDescent="0.3">
      <c r="A3220" s="24">
        <v>38098</v>
      </c>
      <c r="B3220" s="66">
        <v>456.32</v>
      </c>
      <c r="C3220" s="67"/>
      <c r="D3220" s="68">
        <v>0</v>
      </c>
      <c r="E3220" s="110">
        <f t="shared" si="51"/>
        <v>37193</v>
      </c>
      <c r="F3220" s="69">
        <v>5.7125211775200142E-3</v>
      </c>
    </row>
    <row r="3221" spans="1:6" x14ac:dyDescent="0.3">
      <c r="A3221" s="24">
        <v>38099</v>
      </c>
      <c r="B3221" s="66">
        <v>456.32</v>
      </c>
      <c r="C3221" s="67"/>
      <c r="D3221" s="68">
        <v>0</v>
      </c>
      <c r="E3221" s="110">
        <f t="shared" si="51"/>
        <v>37193</v>
      </c>
      <c r="F3221" s="69">
        <v>5.7125211775200142E-3</v>
      </c>
    </row>
    <row r="3222" spans="1:6" x14ac:dyDescent="0.3">
      <c r="A3222" s="24">
        <v>38100</v>
      </c>
      <c r="B3222" s="66">
        <v>456.32</v>
      </c>
      <c r="C3222" s="67"/>
      <c r="D3222" s="68">
        <v>0</v>
      </c>
      <c r="E3222" s="110">
        <f t="shared" si="51"/>
        <v>37193</v>
      </c>
      <c r="F3222" s="69">
        <v>5.7125211775200142E-3</v>
      </c>
    </row>
    <row r="3223" spans="1:6" x14ac:dyDescent="0.3">
      <c r="A3223" s="24">
        <v>38101</v>
      </c>
      <c r="B3223" s="66">
        <v>456.32</v>
      </c>
      <c r="C3223" s="67"/>
      <c r="D3223" s="68">
        <v>0</v>
      </c>
      <c r="E3223" s="110">
        <f t="shared" si="51"/>
        <v>37193</v>
      </c>
      <c r="F3223" s="69">
        <v>5.7125211775200142E-3</v>
      </c>
    </row>
    <row r="3224" spans="1:6" x14ac:dyDescent="0.3">
      <c r="A3224" s="24">
        <v>38102</v>
      </c>
      <c r="B3224" s="66">
        <v>456.32</v>
      </c>
      <c r="C3224" s="67"/>
      <c r="D3224" s="68">
        <v>0</v>
      </c>
      <c r="E3224" s="110">
        <f t="shared" si="51"/>
        <v>37193</v>
      </c>
      <c r="F3224" s="69">
        <v>5.7125211775200142E-3</v>
      </c>
    </row>
    <row r="3225" spans="1:6" x14ac:dyDescent="0.3">
      <c r="A3225" s="24">
        <v>38103</v>
      </c>
      <c r="B3225" s="66">
        <v>456.32</v>
      </c>
      <c r="C3225" s="67"/>
      <c r="D3225" s="68">
        <v>0</v>
      </c>
      <c r="E3225" s="110">
        <f t="shared" si="51"/>
        <v>37193</v>
      </c>
      <c r="F3225" s="69">
        <v>5.7125211775200142E-3</v>
      </c>
    </row>
    <row r="3226" spans="1:6" x14ac:dyDescent="0.3">
      <c r="A3226" s="24">
        <v>38104</v>
      </c>
      <c r="B3226" s="66">
        <v>456.32</v>
      </c>
      <c r="C3226" s="67"/>
      <c r="D3226" s="68">
        <v>0</v>
      </c>
      <c r="E3226" s="110">
        <f t="shared" si="51"/>
        <v>37193</v>
      </c>
      <c r="F3226" s="69">
        <v>5.7125211775200142E-3</v>
      </c>
    </row>
    <row r="3227" spans="1:6" x14ac:dyDescent="0.3">
      <c r="A3227" s="24">
        <v>38105</v>
      </c>
      <c r="B3227" s="66">
        <v>456.32</v>
      </c>
      <c r="C3227" s="67"/>
      <c r="D3227" s="68">
        <v>0</v>
      </c>
      <c r="E3227" s="110">
        <f t="shared" si="51"/>
        <v>37193</v>
      </c>
      <c r="F3227" s="69">
        <v>5.7125211775200142E-3</v>
      </c>
    </row>
    <row r="3228" spans="1:6" x14ac:dyDescent="0.3">
      <c r="A3228" s="24">
        <v>38106</v>
      </c>
      <c r="B3228" s="66">
        <v>456.32</v>
      </c>
      <c r="C3228" s="67"/>
      <c r="D3228" s="68">
        <v>0</v>
      </c>
      <c r="E3228" s="110">
        <f t="shared" si="51"/>
        <v>37193</v>
      </c>
      <c r="F3228" s="69">
        <v>5.7125211775200142E-3</v>
      </c>
    </row>
    <row r="3229" spans="1:6" x14ac:dyDescent="0.3">
      <c r="A3229" s="24">
        <v>38107</v>
      </c>
      <c r="B3229" s="66">
        <v>456.32</v>
      </c>
      <c r="C3229" s="67"/>
      <c r="D3229" s="68">
        <v>0</v>
      </c>
      <c r="E3229" s="110">
        <f t="shared" si="51"/>
        <v>37193</v>
      </c>
      <c r="F3229" s="69">
        <v>5.7125211775200142E-3</v>
      </c>
    </row>
    <row r="3230" spans="1:6" x14ac:dyDescent="0.3">
      <c r="A3230" s="24">
        <v>38108</v>
      </c>
      <c r="B3230" s="66">
        <v>456.32</v>
      </c>
      <c r="C3230" s="67"/>
      <c r="D3230" s="68">
        <v>0</v>
      </c>
      <c r="E3230" s="110">
        <f t="shared" si="51"/>
        <v>37193</v>
      </c>
      <c r="F3230" s="69">
        <v>5.7125211775200142E-3</v>
      </c>
    </row>
    <row r="3231" spans="1:6" x14ac:dyDescent="0.3">
      <c r="A3231" s="24">
        <v>38109</v>
      </c>
      <c r="B3231" s="66">
        <v>456.32</v>
      </c>
      <c r="C3231" s="67"/>
      <c r="D3231" s="68">
        <v>0</v>
      </c>
      <c r="E3231" s="110">
        <f t="shared" si="51"/>
        <v>37193</v>
      </c>
      <c r="F3231" s="69">
        <v>5.7125211775200142E-3</v>
      </c>
    </row>
    <row r="3232" spans="1:6" x14ac:dyDescent="0.3">
      <c r="A3232" s="24">
        <v>38110</v>
      </c>
      <c r="B3232" s="66">
        <v>456.32</v>
      </c>
      <c r="C3232" s="67"/>
      <c r="D3232" s="68">
        <v>0</v>
      </c>
      <c r="E3232" s="110">
        <f t="shared" si="51"/>
        <v>37193</v>
      </c>
      <c r="F3232" s="69">
        <v>5.7125211775200142E-3</v>
      </c>
    </row>
    <row r="3233" spans="1:6" x14ac:dyDescent="0.3">
      <c r="A3233" s="24">
        <v>38111</v>
      </c>
      <c r="B3233" s="66">
        <v>456.32</v>
      </c>
      <c r="C3233" s="67"/>
      <c r="D3233" s="68">
        <v>0</v>
      </c>
      <c r="E3233" s="110">
        <f t="shared" si="51"/>
        <v>37193</v>
      </c>
      <c r="F3233" s="69">
        <v>5.7125211775200142E-3</v>
      </c>
    </row>
    <row r="3234" spans="1:6" x14ac:dyDescent="0.3">
      <c r="A3234" s="24">
        <v>38112</v>
      </c>
      <c r="B3234" s="66">
        <v>456.32</v>
      </c>
      <c r="C3234" s="67"/>
      <c r="D3234" s="68">
        <v>0</v>
      </c>
      <c r="E3234" s="110">
        <f t="shared" si="51"/>
        <v>37193</v>
      </c>
      <c r="F3234" s="69">
        <v>5.7125211775200142E-3</v>
      </c>
    </row>
    <row r="3235" spans="1:6" x14ac:dyDescent="0.3">
      <c r="A3235" s="24">
        <v>38113</v>
      </c>
      <c r="B3235" s="66">
        <v>456.32</v>
      </c>
      <c r="C3235" s="67"/>
      <c r="D3235" s="68">
        <v>0</v>
      </c>
      <c r="E3235" s="110">
        <f t="shared" si="51"/>
        <v>37193</v>
      </c>
      <c r="F3235" s="69">
        <v>5.7125211775200142E-3</v>
      </c>
    </row>
    <row r="3236" spans="1:6" x14ac:dyDescent="0.3">
      <c r="A3236" s="24">
        <v>38114</v>
      </c>
      <c r="B3236" s="66">
        <v>456.32</v>
      </c>
      <c r="C3236" s="67"/>
      <c r="D3236" s="68">
        <v>0</v>
      </c>
      <c r="E3236" s="110">
        <f t="shared" si="51"/>
        <v>37193</v>
      </c>
      <c r="F3236" s="69">
        <v>5.7125211775200142E-3</v>
      </c>
    </row>
    <row r="3237" spans="1:6" x14ac:dyDescent="0.3">
      <c r="A3237" s="24">
        <v>38115</v>
      </c>
      <c r="B3237" s="66">
        <v>456.32</v>
      </c>
      <c r="C3237" s="67"/>
      <c r="D3237" s="68">
        <v>0</v>
      </c>
      <c r="E3237" s="110">
        <f t="shared" si="51"/>
        <v>37193</v>
      </c>
      <c r="F3237" s="69">
        <v>5.7125211775200142E-3</v>
      </c>
    </row>
    <row r="3238" spans="1:6" x14ac:dyDescent="0.3">
      <c r="A3238" s="24">
        <v>38116</v>
      </c>
      <c r="B3238" s="66">
        <v>456.32</v>
      </c>
      <c r="C3238" s="67"/>
      <c r="D3238" s="68">
        <v>0</v>
      </c>
      <c r="E3238" s="110">
        <f t="shared" si="51"/>
        <v>37193</v>
      </c>
      <c r="F3238" s="69">
        <v>5.7125211775200142E-3</v>
      </c>
    </row>
    <row r="3239" spans="1:6" x14ac:dyDescent="0.3">
      <c r="A3239" s="24">
        <v>38117</v>
      </c>
      <c r="B3239" s="66">
        <v>456.32</v>
      </c>
      <c r="C3239" s="67"/>
      <c r="D3239" s="68">
        <v>0</v>
      </c>
      <c r="E3239" s="110">
        <f t="shared" si="51"/>
        <v>37193</v>
      </c>
      <c r="F3239" s="69">
        <v>5.7125211775200142E-3</v>
      </c>
    </row>
    <row r="3240" spans="1:6" x14ac:dyDescent="0.3">
      <c r="A3240" s="24">
        <v>38118</v>
      </c>
      <c r="B3240" s="66">
        <v>456.32</v>
      </c>
      <c r="C3240" s="67"/>
      <c r="D3240" s="68">
        <v>0</v>
      </c>
      <c r="E3240" s="110">
        <f t="shared" si="51"/>
        <v>37193</v>
      </c>
      <c r="F3240" s="69">
        <v>5.7125211775200142E-3</v>
      </c>
    </row>
    <row r="3241" spans="1:6" x14ac:dyDescent="0.3">
      <c r="A3241" s="24">
        <v>38119</v>
      </c>
      <c r="B3241" s="66">
        <v>456.32</v>
      </c>
      <c r="C3241" s="67"/>
      <c r="D3241" s="68">
        <v>0</v>
      </c>
      <c r="E3241" s="110">
        <f t="shared" si="51"/>
        <v>37193</v>
      </c>
      <c r="F3241" s="69">
        <v>5.7125211775200142E-3</v>
      </c>
    </row>
    <row r="3242" spans="1:6" x14ac:dyDescent="0.3">
      <c r="A3242" s="24">
        <v>38120</v>
      </c>
      <c r="B3242" s="66">
        <v>456.32</v>
      </c>
      <c r="C3242" s="67"/>
      <c r="D3242" s="68">
        <v>0</v>
      </c>
      <c r="E3242" s="110">
        <f t="shared" si="51"/>
        <v>37193</v>
      </c>
      <c r="F3242" s="69">
        <v>5.7125211775200142E-3</v>
      </c>
    </row>
    <row r="3243" spans="1:6" x14ac:dyDescent="0.3">
      <c r="A3243" s="24">
        <v>38121</v>
      </c>
      <c r="B3243" s="66">
        <v>456.32</v>
      </c>
      <c r="C3243" s="67"/>
      <c r="D3243" s="68">
        <v>0</v>
      </c>
      <c r="E3243" s="110">
        <f t="shared" si="51"/>
        <v>37193</v>
      </c>
      <c r="F3243" s="69">
        <v>5.7125211775200142E-3</v>
      </c>
    </row>
    <row r="3244" spans="1:6" x14ac:dyDescent="0.3">
      <c r="A3244" s="24">
        <v>38122</v>
      </c>
      <c r="B3244" s="66">
        <v>456.32</v>
      </c>
      <c r="C3244" s="67"/>
      <c r="D3244" s="68">
        <v>0</v>
      </c>
      <c r="E3244" s="110">
        <f t="shared" si="51"/>
        <v>37193</v>
      </c>
      <c r="F3244" s="69">
        <v>5.7125211775200142E-3</v>
      </c>
    </row>
    <row r="3245" spans="1:6" x14ac:dyDescent="0.3">
      <c r="A3245" s="24">
        <v>38123</v>
      </c>
      <c r="B3245" s="66">
        <v>456.32</v>
      </c>
      <c r="C3245" s="67"/>
      <c r="D3245" s="68">
        <v>0</v>
      </c>
      <c r="E3245" s="110">
        <f t="shared" si="51"/>
        <v>37193</v>
      </c>
      <c r="F3245" s="69">
        <v>5.7125211775200142E-3</v>
      </c>
    </row>
    <row r="3246" spans="1:6" x14ac:dyDescent="0.3">
      <c r="A3246" s="24">
        <v>38124</v>
      </c>
      <c r="B3246" s="66">
        <v>456.32</v>
      </c>
      <c r="C3246" s="67"/>
      <c r="D3246" s="68">
        <v>0</v>
      </c>
      <c r="E3246" s="110">
        <f t="shared" si="51"/>
        <v>37193</v>
      </c>
      <c r="F3246" s="69">
        <v>5.7125211775200142E-3</v>
      </c>
    </row>
    <row r="3247" spans="1:6" x14ac:dyDescent="0.3">
      <c r="A3247" s="24">
        <v>38125</v>
      </c>
      <c r="B3247" s="66">
        <v>456.32</v>
      </c>
      <c r="C3247" s="67"/>
      <c r="D3247" s="68">
        <v>0</v>
      </c>
      <c r="E3247" s="110">
        <f t="shared" si="51"/>
        <v>37193</v>
      </c>
      <c r="F3247" s="69">
        <v>5.7125211775200142E-3</v>
      </c>
    </row>
    <row r="3248" spans="1:6" x14ac:dyDescent="0.3">
      <c r="A3248" s="24">
        <v>38126</v>
      </c>
      <c r="B3248" s="66">
        <v>456.32</v>
      </c>
      <c r="C3248" s="67"/>
      <c r="D3248" s="68">
        <v>0</v>
      </c>
      <c r="E3248" s="110">
        <f t="shared" si="51"/>
        <v>37193</v>
      </c>
      <c r="F3248" s="69">
        <v>5.7125211775200142E-3</v>
      </c>
    </row>
    <row r="3249" spans="1:6" x14ac:dyDescent="0.3">
      <c r="A3249" s="24">
        <v>38127</v>
      </c>
      <c r="B3249" s="66">
        <v>456.32</v>
      </c>
      <c r="C3249" s="67"/>
      <c r="D3249" s="68">
        <v>2.6270006640801067</v>
      </c>
      <c r="E3249" s="110">
        <f t="shared" si="51"/>
        <v>37193</v>
      </c>
      <c r="F3249" s="69">
        <v>5.747014734143443E-3</v>
      </c>
    </row>
    <row r="3250" spans="1:6" x14ac:dyDescent="0.3">
      <c r="A3250" s="24">
        <v>38128</v>
      </c>
      <c r="B3250" s="66">
        <v>456.32</v>
      </c>
      <c r="C3250" s="67"/>
      <c r="D3250" s="68">
        <v>0</v>
      </c>
      <c r="E3250" s="110">
        <f t="shared" si="51"/>
        <v>37193</v>
      </c>
      <c r="F3250" s="69">
        <v>5.747014734143443E-3</v>
      </c>
    </row>
    <row r="3251" spans="1:6" x14ac:dyDescent="0.3">
      <c r="A3251" s="24">
        <v>38129</v>
      </c>
      <c r="B3251" s="66">
        <v>456.32</v>
      </c>
      <c r="C3251" s="67"/>
      <c r="D3251" s="68">
        <v>0</v>
      </c>
      <c r="E3251" s="110">
        <f t="shared" si="51"/>
        <v>37193</v>
      </c>
      <c r="F3251" s="69">
        <v>5.747014734143443E-3</v>
      </c>
    </row>
    <row r="3252" spans="1:6" x14ac:dyDescent="0.3">
      <c r="A3252" s="24">
        <v>38130</v>
      </c>
      <c r="B3252" s="66">
        <v>456.32</v>
      </c>
      <c r="C3252" s="67"/>
      <c r="D3252" s="68">
        <v>0</v>
      </c>
      <c r="E3252" s="110">
        <f t="shared" si="51"/>
        <v>37193</v>
      </c>
      <c r="F3252" s="69">
        <v>5.747014734143443E-3</v>
      </c>
    </row>
    <row r="3253" spans="1:6" x14ac:dyDescent="0.3">
      <c r="A3253" s="24">
        <v>38131</v>
      </c>
      <c r="B3253" s="66">
        <v>456.32</v>
      </c>
      <c r="C3253" s="67"/>
      <c r="D3253" s="68">
        <v>0</v>
      </c>
      <c r="E3253" s="110">
        <f t="shared" si="51"/>
        <v>37193</v>
      </c>
      <c r="F3253" s="69">
        <v>5.747014734143443E-3</v>
      </c>
    </row>
    <row r="3254" spans="1:6" x14ac:dyDescent="0.3">
      <c r="A3254" s="24">
        <v>38132</v>
      </c>
      <c r="B3254" s="66">
        <v>456.32</v>
      </c>
      <c r="C3254" s="67"/>
      <c r="D3254" s="68">
        <v>0</v>
      </c>
      <c r="E3254" s="110">
        <f t="shared" si="51"/>
        <v>37193</v>
      </c>
      <c r="F3254" s="69">
        <v>5.747014734143443E-3</v>
      </c>
    </row>
    <row r="3255" spans="1:6" x14ac:dyDescent="0.3">
      <c r="A3255" s="24">
        <v>38133</v>
      </c>
      <c r="B3255" s="66">
        <v>456.32</v>
      </c>
      <c r="C3255" s="67"/>
      <c r="D3255" s="68">
        <v>0</v>
      </c>
      <c r="E3255" s="110">
        <f t="shared" si="51"/>
        <v>37193</v>
      </c>
      <c r="F3255" s="69">
        <v>5.747014734143443E-3</v>
      </c>
    </row>
    <row r="3256" spans="1:6" x14ac:dyDescent="0.3">
      <c r="A3256" s="24">
        <v>38134</v>
      </c>
      <c r="B3256" s="66">
        <v>456.32</v>
      </c>
      <c r="C3256" s="67"/>
      <c r="D3256" s="68">
        <v>0</v>
      </c>
      <c r="E3256" s="110">
        <f t="shared" si="51"/>
        <v>37193</v>
      </c>
      <c r="F3256" s="69">
        <v>5.747014734143443E-3</v>
      </c>
    </row>
    <row r="3257" spans="1:6" x14ac:dyDescent="0.3">
      <c r="A3257" s="24">
        <v>38135</v>
      </c>
      <c r="B3257" s="66">
        <v>456.32</v>
      </c>
      <c r="C3257" s="67"/>
      <c r="D3257" s="68">
        <v>0</v>
      </c>
      <c r="E3257" s="110">
        <f t="shared" si="51"/>
        <v>37193</v>
      </c>
      <c r="F3257" s="69">
        <v>5.747014734143443E-3</v>
      </c>
    </row>
    <row r="3258" spans="1:6" x14ac:dyDescent="0.3">
      <c r="A3258" s="24">
        <v>38136</v>
      </c>
      <c r="B3258" s="66">
        <v>456.32</v>
      </c>
      <c r="C3258" s="67"/>
      <c r="D3258" s="68">
        <v>0</v>
      </c>
      <c r="E3258" s="110">
        <f t="shared" si="51"/>
        <v>37193</v>
      </c>
      <c r="F3258" s="69">
        <v>5.747014734143443E-3</v>
      </c>
    </row>
    <row r="3259" spans="1:6" x14ac:dyDescent="0.3">
      <c r="A3259" s="24">
        <v>38137</v>
      </c>
      <c r="B3259" s="66">
        <v>456.32</v>
      </c>
      <c r="C3259" s="67"/>
      <c r="D3259" s="68">
        <v>0</v>
      </c>
      <c r="E3259" s="110">
        <f t="shared" si="51"/>
        <v>37193</v>
      </c>
      <c r="F3259" s="69">
        <v>5.747014734143443E-3</v>
      </c>
    </row>
    <row r="3260" spans="1:6" x14ac:dyDescent="0.3">
      <c r="A3260" s="24">
        <v>38138</v>
      </c>
      <c r="B3260" s="66">
        <v>456.32</v>
      </c>
      <c r="C3260" s="67"/>
      <c r="D3260" s="68">
        <v>0</v>
      </c>
      <c r="E3260" s="110">
        <f t="shared" si="51"/>
        <v>37193</v>
      </c>
      <c r="F3260" s="69">
        <v>5.747014734143443E-3</v>
      </c>
    </row>
    <row r="3261" spans="1:6" x14ac:dyDescent="0.3">
      <c r="A3261" s="24">
        <v>38139</v>
      </c>
      <c r="B3261" s="66">
        <v>456.32</v>
      </c>
      <c r="C3261" s="67"/>
      <c r="D3261" s="68">
        <v>0</v>
      </c>
      <c r="E3261" s="110">
        <f t="shared" si="51"/>
        <v>37193</v>
      </c>
      <c r="F3261" s="69">
        <v>5.747014734143443E-3</v>
      </c>
    </row>
    <row r="3262" spans="1:6" x14ac:dyDescent="0.3">
      <c r="A3262" s="24">
        <v>38140</v>
      </c>
      <c r="B3262" s="66">
        <v>456.32</v>
      </c>
      <c r="C3262" s="67"/>
      <c r="D3262" s="68">
        <v>0</v>
      </c>
      <c r="E3262" s="110">
        <f t="shared" si="51"/>
        <v>37193</v>
      </c>
      <c r="F3262" s="69">
        <v>5.747014734143443E-3</v>
      </c>
    </row>
    <row r="3263" spans="1:6" x14ac:dyDescent="0.3">
      <c r="A3263" s="24">
        <v>38141</v>
      </c>
      <c r="B3263" s="66">
        <v>456.32</v>
      </c>
      <c r="C3263" s="67"/>
      <c r="D3263" s="68">
        <v>0</v>
      </c>
      <c r="E3263" s="110">
        <f t="shared" si="51"/>
        <v>37193</v>
      </c>
      <c r="F3263" s="69">
        <v>5.747014734143443E-3</v>
      </c>
    </row>
    <row r="3264" spans="1:6" x14ac:dyDescent="0.3">
      <c r="A3264" s="24">
        <v>38142</v>
      </c>
      <c r="B3264" s="66">
        <v>456.32</v>
      </c>
      <c r="C3264" s="67"/>
      <c r="D3264" s="68">
        <v>0</v>
      </c>
      <c r="E3264" s="110">
        <f t="shared" si="51"/>
        <v>37193</v>
      </c>
      <c r="F3264" s="69">
        <v>5.747014734143443E-3</v>
      </c>
    </row>
    <row r="3265" spans="1:6" x14ac:dyDescent="0.3">
      <c r="A3265" s="24">
        <v>38143</v>
      </c>
      <c r="B3265" s="66">
        <v>456.32</v>
      </c>
      <c r="C3265" s="67"/>
      <c r="D3265" s="68">
        <v>0</v>
      </c>
      <c r="E3265" s="110">
        <f t="shared" si="51"/>
        <v>37193</v>
      </c>
      <c r="F3265" s="69">
        <v>5.747014734143443E-3</v>
      </c>
    </row>
    <row r="3266" spans="1:6" x14ac:dyDescent="0.3">
      <c r="A3266" s="24">
        <v>38144</v>
      </c>
      <c r="B3266" s="66">
        <v>456.32</v>
      </c>
      <c r="C3266" s="67"/>
      <c r="D3266" s="68">
        <v>0</v>
      </c>
      <c r="E3266" s="110">
        <f t="shared" si="51"/>
        <v>37193</v>
      </c>
      <c r="F3266" s="69">
        <v>5.747014734143443E-3</v>
      </c>
    </row>
    <row r="3267" spans="1:6" x14ac:dyDescent="0.3">
      <c r="A3267" s="24">
        <v>38145</v>
      </c>
      <c r="B3267" s="66">
        <v>456.32</v>
      </c>
      <c r="C3267" s="67"/>
      <c r="D3267" s="68">
        <v>0</v>
      </c>
      <c r="E3267" s="110">
        <f t="shared" si="51"/>
        <v>37193</v>
      </c>
      <c r="F3267" s="69">
        <v>5.747014734143443E-3</v>
      </c>
    </row>
    <row r="3268" spans="1:6" x14ac:dyDescent="0.3">
      <c r="A3268" s="24">
        <v>38146</v>
      </c>
      <c r="B3268" s="66">
        <v>456.32</v>
      </c>
      <c r="C3268" s="67"/>
      <c r="D3268" s="68">
        <v>0</v>
      </c>
      <c r="E3268" s="110">
        <f t="shared" si="51"/>
        <v>37193</v>
      </c>
      <c r="F3268" s="69">
        <v>5.747014734143443E-3</v>
      </c>
    </row>
    <row r="3269" spans="1:6" x14ac:dyDescent="0.3">
      <c r="A3269" s="24">
        <v>38147</v>
      </c>
      <c r="B3269" s="66">
        <v>456.32</v>
      </c>
      <c r="C3269" s="67"/>
      <c r="D3269" s="68">
        <v>0</v>
      </c>
      <c r="E3269" s="110">
        <f t="shared" si="51"/>
        <v>37193</v>
      </c>
      <c r="F3269" s="69">
        <v>5.747014734143443E-3</v>
      </c>
    </row>
    <row r="3270" spans="1:6" x14ac:dyDescent="0.3">
      <c r="A3270" s="24">
        <v>38148</v>
      </c>
      <c r="B3270" s="66">
        <v>456.32</v>
      </c>
      <c r="C3270" s="67"/>
      <c r="D3270" s="68">
        <v>0</v>
      </c>
      <c r="E3270" s="110">
        <f t="shared" si="51"/>
        <v>37193</v>
      </c>
      <c r="F3270" s="69">
        <v>5.747014734143443E-3</v>
      </c>
    </row>
    <row r="3271" spans="1:6" x14ac:dyDescent="0.3">
      <c r="A3271" s="24">
        <v>38149</v>
      </c>
      <c r="B3271" s="66">
        <v>456.32</v>
      </c>
      <c r="C3271" s="67"/>
      <c r="D3271" s="68">
        <v>0</v>
      </c>
      <c r="E3271" s="110">
        <f t="shared" si="51"/>
        <v>37193</v>
      </c>
      <c r="F3271" s="69">
        <v>5.747014734143443E-3</v>
      </c>
    </row>
    <row r="3272" spans="1:6" x14ac:dyDescent="0.3">
      <c r="A3272" s="24">
        <v>38150</v>
      </c>
      <c r="B3272" s="66">
        <v>456.32</v>
      </c>
      <c r="C3272" s="67"/>
      <c r="D3272" s="68">
        <v>0</v>
      </c>
      <c r="E3272" s="110">
        <f t="shared" si="51"/>
        <v>37193</v>
      </c>
      <c r="F3272" s="69">
        <v>5.747014734143443E-3</v>
      </c>
    </row>
    <row r="3273" spans="1:6" x14ac:dyDescent="0.3">
      <c r="A3273" s="24">
        <v>38151</v>
      </c>
      <c r="B3273" s="66">
        <v>456.32</v>
      </c>
      <c r="C3273" s="67"/>
      <c r="D3273" s="68">
        <v>0</v>
      </c>
      <c r="E3273" s="110">
        <f t="shared" si="51"/>
        <v>37193</v>
      </c>
      <c r="F3273" s="69">
        <v>5.747014734143443E-3</v>
      </c>
    </row>
    <row r="3274" spans="1:6" x14ac:dyDescent="0.3">
      <c r="A3274" s="24">
        <v>38152</v>
      </c>
      <c r="B3274" s="66">
        <v>456.32</v>
      </c>
      <c r="C3274" s="67"/>
      <c r="D3274" s="68">
        <v>0</v>
      </c>
      <c r="E3274" s="110">
        <f t="shared" si="51"/>
        <v>37193</v>
      </c>
      <c r="F3274" s="69">
        <v>5.747014734143443E-3</v>
      </c>
    </row>
    <row r="3275" spans="1:6" x14ac:dyDescent="0.3">
      <c r="A3275" s="24">
        <v>38153</v>
      </c>
      <c r="B3275" s="66">
        <v>456.32</v>
      </c>
      <c r="C3275" s="67"/>
      <c r="D3275" s="68">
        <v>0</v>
      </c>
      <c r="E3275" s="110">
        <f t="shared" si="51"/>
        <v>37193</v>
      </c>
      <c r="F3275" s="69">
        <v>5.747014734143443E-3</v>
      </c>
    </row>
    <row r="3276" spans="1:6" x14ac:dyDescent="0.3">
      <c r="A3276" s="24">
        <v>38154</v>
      </c>
      <c r="B3276" s="66">
        <v>456.32</v>
      </c>
      <c r="C3276" s="67"/>
      <c r="D3276" s="68">
        <v>0</v>
      </c>
      <c r="E3276" s="110">
        <f t="shared" si="51"/>
        <v>37193</v>
      </c>
      <c r="F3276" s="69">
        <v>5.747014734143443E-3</v>
      </c>
    </row>
    <row r="3277" spans="1:6" x14ac:dyDescent="0.3">
      <c r="A3277" s="24">
        <v>38155</v>
      </c>
      <c r="B3277" s="66">
        <v>456.32</v>
      </c>
      <c r="C3277" s="67"/>
      <c r="D3277" s="68">
        <v>0</v>
      </c>
      <c r="E3277" s="110">
        <f t="shared" si="51"/>
        <v>37193</v>
      </c>
      <c r="F3277" s="69">
        <v>5.747014734143443E-3</v>
      </c>
    </row>
    <row r="3278" spans="1:6" x14ac:dyDescent="0.3">
      <c r="A3278" s="24">
        <v>38156</v>
      </c>
      <c r="B3278" s="66">
        <v>456.32</v>
      </c>
      <c r="C3278" s="67"/>
      <c r="D3278" s="68">
        <v>0</v>
      </c>
      <c r="E3278" s="110">
        <f t="shared" si="51"/>
        <v>37193</v>
      </c>
      <c r="F3278" s="69">
        <v>5.747014734143443E-3</v>
      </c>
    </row>
    <row r="3279" spans="1:6" x14ac:dyDescent="0.3">
      <c r="A3279" s="24">
        <v>38157</v>
      </c>
      <c r="B3279" s="66">
        <v>456.32</v>
      </c>
      <c r="C3279" s="67"/>
      <c r="D3279" s="68">
        <v>0</v>
      </c>
      <c r="E3279" s="110">
        <f t="shared" si="51"/>
        <v>37193</v>
      </c>
      <c r="F3279" s="69">
        <v>5.747014734143443E-3</v>
      </c>
    </row>
    <row r="3280" spans="1:6" x14ac:dyDescent="0.3">
      <c r="A3280" s="24">
        <v>38158</v>
      </c>
      <c r="B3280" s="66">
        <v>456.32</v>
      </c>
      <c r="C3280" s="67"/>
      <c r="D3280" s="68">
        <v>0</v>
      </c>
      <c r="E3280" s="110">
        <f t="shared" si="51"/>
        <v>37193</v>
      </c>
      <c r="F3280" s="69">
        <v>5.747014734143443E-3</v>
      </c>
    </row>
    <row r="3281" spans="1:6" x14ac:dyDescent="0.3">
      <c r="A3281" s="24">
        <v>38159</v>
      </c>
      <c r="B3281" s="66">
        <v>456.32</v>
      </c>
      <c r="C3281" s="67"/>
      <c r="D3281" s="68">
        <v>0</v>
      </c>
      <c r="E3281" s="110">
        <f t="shared" si="51"/>
        <v>37193</v>
      </c>
      <c r="F3281" s="69">
        <v>5.747014734143443E-3</v>
      </c>
    </row>
    <row r="3282" spans="1:6" x14ac:dyDescent="0.3">
      <c r="A3282" s="24">
        <v>38160</v>
      </c>
      <c r="B3282" s="66">
        <v>456.32</v>
      </c>
      <c r="C3282" s="67"/>
      <c r="D3282" s="68">
        <v>0</v>
      </c>
      <c r="E3282" s="110">
        <f t="shared" ref="E3282:E3345" si="52">+E3281</f>
        <v>37193</v>
      </c>
      <c r="F3282" s="69">
        <v>5.747014734143443E-3</v>
      </c>
    </row>
    <row r="3283" spans="1:6" x14ac:dyDescent="0.3">
      <c r="A3283" s="24">
        <v>38161</v>
      </c>
      <c r="B3283" s="66">
        <v>456.32</v>
      </c>
      <c r="C3283" s="67"/>
      <c r="D3283" s="68">
        <v>0</v>
      </c>
      <c r="E3283" s="110">
        <f t="shared" si="52"/>
        <v>37193</v>
      </c>
      <c r="F3283" s="69">
        <v>5.747014734143443E-3</v>
      </c>
    </row>
    <row r="3284" spans="1:6" x14ac:dyDescent="0.3">
      <c r="A3284" s="24">
        <v>38162</v>
      </c>
      <c r="B3284" s="66">
        <v>456.32</v>
      </c>
      <c r="C3284" s="67"/>
      <c r="D3284" s="68">
        <v>0</v>
      </c>
      <c r="E3284" s="110">
        <f t="shared" si="52"/>
        <v>37193</v>
      </c>
      <c r="F3284" s="69">
        <v>5.747014734143443E-3</v>
      </c>
    </row>
    <row r="3285" spans="1:6" x14ac:dyDescent="0.3">
      <c r="A3285" s="24">
        <v>38163</v>
      </c>
      <c r="B3285" s="66">
        <v>456.32</v>
      </c>
      <c r="C3285" s="67"/>
      <c r="D3285" s="68">
        <v>0</v>
      </c>
      <c r="E3285" s="110">
        <f t="shared" si="52"/>
        <v>37193</v>
      </c>
      <c r="F3285" s="69">
        <v>5.747014734143443E-3</v>
      </c>
    </row>
    <row r="3286" spans="1:6" x14ac:dyDescent="0.3">
      <c r="A3286" s="24">
        <v>38164</v>
      </c>
      <c r="B3286" s="66">
        <v>456.32</v>
      </c>
      <c r="C3286" s="67"/>
      <c r="D3286" s="68">
        <v>0</v>
      </c>
      <c r="E3286" s="110">
        <f t="shared" si="52"/>
        <v>37193</v>
      </c>
      <c r="F3286" s="69">
        <v>5.747014734143443E-3</v>
      </c>
    </row>
    <row r="3287" spans="1:6" x14ac:dyDescent="0.3">
      <c r="A3287" s="24">
        <v>38165</v>
      </c>
      <c r="B3287" s="66">
        <v>456.32</v>
      </c>
      <c r="C3287" s="67"/>
      <c r="D3287" s="68">
        <v>0</v>
      </c>
      <c r="E3287" s="110">
        <f t="shared" si="52"/>
        <v>37193</v>
      </c>
      <c r="F3287" s="69">
        <v>5.747014734143443E-3</v>
      </c>
    </row>
    <row r="3288" spans="1:6" x14ac:dyDescent="0.3">
      <c r="A3288" s="24">
        <v>38166</v>
      </c>
      <c r="B3288" s="66">
        <v>456.32</v>
      </c>
      <c r="C3288" s="67"/>
      <c r="D3288" s="68">
        <v>0</v>
      </c>
      <c r="E3288" s="110">
        <f t="shared" si="52"/>
        <v>37193</v>
      </c>
      <c r="F3288" s="69">
        <v>5.6974572128664618E-3</v>
      </c>
    </row>
    <row r="3289" spans="1:6" x14ac:dyDescent="0.3">
      <c r="A3289" s="24">
        <v>38167</v>
      </c>
      <c r="B3289" s="66">
        <v>456.32</v>
      </c>
      <c r="C3289" s="67"/>
      <c r="D3289" s="68">
        <v>0</v>
      </c>
      <c r="E3289" s="110">
        <f t="shared" si="52"/>
        <v>37193</v>
      </c>
      <c r="F3289" s="69">
        <v>5.6974572128664618E-3</v>
      </c>
    </row>
    <row r="3290" spans="1:6" x14ac:dyDescent="0.3">
      <c r="A3290" s="24">
        <v>38168</v>
      </c>
      <c r="B3290" s="66">
        <v>464.65800000000002</v>
      </c>
      <c r="C3290" s="67"/>
      <c r="D3290" s="68">
        <v>0</v>
      </c>
      <c r="E3290" s="110">
        <f t="shared" si="52"/>
        <v>37193</v>
      </c>
      <c r="F3290" s="69">
        <v>5.6974572128664618E-3</v>
      </c>
    </row>
    <row r="3291" spans="1:6" x14ac:dyDescent="0.3">
      <c r="A3291" s="24">
        <v>38169</v>
      </c>
      <c r="B3291" s="66">
        <v>464.65800000000002</v>
      </c>
      <c r="C3291" s="67"/>
      <c r="D3291" s="68">
        <v>0</v>
      </c>
      <c r="E3291" s="110">
        <f t="shared" si="52"/>
        <v>37193</v>
      </c>
      <c r="F3291" s="69">
        <v>5.6974572128664618E-3</v>
      </c>
    </row>
    <row r="3292" spans="1:6" x14ac:dyDescent="0.3">
      <c r="A3292" s="24">
        <v>38170</v>
      </c>
      <c r="B3292" s="66">
        <v>464.65800000000002</v>
      </c>
      <c r="C3292" s="67"/>
      <c r="D3292" s="68">
        <v>0</v>
      </c>
      <c r="E3292" s="110">
        <f t="shared" si="52"/>
        <v>37193</v>
      </c>
      <c r="F3292" s="69">
        <v>5.6974572128664618E-3</v>
      </c>
    </row>
    <row r="3293" spans="1:6" x14ac:dyDescent="0.3">
      <c r="A3293" s="24">
        <v>38171</v>
      </c>
      <c r="B3293" s="66">
        <v>464.65800000000002</v>
      </c>
      <c r="C3293" s="67"/>
      <c r="D3293" s="68">
        <v>0</v>
      </c>
      <c r="E3293" s="110">
        <f t="shared" si="52"/>
        <v>37193</v>
      </c>
      <c r="F3293" s="69">
        <v>5.6974572128664618E-3</v>
      </c>
    </row>
    <row r="3294" spans="1:6" x14ac:dyDescent="0.3">
      <c r="A3294" s="24">
        <v>38172</v>
      </c>
      <c r="B3294" s="66">
        <v>464.65800000000002</v>
      </c>
      <c r="C3294" s="67"/>
      <c r="D3294" s="68">
        <v>0</v>
      </c>
      <c r="E3294" s="110">
        <f t="shared" si="52"/>
        <v>37193</v>
      </c>
      <c r="F3294" s="69">
        <v>5.6974572128664618E-3</v>
      </c>
    </row>
    <row r="3295" spans="1:6" x14ac:dyDescent="0.3">
      <c r="A3295" s="24">
        <v>38173</v>
      </c>
      <c r="B3295" s="66">
        <v>464.65800000000002</v>
      </c>
      <c r="C3295" s="67"/>
      <c r="D3295" s="68">
        <v>0</v>
      </c>
      <c r="E3295" s="110">
        <f t="shared" si="52"/>
        <v>37193</v>
      </c>
      <c r="F3295" s="69">
        <v>5.6974572128664618E-3</v>
      </c>
    </row>
    <row r="3296" spans="1:6" x14ac:dyDescent="0.3">
      <c r="A3296" s="24">
        <v>38174</v>
      </c>
      <c r="B3296" s="66">
        <v>464.65800000000002</v>
      </c>
      <c r="C3296" s="67"/>
      <c r="D3296" s="68">
        <v>0</v>
      </c>
      <c r="E3296" s="110">
        <f t="shared" si="52"/>
        <v>37193</v>
      </c>
      <c r="F3296" s="69">
        <v>5.6974572128664618E-3</v>
      </c>
    </row>
    <row r="3297" spans="1:6" x14ac:dyDescent="0.3">
      <c r="A3297" s="24">
        <v>38175</v>
      </c>
      <c r="B3297" s="66">
        <v>464.65800000000002</v>
      </c>
      <c r="C3297" s="67"/>
      <c r="D3297" s="68">
        <v>0</v>
      </c>
      <c r="E3297" s="110">
        <f t="shared" si="52"/>
        <v>37193</v>
      </c>
      <c r="F3297" s="69">
        <v>5.6974572128664618E-3</v>
      </c>
    </row>
    <row r="3298" spans="1:6" x14ac:dyDescent="0.3">
      <c r="A3298" s="24">
        <v>38176</v>
      </c>
      <c r="B3298" s="66">
        <v>464.65800000000002</v>
      </c>
      <c r="C3298" s="67"/>
      <c r="D3298" s="68">
        <v>0</v>
      </c>
      <c r="E3298" s="110">
        <f t="shared" si="52"/>
        <v>37193</v>
      </c>
      <c r="F3298" s="69">
        <v>5.6974572128664618E-3</v>
      </c>
    </row>
    <row r="3299" spans="1:6" x14ac:dyDescent="0.3">
      <c r="A3299" s="24">
        <v>38177</v>
      </c>
      <c r="B3299" s="66">
        <v>464.65800000000002</v>
      </c>
      <c r="C3299" s="67"/>
      <c r="D3299" s="68">
        <v>0</v>
      </c>
      <c r="E3299" s="110">
        <f t="shared" si="52"/>
        <v>37193</v>
      </c>
      <c r="F3299" s="69">
        <v>5.6974572128664618E-3</v>
      </c>
    </row>
    <row r="3300" spans="1:6" x14ac:dyDescent="0.3">
      <c r="A3300" s="24">
        <v>38178</v>
      </c>
      <c r="B3300" s="66">
        <v>464.65800000000002</v>
      </c>
      <c r="C3300" s="67"/>
      <c r="D3300" s="68">
        <v>0</v>
      </c>
      <c r="E3300" s="110">
        <f t="shared" si="52"/>
        <v>37193</v>
      </c>
      <c r="F3300" s="69">
        <v>5.6974572128664618E-3</v>
      </c>
    </row>
    <row r="3301" spans="1:6" x14ac:dyDescent="0.3">
      <c r="A3301" s="24">
        <v>38179</v>
      </c>
      <c r="B3301" s="66">
        <v>464.65800000000002</v>
      </c>
      <c r="C3301" s="67"/>
      <c r="D3301" s="68">
        <v>0</v>
      </c>
      <c r="E3301" s="110">
        <f t="shared" si="52"/>
        <v>37193</v>
      </c>
      <c r="F3301" s="69">
        <v>5.6974572128664618E-3</v>
      </c>
    </row>
    <row r="3302" spans="1:6" x14ac:dyDescent="0.3">
      <c r="A3302" s="24">
        <v>38180</v>
      </c>
      <c r="B3302" s="66">
        <v>464.65800000000002</v>
      </c>
      <c r="C3302" s="67"/>
      <c r="D3302" s="68">
        <v>0</v>
      </c>
      <c r="E3302" s="110">
        <f t="shared" si="52"/>
        <v>37193</v>
      </c>
      <c r="F3302" s="69">
        <v>5.6974572128664618E-3</v>
      </c>
    </row>
    <row r="3303" spans="1:6" x14ac:dyDescent="0.3">
      <c r="A3303" s="24">
        <v>38181</v>
      </c>
      <c r="B3303" s="66">
        <v>464.65800000000002</v>
      </c>
      <c r="C3303" s="67"/>
      <c r="D3303" s="68">
        <v>0</v>
      </c>
      <c r="E3303" s="110">
        <f t="shared" si="52"/>
        <v>37193</v>
      </c>
      <c r="F3303" s="69">
        <v>5.6974572128664618E-3</v>
      </c>
    </row>
    <row r="3304" spans="1:6" x14ac:dyDescent="0.3">
      <c r="A3304" s="24">
        <v>38182</v>
      </c>
      <c r="B3304" s="66">
        <v>464.65800000000002</v>
      </c>
      <c r="C3304" s="67"/>
      <c r="D3304" s="68">
        <v>0</v>
      </c>
      <c r="E3304" s="110">
        <f t="shared" si="52"/>
        <v>37193</v>
      </c>
      <c r="F3304" s="69">
        <v>5.6974572128664618E-3</v>
      </c>
    </row>
    <row r="3305" spans="1:6" x14ac:dyDescent="0.3">
      <c r="A3305" s="24">
        <v>38183</v>
      </c>
      <c r="B3305" s="66">
        <v>464.65800000000002</v>
      </c>
      <c r="C3305" s="67"/>
      <c r="D3305" s="68">
        <v>0</v>
      </c>
      <c r="E3305" s="110">
        <f t="shared" si="52"/>
        <v>37193</v>
      </c>
      <c r="F3305" s="69">
        <v>5.6974572128664618E-3</v>
      </c>
    </row>
    <row r="3306" spans="1:6" x14ac:dyDescent="0.3">
      <c r="A3306" s="24">
        <v>38184</v>
      </c>
      <c r="B3306" s="66">
        <v>464.65800000000002</v>
      </c>
      <c r="C3306" s="67"/>
      <c r="D3306" s="68">
        <v>0</v>
      </c>
      <c r="E3306" s="110">
        <f t="shared" si="52"/>
        <v>37193</v>
      </c>
      <c r="F3306" s="69">
        <v>5.6974572128664618E-3</v>
      </c>
    </row>
    <row r="3307" spans="1:6" x14ac:dyDescent="0.3">
      <c r="A3307" s="24">
        <v>38185</v>
      </c>
      <c r="B3307" s="66">
        <v>464.65800000000002</v>
      </c>
      <c r="C3307" s="67"/>
      <c r="D3307" s="68">
        <v>0</v>
      </c>
      <c r="E3307" s="110">
        <f t="shared" si="52"/>
        <v>37193</v>
      </c>
      <c r="F3307" s="69">
        <v>5.6974572128664618E-3</v>
      </c>
    </row>
    <row r="3308" spans="1:6" x14ac:dyDescent="0.3">
      <c r="A3308" s="24">
        <v>38186</v>
      </c>
      <c r="B3308" s="66">
        <v>464.65800000000002</v>
      </c>
      <c r="C3308" s="67"/>
      <c r="D3308" s="68">
        <v>0</v>
      </c>
      <c r="E3308" s="110">
        <f t="shared" si="52"/>
        <v>37193</v>
      </c>
      <c r="F3308" s="69">
        <v>5.6974572128664618E-3</v>
      </c>
    </row>
    <row r="3309" spans="1:6" x14ac:dyDescent="0.3">
      <c r="A3309" s="24">
        <v>38187</v>
      </c>
      <c r="B3309" s="66">
        <v>464.65800000000002</v>
      </c>
      <c r="C3309" s="67"/>
      <c r="D3309" s="68">
        <v>0</v>
      </c>
      <c r="E3309" s="110">
        <f t="shared" si="52"/>
        <v>37193</v>
      </c>
      <c r="F3309" s="69">
        <v>5.6974572128664618E-3</v>
      </c>
    </row>
    <row r="3310" spans="1:6" x14ac:dyDescent="0.3">
      <c r="A3310" s="24">
        <v>38188</v>
      </c>
      <c r="B3310" s="66">
        <v>464.65800000000002</v>
      </c>
      <c r="C3310" s="67"/>
      <c r="D3310" s="68">
        <v>0</v>
      </c>
      <c r="E3310" s="110">
        <f t="shared" si="52"/>
        <v>37193</v>
      </c>
      <c r="F3310" s="69">
        <v>5.6974572128664618E-3</v>
      </c>
    </row>
    <row r="3311" spans="1:6" x14ac:dyDescent="0.3">
      <c r="A3311" s="24">
        <v>38189</v>
      </c>
      <c r="B3311" s="66">
        <v>464.65800000000002</v>
      </c>
      <c r="C3311" s="67"/>
      <c r="D3311" s="68">
        <v>0</v>
      </c>
      <c r="E3311" s="110">
        <f t="shared" si="52"/>
        <v>37193</v>
      </c>
      <c r="F3311" s="69">
        <v>5.6974572128664618E-3</v>
      </c>
    </row>
    <row r="3312" spans="1:6" x14ac:dyDescent="0.3">
      <c r="A3312" s="24">
        <v>38190</v>
      </c>
      <c r="B3312" s="66">
        <v>464.65800000000002</v>
      </c>
      <c r="C3312" s="67"/>
      <c r="D3312" s="68">
        <v>0</v>
      </c>
      <c r="E3312" s="110">
        <f t="shared" si="52"/>
        <v>37193</v>
      </c>
      <c r="F3312" s="69">
        <v>5.6974572128664618E-3</v>
      </c>
    </row>
    <row r="3313" spans="1:6" x14ac:dyDescent="0.3">
      <c r="A3313" s="24">
        <v>38191</v>
      </c>
      <c r="B3313" s="66">
        <v>464.65800000000002</v>
      </c>
      <c r="C3313" s="67"/>
      <c r="D3313" s="68">
        <v>0</v>
      </c>
      <c r="E3313" s="110">
        <f t="shared" si="52"/>
        <v>37193</v>
      </c>
      <c r="F3313" s="69">
        <v>5.6974572128664618E-3</v>
      </c>
    </row>
    <row r="3314" spans="1:6" x14ac:dyDescent="0.3">
      <c r="A3314" s="24">
        <v>38192</v>
      </c>
      <c r="B3314" s="66">
        <v>464.65800000000002</v>
      </c>
      <c r="C3314" s="67"/>
      <c r="D3314" s="68">
        <v>0</v>
      </c>
      <c r="E3314" s="110">
        <f t="shared" si="52"/>
        <v>37193</v>
      </c>
      <c r="F3314" s="69">
        <v>5.6974572128664618E-3</v>
      </c>
    </row>
    <row r="3315" spans="1:6" x14ac:dyDescent="0.3">
      <c r="A3315" s="24">
        <v>38193</v>
      </c>
      <c r="B3315" s="66">
        <v>464.65800000000002</v>
      </c>
      <c r="C3315" s="67"/>
      <c r="D3315" s="68">
        <v>0</v>
      </c>
      <c r="E3315" s="110">
        <f t="shared" si="52"/>
        <v>37193</v>
      </c>
      <c r="F3315" s="69">
        <v>5.6974572128664618E-3</v>
      </c>
    </row>
    <row r="3316" spans="1:6" x14ac:dyDescent="0.3">
      <c r="A3316" s="24">
        <v>38194</v>
      </c>
      <c r="B3316" s="66">
        <v>464.65800000000002</v>
      </c>
      <c r="C3316" s="67"/>
      <c r="D3316" s="68">
        <v>0</v>
      </c>
      <c r="E3316" s="110">
        <f t="shared" si="52"/>
        <v>37193</v>
      </c>
      <c r="F3316" s="69">
        <v>5.6974572128664618E-3</v>
      </c>
    </row>
    <row r="3317" spans="1:6" x14ac:dyDescent="0.3">
      <c r="A3317" s="24">
        <v>38195</v>
      </c>
      <c r="B3317" s="66">
        <v>464.65800000000002</v>
      </c>
      <c r="C3317" s="67"/>
      <c r="D3317" s="68">
        <v>0</v>
      </c>
      <c r="E3317" s="110">
        <f t="shared" si="52"/>
        <v>37193</v>
      </c>
      <c r="F3317" s="69">
        <v>5.6974572128664618E-3</v>
      </c>
    </row>
    <row r="3318" spans="1:6" x14ac:dyDescent="0.3">
      <c r="A3318" s="24">
        <v>38196</v>
      </c>
      <c r="B3318" s="66">
        <v>464.65800000000002</v>
      </c>
      <c r="C3318" s="67"/>
      <c r="D3318" s="68">
        <v>0</v>
      </c>
      <c r="E3318" s="110">
        <f t="shared" si="52"/>
        <v>37193</v>
      </c>
      <c r="F3318" s="69">
        <v>5.6974572128664618E-3</v>
      </c>
    </row>
    <row r="3319" spans="1:6" x14ac:dyDescent="0.3">
      <c r="A3319" s="24">
        <v>38197</v>
      </c>
      <c r="B3319" s="66">
        <v>464.65800000000002</v>
      </c>
      <c r="C3319" s="67"/>
      <c r="D3319" s="68">
        <v>0</v>
      </c>
      <c r="E3319" s="110">
        <f t="shared" si="52"/>
        <v>37193</v>
      </c>
      <c r="F3319" s="69">
        <v>5.6974572128664618E-3</v>
      </c>
    </row>
    <row r="3320" spans="1:6" x14ac:dyDescent="0.3">
      <c r="A3320" s="24">
        <v>38198</v>
      </c>
      <c r="B3320" s="66">
        <v>464.65800000000002</v>
      </c>
      <c r="C3320" s="67"/>
      <c r="D3320" s="68">
        <v>0</v>
      </c>
      <c r="E3320" s="110">
        <f t="shared" si="52"/>
        <v>37193</v>
      </c>
      <c r="F3320" s="69">
        <v>5.6974572128664618E-3</v>
      </c>
    </row>
    <row r="3321" spans="1:6" x14ac:dyDescent="0.3">
      <c r="A3321" s="24">
        <v>38199</v>
      </c>
      <c r="B3321" s="66">
        <v>464.65800000000002</v>
      </c>
      <c r="C3321" s="67"/>
      <c r="D3321" s="68">
        <v>0</v>
      </c>
      <c r="E3321" s="110">
        <f t="shared" si="52"/>
        <v>37193</v>
      </c>
      <c r="F3321" s="69">
        <v>5.6974572128664618E-3</v>
      </c>
    </row>
    <row r="3322" spans="1:6" x14ac:dyDescent="0.3">
      <c r="A3322" s="24">
        <v>38200</v>
      </c>
      <c r="B3322" s="66">
        <v>464.65800000000002</v>
      </c>
      <c r="C3322" s="67"/>
      <c r="D3322" s="68">
        <v>0</v>
      </c>
      <c r="E3322" s="110">
        <f t="shared" si="52"/>
        <v>37193</v>
      </c>
      <c r="F3322" s="69">
        <v>5.6974572128664618E-3</v>
      </c>
    </row>
    <row r="3323" spans="1:6" x14ac:dyDescent="0.3">
      <c r="A3323" s="24">
        <v>38201</v>
      </c>
      <c r="B3323" s="66">
        <v>464.65800000000002</v>
      </c>
      <c r="C3323" s="67"/>
      <c r="D3323" s="68">
        <v>0</v>
      </c>
      <c r="E3323" s="110">
        <f t="shared" si="52"/>
        <v>37193</v>
      </c>
      <c r="F3323" s="69">
        <v>5.6974572128664618E-3</v>
      </c>
    </row>
    <row r="3324" spans="1:6" x14ac:dyDescent="0.3">
      <c r="A3324" s="24">
        <v>38202</v>
      </c>
      <c r="B3324" s="66">
        <v>464.65800000000002</v>
      </c>
      <c r="C3324" s="67"/>
      <c r="D3324" s="68">
        <v>0</v>
      </c>
      <c r="E3324" s="110">
        <f t="shared" si="52"/>
        <v>37193</v>
      </c>
      <c r="F3324" s="69">
        <v>5.6974572128664618E-3</v>
      </c>
    </row>
    <row r="3325" spans="1:6" x14ac:dyDescent="0.3">
      <c r="A3325" s="24">
        <v>38203</v>
      </c>
      <c r="B3325" s="66">
        <v>464.65800000000002</v>
      </c>
      <c r="C3325" s="67"/>
      <c r="D3325" s="68">
        <v>0</v>
      </c>
      <c r="E3325" s="110">
        <f t="shared" si="52"/>
        <v>37193</v>
      </c>
      <c r="F3325" s="69">
        <v>5.6974572128664618E-3</v>
      </c>
    </row>
    <row r="3326" spans="1:6" x14ac:dyDescent="0.3">
      <c r="A3326" s="24">
        <v>38204</v>
      </c>
      <c r="B3326" s="66">
        <v>464.65800000000002</v>
      </c>
      <c r="C3326" s="67"/>
      <c r="D3326" s="68">
        <v>0</v>
      </c>
      <c r="E3326" s="110">
        <f t="shared" si="52"/>
        <v>37193</v>
      </c>
      <c r="F3326" s="69">
        <v>5.6974572128664618E-3</v>
      </c>
    </row>
    <row r="3327" spans="1:6" x14ac:dyDescent="0.3">
      <c r="A3327" s="24">
        <v>38205</v>
      </c>
      <c r="B3327" s="66">
        <v>464.65800000000002</v>
      </c>
      <c r="C3327" s="67"/>
      <c r="D3327" s="68">
        <v>0</v>
      </c>
      <c r="E3327" s="110">
        <f t="shared" si="52"/>
        <v>37193</v>
      </c>
      <c r="F3327" s="69">
        <v>5.6974572128664618E-3</v>
      </c>
    </row>
    <row r="3328" spans="1:6" x14ac:dyDescent="0.3">
      <c r="A3328" s="24">
        <v>38206</v>
      </c>
      <c r="B3328" s="66">
        <v>464.65800000000002</v>
      </c>
      <c r="C3328" s="67"/>
      <c r="D3328" s="68">
        <v>0</v>
      </c>
      <c r="E3328" s="110">
        <f t="shared" si="52"/>
        <v>37193</v>
      </c>
      <c r="F3328" s="69">
        <v>5.6974572128664618E-3</v>
      </c>
    </row>
    <row r="3329" spans="1:6" x14ac:dyDescent="0.3">
      <c r="A3329" s="24">
        <v>38207</v>
      </c>
      <c r="B3329" s="66">
        <v>464.65800000000002</v>
      </c>
      <c r="C3329" s="67"/>
      <c r="D3329" s="68">
        <v>0</v>
      </c>
      <c r="E3329" s="110">
        <f t="shared" si="52"/>
        <v>37193</v>
      </c>
      <c r="F3329" s="69">
        <v>5.6974572128664618E-3</v>
      </c>
    </row>
    <row r="3330" spans="1:6" x14ac:dyDescent="0.3">
      <c r="A3330" s="24">
        <v>38208</v>
      </c>
      <c r="B3330" s="66">
        <v>464.65800000000002</v>
      </c>
      <c r="C3330" s="67"/>
      <c r="D3330" s="68">
        <v>0</v>
      </c>
      <c r="E3330" s="110">
        <f t="shared" si="52"/>
        <v>37193</v>
      </c>
      <c r="F3330" s="69">
        <v>5.6974572128664618E-3</v>
      </c>
    </row>
    <row r="3331" spans="1:6" x14ac:dyDescent="0.3">
      <c r="A3331" s="24">
        <v>38209</v>
      </c>
      <c r="B3331" s="66">
        <v>464.65800000000002</v>
      </c>
      <c r="C3331" s="67"/>
      <c r="D3331" s="68">
        <v>0</v>
      </c>
      <c r="E3331" s="110">
        <f t="shared" si="52"/>
        <v>37193</v>
      </c>
      <c r="F3331" s="69">
        <v>5.6974572128664618E-3</v>
      </c>
    </row>
    <row r="3332" spans="1:6" x14ac:dyDescent="0.3">
      <c r="A3332" s="24">
        <v>38210</v>
      </c>
      <c r="B3332" s="66">
        <v>464.65800000000002</v>
      </c>
      <c r="C3332" s="67"/>
      <c r="D3332" s="68">
        <v>0</v>
      </c>
      <c r="E3332" s="110">
        <f t="shared" si="52"/>
        <v>37193</v>
      </c>
      <c r="F3332" s="69">
        <v>5.6974572128664618E-3</v>
      </c>
    </row>
    <row r="3333" spans="1:6" x14ac:dyDescent="0.3">
      <c r="A3333" s="24">
        <v>38211</v>
      </c>
      <c r="B3333" s="66">
        <v>464.65800000000002</v>
      </c>
      <c r="C3333" s="67"/>
      <c r="D3333" s="68">
        <v>0</v>
      </c>
      <c r="E3333" s="110">
        <f t="shared" si="52"/>
        <v>37193</v>
      </c>
      <c r="F3333" s="69">
        <v>5.6974572128664618E-3</v>
      </c>
    </row>
    <row r="3334" spans="1:6" x14ac:dyDescent="0.3">
      <c r="A3334" s="24">
        <v>38212</v>
      </c>
      <c r="B3334" s="66">
        <v>464.65800000000002</v>
      </c>
      <c r="C3334" s="67"/>
      <c r="D3334" s="68">
        <v>0</v>
      </c>
      <c r="E3334" s="110">
        <f t="shared" si="52"/>
        <v>37193</v>
      </c>
      <c r="F3334" s="69">
        <v>5.6974572128664618E-3</v>
      </c>
    </row>
    <row r="3335" spans="1:6" x14ac:dyDescent="0.3">
      <c r="A3335" s="24">
        <v>38213</v>
      </c>
      <c r="B3335" s="66">
        <v>464.65800000000002</v>
      </c>
      <c r="C3335" s="67"/>
      <c r="D3335" s="68">
        <v>0</v>
      </c>
      <c r="E3335" s="110">
        <f t="shared" si="52"/>
        <v>37193</v>
      </c>
      <c r="F3335" s="69">
        <v>5.6974572128664618E-3</v>
      </c>
    </row>
    <row r="3336" spans="1:6" x14ac:dyDescent="0.3">
      <c r="A3336" s="24">
        <v>38214</v>
      </c>
      <c r="B3336" s="66">
        <v>464.65800000000002</v>
      </c>
      <c r="C3336" s="67"/>
      <c r="D3336" s="68">
        <v>0</v>
      </c>
      <c r="E3336" s="110">
        <f t="shared" si="52"/>
        <v>37193</v>
      </c>
      <c r="F3336" s="69">
        <v>5.6974572128664618E-3</v>
      </c>
    </row>
    <row r="3337" spans="1:6" x14ac:dyDescent="0.3">
      <c r="A3337" s="24">
        <v>38215</v>
      </c>
      <c r="B3337" s="66">
        <v>464.65800000000002</v>
      </c>
      <c r="C3337" s="67"/>
      <c r="D3337" s="68">
        <v>0</v>
      </c>
      <c r="E3337" s="110">
        <f t="shared" si="52"/>
        <v>37193</v>
      </c>
      <c r="F3337" s="69">
        <v>5.6974572128664618E-3</v>
      </c>
    </row>
    <row r="3338" spans="1:6" x14ac:dyDescent="0.3">
      <c r="A3338" s="24">
        <v>38216</v>
      </c>
      <c r="B3338" s="66">
        <v>464.65800000000002</v>
      </c>
      <c r="C3338" s="67"/>
      <c r="D3338" s="68">
        <v>0</v>
      </c>
      <c r="E3338" s="110">
        <f t="shared" si="52"/>
        <v>37193</v>
      </c>
      <c r="F3338" s="69">
        <v>5.6974572128664618E-3</v>
      </c>
    </row>
    <row r="3339" spans="1:6" x14ac:dyDescent="0.3">
      <c r="A3339" s="24">
        <v>38217</v>
      </c>
      <c r="B3339" s="66">
        <v>464.65800000000002</v>
      </c>
      <c r="C3339" s="67"/>
      <c r="D3339" s="68">
        <v>0</v>
      </c>
      <c r="E3339" s="110">
        <f t="shared" si="52"/>
        <v>37193</v>
      </c>
      <c r="F3339" s="69">
        <v>5.6974572128664618E-3</v>
      </c>
    </row>
    <row r="3340" spans="1:6" x14ac:dyDescent="0.3">
      <c r="A3340" s="24">
        <v>38218</v>
      </c>
      <c r="B3340" s="66">
        <v>464.65800000000002</v>
      </c>
      <c r="C3340" s="67"/>
      <c r="D3340" s="68">
        <v>0</v>
      </c>
      <c r="E3340" s="110">
        <f t="shared" si="52"/>
        <v>37193</v>
      </c>
      <c r="F3340" s="69">
        <v>5.6974572128664618E-3</v>
      </c>
    </row>
    <row r="3341" spans="1:6" x14ac:dyDescent="0.3">
      <c r="A3341" s="24">
        <v>38219</v>
      </c>
      <c r="B3341" s="66">
        <v>464.65800000000002</v>
      </c>
      <c r="C3341" s="67"/>
      <c r="D3341" s="68">
        <v>0</v>
      </c>
      <c r="E3341" s="110">
        <f t="shared" si="52"/>
        <v>37193</v>
      </c>
      <c r="F3341" s="69">
        <v>5.6974572128664618E-3</v>
      </c>
    </row>
    <row r="3342" spans="1:6" x14ac:dyDescent="0.3">
      <c r="A3342" s="24">
        <v>38220</v>
      </c>
      <c r="B3342" s="66">
        <v>464.65800000000002</v>
      </c>
      <c r="C3342" s="67"/>
      <c r="D3342" s="68">
        <v>0</v>
      </c>
      <c r="E3342" s="110">
        <f t="shared" si="52"/>
        <v>37193</v>
      </c>
      <c r="F3342" s="69">
        <v>5.6974572128664618E-3</v>
      </c>
    </row>
    <row r="3343" spans="1:6" x14ac:dyDescent="0.3">
      <c r="A3343" s="24">
        <v>38221</v>
      </c>
      <c r="B3343" s="66">
        <v>464.65800000000002</v>
      </c>
      <c r="C3343" s="67"/>
      <c r="D3343" s="68">
        <v>0</v>
      </c>
      <c r="E3343" s="110">
        <f t="shared" si="52"/>
        <v>37193</v>
      </c>
      <c r="F3343" s="69">
        <v>5.6974572128664618E-3</v>
      </c>
    </row>
    <row r="3344" spans="1:6" x14ac:dyDescent="0.3">
      <c r="A3344" s="24">
        <v>38222</v>
      </c>
      <c r="B3344" s="66">
        <v>464.65800000000002</v>
      </c>
      <c r="C3344" s="67"/>
      <c r="D3344" s="68">
        <v>0</v>
      </c>
      <c r="E3344" s="110">
        <f t="shared" si="52"/>
        <v>37193</v>
      </c>
      <c r="F3344" s="69">
        <v>5.6974572128664618E-3</v>
      </c>
    </row>
    <row r="3345" spans="1:6" x14ac:dyDescent="0.3">
      <c r="A3345" s="24">
        <v>38223</v>
      </c>
      <c r="B3345" s="66">
        <v>464.65800000000002</v>
      </c>
      <c r="C3345" s="67"/>
      <c r="D3345" s="68">
        <v>0</v>
      </c>
      <c r="E3345" s="110">
        <f t="shared" si="52"/>
        <v>37193</v>
      </c>
      <c r="F3345" s="69">
        <v>5.6974572128664618E-3</v>
      </c>
    </row>
    <row r="3346" spans="1:6" x14ac:dyDescent="0.3">
      <c r="A3346" s="24">
        <v>38224</v>
      </c>
      <c r="B3346" s="66">
        <v>464.65800000000002</v>
      </c>
      <c r="C3346" s="67"/>
      <c r="D3346" s="68">
        <v>0</v>
      </c>
      <c r="E3346" s="110">
        <f t="shared" ref="E3346:E3409" si="53">+E3345</f>
        <v>37193</v>
      </c>
      <c r="F3346" s="69">
        <v>5.6974572128664618E-3</v>
      </c>
    </row>
    <row r="3347" spans="1:6" x14ac:dyDescent="0.3">
      <c r="A3347" s="24">
        <v>38225</v>
      </c>
      <c r="B3347" s="66">
        <v>464.65800000000002</v>
      </c>
      <c r="C3347" s="67"/>
      <c r="D3347" s="68">
        <v>0</v>
      </c>
      <c r="E3347" s="110">
        <f t="shared" si="53"/>
        <v>37193</v>
      </c>
      <c r="F3347" s="69">
        <v>5.6974572128664618E-3</v>
      </c>
    </row>
    <row r="3348" spans="1:6" x14ac:dyDescent="0.3">
      <c r="A3348" s="24">
        <v>38226</v>
      </c>
      <c r="B3348" s="66">
        <v>464.65800000000002</v>
      </c>
      <c r="C3348" s="67"/>
      <c r="D3348" s="68">
        <v>0</v>
      </c>
      <c r="E3348" s="110">
        <f t="shared" si="53"/>
        <v>37193</v>
      </c>
      <c r="F3348" s="69">
        <v>5.6974572128664618E-3</v>
      </c>
    </row>
    <row r="3349" spans="1:6" x14ac:dyDescent="0.3">
      <c r="A3349" s="24">
        <v>38227</v>
      </c>
      <c r="B3349" s="66">
        <v>464.65800000000002</v>
      </c>
      <c r="C3349" s="67"/>
      <c r="D3349" s="68">
        <v>0</v>
      </c>
      <c r="E3349" s="110">
        <f t="shared" si="53"/>
        <v>37193</v>
      </c>
      <c r="F3349" s="69">
        <v>5.6974572128664618E-3</v>
      </c>
    </row>
    <row r="3350" spans="1:6" x14ac:dyDescent="0.3">
      <c r="A3350" s="24">
        <v>38228</v>
      </c>
      <c r="B3350" s="66">
        <v>464.65800000000002</v>
      </c>
      <c r="C3350" s="67"/>
      <c r="D3350" s="68">
        <v>0</v>
      </c>
      <c r="E3350" s="110">
        <f t="shared" si="53"/>
        <v>37193</v>
      </c>
      <c r="F3350" s="69">
        <v>5.6974572128664618E-3</v>
      </c>
    </row>
    <row r="3351" spans="1:6" x14ac:dyDescent="0.3">
      <c r="A3351" s="24">
        <v>38229</v>
      </c>
      <c r="B3351" s="66">
        <v>464.65800000000002</v>
      </c>
      <c r="C3351" s="67"/>
      <c r="D3351" s="68">
        <v>0</v>
      </c>
      <c r="E3351" s="110">
        <f t="shared" si="53"/>
        <v>37193</v>
      </c>
      <c r="F3351" s="69">
        <v>5.6974572128664618E-3</v>
      </c>
    </row>
    <row r="3352" spans="1:6" x14ac:dyDescent="0.3">
      <c r="A3352" s="24">
        <v>38230</v>
      </c>
      <c r="B3352" s="66">
        <v>464.65800000000002</v>
      </c>
      <c r="C3352" s="67"/>
      <c r="D3352" s="68">
        <v>0</v>
      </c>
      <c r="E3352" s="110">
        <f t="shared" si="53"/>
        <v>37193</v>
      </c>
      <c r="F3352" s="69">
        <v>5.6974572128664618E-3</v>
      </c>
    </row>
    <row r="3353" spans="1:6" x14ac:dyDescent="0.3">
      <c r="A3353" s="24">
        <v>38231</v>
      </c>
      <c r="B3353" s="66">
        <v>464.65800000000002</v>
      </c>
      <c r="C3353" s="67"/>
      <c r="D3353" s="68">
        <v>0</v>
      </c>
      <c r="E3353" s="110">
        <f t="shared" si="53"/>
        <v>37193</v>
      </c>
      <c r="F3353" s="69">
        <v>5.6974572128664618E-3</v>
      </c>
    </row>
    <row r="3354" spans="1:6" x14ac:dyDescent="0.3">
      <c r="A3354" s="24">
        <v>38232</v>
      </c>
      <c r="B3354" s="66">
        <v>464.65800000000002</v>
      </c>
      <c r="C3354" s="67"/>
      <c r="D3354" s="68">
        <v>0</v>
      </c>
      <c r="E3354" s="110">
        <f t="shared" si="53"/>
        <v>37193</v>
      </c>
      <c r="F3354" s="69">
        <v>5.6974572128664618E-3</v>
      </c>
    </row>
    <row r="3355" spans="1:6" x14ac:dyDescent="0.3">
      <c r="A3355" s="24">
        <v>38233</v>
      </c>
      <c r="B3355" s="66">
        <v>464.65800000000002</v>
      </c>
      <c r="C3355" s="67"/>
      <c r="D3355" s="68">
        <v>0</v>
      </c>
      <c r="E3355" s="110">
        <f t="shared" si="53"/>
        <v>37193</v>
      </c>
      <c r="F3355" s="69">
        <v>5.6974572128664618E-3</v>
      </c>
    </row>
    <row r="3356" spans="1:6" x14ac:dyDescent="0.3">
      <c r="A3356" s="24">
        <v>38234</v>
      </c>
      <c r="B3356" s="66">
        <v>464.65800000000002</v>
      </c>
      <c r="C3356" s="67"/>
      <c r="D3356" s="68">
        <v>0</v>
      </c>
      <c r="E3356" s="110">
        <f t="shared" si="53"/>
        <v>37193</v>
      </c>
      <c r="F3356" s="69">
        <v>5.6974572128664618E-3</v>
      </c>
    </row>
    <row r="3357" spans="1:6" x14ac:dyDescent="0.3">
      <c r="A3357" s="24">
        <v>38235</v>
      </c>
      <c r="B3357" s="66">
        <v>464.65800000000002</v>
      </c>
      <c r="C3357" s="67"/>
      <c r="D3357" s="68">
        <v>0</v>
      </c>
      <c r="E3357" s="110">
        <f t="shared" si="53"/>
        <v>37193</v>
      </c>
      <c r="F3357" s="69">
        <v>5.6974572128664618E-3</v>
      </c>
    </row>
    <row r="3358" spans="1:6" x14ac:dyDescent="0.3">
      <c r="A3358" s="24">
        <v>38236</v>
      </c>
      <c r="B3358" s="66">
        <v>464.65800000000002</v>
      </c>
      <c r="C3358" s="67"/>
      <c r="D3358" s="68">
        <v>0</v>
      </c>
      <c r="E3358" s="110">
        <f t="shared" si="53"/>
        <v>37193</v>
      </c>
      <c r="F3358" s="69">
        <v>5.6974572128664618E-3</v>
      </c>
    </row>
    <row r="3359" spans="1:6" x14ac:dyDescent="0.3">
      <c r="A3359" s="24">
        <v>38237</v>
      </c>
      <c r="B3359" s="66">
        <v>464.65800000000002</v>
      </c>
      <c r="C3359" s="67"/>
      <c r="D3359" s="68">
        <v>0</v>
      </c>
      <c r="E3359" s="110">
        <f t="shared" si="53"/>
        <v>37193</v>
      </c>
      <c r="F3359" s="69">
        <v>5.6974572128664618E-3</v>
      </c>
    </row>
    <row r="3360" spans="1:6" x14ac:dyDescent="0.3">
      <c r="A3360" s="24">
        <v>38238</v>
      </c>
      <c r="B3360" s="66">
        <v>464.65800000000002</v>
      </c>
      <c r="C3360" s="67"/>
      <c r="D3360" s="68">
        <v>0</v>
      </c>
      <c r="E3360" s="110">
        <f t="shared" si="53"/>
        <v>37193</v>
      </c>
      <c r="F3360" s="69">
        <v>5.6974572128664618E-3</v>
      </c>
    </row>
    <row r="3361" spans="1:6" x14ac:dyDescent="0.3">
      <c r="A3361" s="24">
        <v>38239</v>
      </c>
      <c r="B3361" s="66">
        <v>464.65800000000002</v>
      </c>
      <c r="C3361" s="67"/>
      <c r="D3361" s="68">
        <v>0</v>
      </c>
      <c r="E3361" s="110">
        <f t="shared" si="53"/>
        <v>37193</v>
      </c>
      <c r="F3361" s="69">
        <v>5.6974572128664618E-3</v>
      </c>
    </row>
    <row r="3362" spans="1:6" x14ac:dyDescent="0.3">
      <c r="A3362" s="24">
        <v>38240</v>
      </c>
      <c r="B3362" s="66">
        <v>464.65800000000002</v>
      </c>
      <c r="C3362" s="67"/>
      <c r="D3362" s="68">
        <v>0</v>
      </c>
      <c r="E3362" s="110">
        <f t="shared" si="53"/>
        <v>37193</v>
      </c>
      <c r="F3362" s="69">
        <v>5.6974572128664618E-3</v>
      </c>
    </row>
    <row r="3363" spans="1:6" x14ac:dyDescent="0.3">
      <c r="A3363" s="24">
        <v>38241</v>
      </c>
      <c r="B3363" s="66">
        <v>464.65800000000002</v>
      </c>
      <c r="C3363" s="67"/>
      <c r="D3363" s="68">
        <v>0</v>
      </c>
      <c r="E3363" s="110">
        <f t="shared" si="53"/>
        <v>37193</v>
      </c>
      <c r="F3363" s="69">
        <v>5.6974572128664618E-3</v>
      </c>
    </row>
    <row r="3364" spans="1:6" x14ac:dyDescent="0.3">
      <c r="A3364" s="24">
        <v>38242</v>
      </c>
      <c r="B3364" s="66">
        <v>464.65800000000002</v>
      </c>
      <c r="C3364" s="67"/>
      <c r="D3364" s="68">
        <v>0</v>
      </c>
      <c r="E3364" s="110">
        <f t="shared" si="53"/>
        <v>37193</v>
      </c>
      <c r="F3364" s="69">
        <v>5.6974572128664618E-3</v>
      </c>
    </row>
    <row r="3365" spans="1:6" x14ac:dyDescent="0.3">
      <c r="A3365" s="24">
        <v>38243</v>
      </c>
      <c r="B3365" s="66">
        <v>464.65800000000002</v>
      </c>
      <c r="C3365" s="67"/>
      <c r="D3365" s="68">
        <v>0</v>
      </c>
      <c r="E3365" s="110">
        <f t="shared" si="53"/>
        <v>37193</v>
      </c>
      <c r="F3365" s="69">
        <v>5.6974572128664618E-3</v>
      </c>
    </row>
    <row r="3366" spans="1:6" x14ac:dyDescent="0.3">
      <c r="A3366" s="24">
        <v>38244</v>
      </c>
      <c r="B3366" s="66">
        <v>464.65800000000002</v>
      </c>
      <c r="C3366" s="67"/>
      <c r="D3366" s="68">
        <v>0</v>
      </c>
      <c r="E3366" s="110">
        <f t="shared" si="53"/>
        <v>37193</v>
      </c>
      <c r="F3366" s="69">
        <v>5.6974572128664618E-3</v>
      </c>
    </row>
    <row r="3367" spans="1:6" x14ac:dyDescent="0.3">
      <c r="A3367" s="24">
        <v>38245</v>
      </c>
      <c r="B3367" s="66">
        <v>464.65800000000002</v>
      </c>
      <c r="C3367" s="67"/>
      <c r="D3367" s="68">
        <v>0</v>
      </c>
      <c r="E3367" s="110">
        <f t="shared" si="53"/>
        <v>37193</v>
      </c>
      <c r="F3367" s="69">
        <v>5.6974572128664618E-3</v>
      </c>
    </row>
    <row r="3368" spans="1:6" x14ac:dyDescent="0.3">
      <c r="A3368" s="24">
        <v>38246</v>
      </c>
      <c r="B3368" s="66">
        <v>464.65800000000002</v>
      </c>
      <c r="C3368" s="67"/>
      <c r="D3368" s="68">
        <v>0</v>
      </c>
      <c r="E3368" s="110">
        <f t="shared" si="53"/>
        <v>37193</v>
      </c>
      <c r="F3368" s="69">
        <v>5.6974572128664618E-3</v>
      </c>
    </row>
    <row r="3369" spans="1:6" x14ac:dyDescent="0.3">
      <c r="A3369" s="24">
        <v>38247</v>
      </c>
      <c r="B3369" s="66">
        <v>464.65800000000002</v>
      </c>
      <c r="C3369" s="67"/>
      <c r="D3369" s="68">
        <v>0</v>
      </c>
      <c r="E3369" s="110">
        <f t="shared" si="53"/>
        <v>37193</v>
      </c>
      <c r="F3369" s="69">
        <v>5.6974572128664618E-3</v>
      </c>
    </row>
    <row r="3370" spans="1:6" x14ac:dyDescent="0.3">
      <c r="A3370" s="24">
        <v>38248</v>
      </c>
      <c r="B3370" s="66">
        <v>464.65800000000002</v>
      </c>
      <c r="C3370" s="67"/>
      <c r="D3370" s="68">
        <v>0</v>
      </c>
      <c r="E3370" s="110">
        <f t="shared" si="53"/>
        <v>37193</v>
      </c>
      <c r="F3370" s="69">
        <v>5.6974572128664618E-3</v>
      </c>
    </row>
    <row r="3371" spans="1:6" x14ac:dyDescent="0.3">
      <c r="A3371" s="24">
        <v>38249</v>
      </c>
      <c r="B3371" s="66">
        <v>464.65800000000002</v>
      </c>
      <c r="C3371" s="67"/>
      <c r="D3371" s="68">
        <v>0</v>
      </c>
      <c r="E3371" s="110">
        <f t="shared" si="53"/>
        <v>37193</v>
      </c>
      <c r="F3371" s="69">
        <v>5.6974572128664618E-3</v>
      </c>
    </row>
    <row r="3372" spans="1:6" x14ac:dyDescent="0.3">
      <c r="A3372" s="24">
        <v>38250</v>
      </c>
      <c r="B3372" s="66">
        <v>464.65800000000002</v>
      </c>
      <c r="C3372" s="67"/>
      <c r="D3372" s="68">
        <v>0</v>
      </c>
      <c r="E3372" s="110">
        <f t="shared" si="53"/>
        <v>37193</v>
      </c>
      <c r="F3372" s="69">
        <v>5.6974572128664618E-3</v>
      </c>
    </row>
    <row r="3373" spans="1:6" x14ac:dyDescent="0.3">
      <c r="A3373" s="24">
        <v>38251</v>
      </c>
      <c r="B3373" s="66">
        <v>464.65800000000002</v>
      </c>
      <c r="C3373" s="67"/>
      <c r="D3373" s="68">
        <v>0</v>
      </c>
      <c r="E3373" s="110">
        <f t="shared" si="53"/>
        <v>37193</v>
      </c>
      <c r="F3373" s="69">
        <v>5.6974572128664618E-3</v>
      </c>
    </row>
    <row r="3374" spans="1:6" x14ac:dyDescent="0.3">
      <c r="A3374" s="24">
        <v>38252</v>
      </c>
      <c r="B3374" s="66">
        <v>464.65800000000002</v>
      </c>
      <c r="C3374" s="67"/>
      <c r="D3374" s="68">
        <v>0</v>
      </c>
      <c r="E3374" s="110">
        <f t="shared" si="53"/>
        <v>37193</v>
      </c>
      <c r="F3374" s="69">
        <v>5.6974572128664618E-3</v>
      </c>
    </row>
    <row r="3375" spans="1:6" x14ac:dyDescent="0.3">
      <c r="A3375" s="24">
        <v>38253</v>
      </c>
      <c r="B3375" s="66">
        <v>464.65800000000002</v>
      </c>
      <c r="C3375" s="67"/>
      <c r="D3375" s="68">
        <v>0</v>
      </c>
      <c r="E3375" s="110">
        <f t="shared" si="53"/>
        <v>37193</v>
      </c>
      <c r="F3375" s="69">
        <v>5.6974572128664618E-3</v>
      </c>
    </row>
    <row r="3376" spans="1:6" x14ac:dyDescent="0.3">
      <c r="A3376" s="24">
        <v>38254</v>
      </c>
      <c r="B3376" s="66">
        <v>464.65800000000002</v>
      </c>
      <c r="C3376" s="67"/>
      <c r="D3376" s="68">
        <v>0</v>
      </c>
      <c r="E3376" s="110">
        <f t="shared" si="53"/>
        <v>37193</v>
      </c>
      <c r="F3376" s="69">
        <v>5.6974572128664618E-3</v>
      </c>
    </row>
    <row r="3377" spans="1:6" x14ac:dyDescent="0.3">
      <c r="A3377" s="24">
        <v>38255</v>
      </c>
      <c r="B3377" s="66">
        <v>464.65800000000002</v>
      </c>
      <c r="C3377" s="67"/>
      <c r="D3377" s="68">
        <v>0</v>
      </c>
      <c r="E3377" s="110">
        <f t="shared" si="53"/>
        <v>37193</v>
      </c>
      <c r="F3377" s="69">
        <v>5.6974572128664618E-3</v>
      </c>
    </row>
    <row r="3378" spans="1:6" x14ac:dyDescent="0.3">
      <c r="A3378" s="24">
        <v>38256</v>
      </c>
      <c r="B3378" s="66">
        <v>464.65800000000002</v>
      </c>
      <c r="C3378" s="67"/>
      <c r="D3378" s="68">
        <v>0</v>
      </c>
      <c r="E3378" s="110">
        <f t="shared" si="53"/>
        <v>37193</v>
      </c>
      <c r="F3378" s="69">
        <v>5.6974572128664618E-3</v>
      </c>
    </row>
    <row r="3379" spans="1:6" x14ac:dyDescent="0.3">
      <c r="A3379" s="24">
        <v>38257</v>
      </c>
      <c r="B3379" s="66">
        <v>464.65800000000002</v>
      </c>
      <c r="C3379" s="67"/>
      <c r="D3379" s="68">
        <v>0</v>
      </c>
      <c r="E3379" s="110">
        <f t="shared" si="53"/>
        <v>37193</v>
      </c>
      <c r="F3379" s="69">
        <v>5.6974572128664618E-3</v>
      </c>
    </row>
    <row r="3380" spans="1:6" x14ac:dyDescent="0.3">
      <c r="A3380" s="24">
        <v>38258</v>
      </c>
      <c r="B3380" s="66">
        <v>464.65800000000002</v>
      </c>
      <c r="C3380" s="67"/>
      <c r="D3380" s="68">
        <v>0</v>
      </c>
      <c r="E3380" s="110">
        <f t="shared" si="53"/>
        <v>37193</v>
      </c>
      <c r="F3380" s="69">
        <v>5.620839818045109E-3</v>
      </c>
    </row>
    <row r="3381" spans="1:6" x14ac:dyDescent="0.3">
      <c r="A3381" s="24">
        <v>38259</v>
      </c>
      <c r="B3381" s="66">
        <v>464.65800000000002</v>
      </c>
      <c r="C3381" s="67"/>
      <c r="D3381" s="68">
        <v>0</v>
      </c>
      <c r="E3381" s="110">
        <f t="shared" si="53"/>
        <v>37193</v>
      </c>
      <c r="F3381" s="69">
        <v>5.620839818045109E-3</v>
      </c>
    </row>
    <row r="3382" spans="1:6" x14ac:dyDescent="0.3">
      <c r="A3382" s="24">
        <v>38260</v>
      </c>
      <c r="B3382" s="66">
        <v>476.58699999999999</v>
      </c>
      <c r="C3382" s="67"/>
      <c r="D3382" s="68">
        <v>0</v>
      </c>
      <c r="E3382" s="110">
        <f t="shared" si="53"/>
        <v>37193</v>
      </c>
      <c r="F3382" s="69">
        <v>5.620839818045109E-3</v>
      </c>
    </row>
    <row r="3383" spans="1:6" x14ac:dyDescent="0.3">
      <c r="A3383" s="24">
        <v>38261</v>
      </c>
      <c r="B3383" s="66">
        <v>476.58699999999999</v>
      </c>
      <c r="C3383" s="67"/>
      <c r="D3383" s="68">
        <v>0</v>
      </c>
      <c r="E3383" s="110">
        <f t="shared" si="53"/>
        <v>37193</v>
      </c>
      <c r="F3383" s="69">
        <v>5.620839818045109E-3</v>
      </c>
    </row>
    <row r="3384" spans="1:6" x14ac:dyDescent="0.3">
      <c r="A3384" s="24">
        <v>38262</v>
      </c>
      <c r="B3384" s="66">
        <v>476.58699999999999</v>
      </c>
      <c r="C3384" s="67"/>
      <c r="D3384" s="68">
        <v>0</v>
      </c>
      <c r="E3384" s="110">
        <f t="shared" si="53"/>
        <v>37193</v>
      </c>
      <c r="F3384" s="69">
        <v>5.620839818045109E-3</v>
      </c>
    </row>
    <row r="3385" spans="1:6" x14ac:dyDescent="0.3">
      <c r="A3385" s="24">
        <v>38263</v>
      </c>
      <c r="B3385" s="66">
        <v>476.58699999999999</v>
      </c>
      <c r="C3385" s="67"/>
      <c r="D3385" s="68">
        <v>0</v>
      </c>
      <c r="E3385" s="110">
        <f t="shared" si="53"/>
        <v>37193</v>
      </c>
      <c r="F3385" s="69">
        <v>5.620839818045109E-3</v>
      </c>
    </row>
    <row r="3386" spans="1:6" x14ac:dyDescent="0.3">
      <c r="A3386" s="24">
        <v>38264</v>
      </c>
      <c r="B3386" s="66">
        <v>476.58699999999999</v>
      </c>
      <c r="C3386" s="67"/>
      <c r="D3386" s="68">
        <v>0</v>
      </c>
      <c r="E3386" s="110">
        <f t="shared" si="53"/>
        <v>37193</v>
      </c>
      <c r="F3386" s="69">
        <v>5.620839818045109E-3</v>
      </c>
    </row>
    <row r="3387" spans="1:6" x14ac:dyDescent="0.3">
      <c r="A3387" s="24">
        <v>38265</v>
      </c>
      <c r="B3387" s="66">
        <v>476.58699999999999</v>
      </c>
      <c r="C3387" s="67"/>
      <c r="D3387" s="68">
        <v>0</v>
      </c>
      <c r="E3387" s="110">
        <f t="shared" si="53"/>
        <v>37193</v>
      </c>
      <c r="F3387" s="69">
        <v>5.620839818045109E-3</v>
      </c>
    </row>
    <row r="3388" spans="1:6" x14ac:dyDescent="0.3">
      <c r="A3388" s="24">
        <v>38266</v>
      </c>
      <c r="B3388" s="66">
        <v>476.58699999999999</v>
      </c>
      <c r="C3388" s="67"/>
      <c r="D3388" s="68">
        <v>0</v>
      </c>
      <c r="E3388" s="110">
        <f t="shared" si="53"/>
        <v>37193</v>
      </c>
      <c r="F3388" s="69">
        <v>5.620839818045109E-3</v>
      </c>
    </row>
    <row r="3389" spans="1:6" x14ac:dyDescent="0.3">
      <c r="A3389" s="24">
        <v>38267</v>
      </c>
      <c r="B3389" s="66">
        <v>476.58699999999999</v>
      </c>
      <c r="C3389" s="67"/>
      <c r="D3389" s="68">
        <v>0</v>
      </c>
      <c r="E3389" s="110">
        <f t="shared" si="53"/>
        <v>37193</v>
      </c>
      <c r="F3389" s="69">
        <v>5.620839818045109E-3</v>
      </c>
    </row>
    <row r="3390" spans="1:6" x14ac:dyDescent="0.3">
      <c r="A3390" s="24">
        <v>38268</v>
      </c>
      <c r="B3390" s="66">
        <v>476.58699999999999</v>
      </c>
      <c r="C3390" s="67"/>
      <c r="D3390" s="68">
        <v>0</v>
      </c>
      <c r="E3390" s="110">
        <f t="shared" si="53"/>
        <v>37193</v>
      </c>
      <c r="F3390" s="69">
        <v>5.620839818045109E-3</v>
      </c>
    </row>
    <row r="3391" spans="1:6" x14ac:dyDescent="0.3">
      <c r="A3391" s="24">
        <v>38269</v>
      </c>
      <c r="B3391" s="66">
        <v>476.58699999999999</v>
      </c>
      <c r="C3391" s="67"/>
      <c r="D3391" s="68">
        <v>0</v>
      </c>
      <c r="E3391" s="110">
        <f t="shared" si="53"/>
        <v>37193</v>
      </c>
      <c r="F3391" s="69">
        <v>5.620839818045109E-3</v>
      </c>
    </row>
    <row r="3392" spans="1:6" x14ac:dyDescent="0.3">
      <c r="A3392" s="24">
        <v>38270</v>
      </c>
      <c r="B3392" s="66">
        <v>476.58699999999999</v>
      </c>
      <c r="C3392" s="67"/>
      <c r="D3392" s="68">
        <v>0</v>
      </c>
      <c r="E3392" s="110">
        <f t="shared" si="53"/>
        <v>37193</v>
      </c>
      <c r="F3392" s="69">
        <v>5.620839818045109E-3</v>
      </c>
    </row>
    <row r="3393" spans="1:6" x14ac:dyDescent="0.3">
      <c r="A3393" s="24">
        <v>38271</v>
      </c>
      <c r="B3393" s="66">
        <v>476.58699999999999</v>
      </c>
      <c r="C3393" s="67"/>
      <c r="D3393" s="68">
        <v>0</v>
      </c>
      <c r="E3393" s="110">
        <f t="shared" si="53"/>
        <v>37193</v>
      </c>
      <c r="F3393" s="69">
        <v>5.620839818045109E-3</v>
      </c>
    </row>
    <row r="3394" spans="1:6" x14ac:dyDescent="0.3">
      <c r="A3394" s="24">
        <v>38272</v>
      </c>
      <c r="B3394" s="66">
        <v>476.58699999999999</v>
      </c>
      <c r="C3394" s="67"/>
      <c r="D3394" s="68">
        <v>0</v>
      </c>
      <c r="E3394" s="110">
        <f t="shared" si="53"/>
        <v>37193</v>
      </c>
      <c r="F3394" s="69">
        <v>5.620839818045109E-3</v>
      </c>
    </row>
    <row r="3395" spans="1:6" x14ac:dyDescent="0.3">
      <c r="A3395" s="24">
        <v>38273</v>
      </c>
      <c r="B3395" s="66">
        <v>476.58699999999999</v>
      </c>
      <c r="C3395" s="67"/>
      <c r="D3395" s="68">
        <v>0</v>
      </c>
      <c r="E3395" s="110">
        <f t="shared" si="53"/>
        <v>37193</v>
      </c>
      <c r="F3395" s="69">
        <v>5.620839818045109E-3</v>
      </c>
    </row>
    <row r="3396" spans="1:6" x14ac:dyDescent="0.3">
      <c r="A3396" s="24">
        <v>38274</v>
      </c>
      <c r="B3396" s="66">
        <v>476.58699999999999</v>
      </c>
      <c r="C3396" s="67"/>
      <c r="D3396" s="68">
        <v>0</v>
      </c>
      <c r="E3396" s="110">
        <f t="shared" si="53"/>
        <v>37193</v>
      </c>
      <c r="F3396" s="69">
        <v>5.620839818045109E-3</v>
      </c>
    </row>
    <row r="3397" spans="1:6" x14ac:dyDescent="0.3">
      <c r="A3397" s="24">
        <v>38275</v>
      </c>
      <c r="B3397" s="66">
        <v>476.58699999999999</v>
      </c>
      <c r="C3397" s="67"/>
      <c r="D3397" s="68">
        <v>0</v>
      </c>
      <c r="E3397" s="110">
        <f t="shared" si="53"/>
        <v>37193</v>
      </c>
      <c r="F3397" s="69">
        <v>5.620839818045109E-3</v>
      </c>
    </row>
    <row r="3398" spans="1:6" x14ac:dyDescent="0.3">
      <c r="A3398" s="24">
        <v>38276</v>
      </c>
      <c r="B3398" s="66">
        <v>476.58699999999999</v>
      </c>
      <c r="C3398" s="67"/>
      <c r="D3398" s="68">
        <v>0</v>
      </c>
      <c r="E3398" s="110">
        <f t="shared" si="53"/>
        <v>37193</v>
      </c>
      <c r="F3398" s="69">
        <v>5.620839818045109E-3</v>
      </c>
    </row>
    <row r="3399" spans="1:6" x14ac:dyDescent="0.3">
      <c r="A3399" s="24">
        <v>38277</v>
      </c>
      <c r="B3399" s="66">
        <v>476.58699999999999</v>
      </c>
      <c r="C3399" s="67"/>
      <c r="D3399" s="68">
        <v>0</v>
      </c>
      <c r="E3399" s="110">
        <f t="shared" si="53"/>
        <v>37193</v>
      </c>
      <c r="F3399" s="69">
        <v>5.620839818045109E-3</v>
      </c>
    </row>
    <row r="3400" spans="1:6" x14ac:dyDescent="0.3">
      <c r="A3400" s="24">
        <v>38278</v>
      </c>
      <c r="B3400" s="66">
        <v>476.58699999999999</v>
      </c>
      <c r="C3400" s="67"/>
      <c r="D3400" s="68">
        <v>0</v>
      </c>
      <c r="E3400" s="110">
        <f t="shared" si="53"/>
        <v>37193</v>
      </c>
      <c r="F3400" s="69">
        <v>5.620839818045109E-3</v>
      </c>
    </row>
    <row r="3401" spans="1:6" x14ac:dyDescent="0.3">
      <c r="A3401" s="24">
        <v>38279</v>
      </c>
      <c r="B3401" s="66">
        <v>476.58699999999999</v>
      </c>
      <c r="C3401" s="67"/>
      <c r="D3401" s="68">
        <v>0</v>
      </c>
      <c r="E3401" s="110">
        <f t="shared" si="53"/>
        <v>37193</v>
      </c>
      <c r="F3401" s="69">
        <v>5.620839818045109E-3</v>
      </c>
    </row>
    <row r="3402" spans="1:6" x14ac:dyDescent="0.3">
      <c r="A3402" s="24">
        <v>38280</v>
      </c>
      <c r="B3402" s="66">
        <v>476.58699999999999</v>
      </c>
      <c r="C3402" s="67"/>
      <c r="D3402" s="68">
        <v>0</v>
      </c>
      <c r="E3402" s="110">
        <f t="shared" si="53"/>
        <v>37193</v>
      </c>
      <c r="F3402" s="69">
        <v>5.620839818045109E-3</v>
      </c>
    </row>
    <row r="3403" spans="1:6" x14ac:dyDescent="0.3">
      <c r="A3403" s="24">
        <v>38281</v>
      </c>
      <c r="B3403" s="66">
        <v>476.58699999999999</v>
      </c>
      <c r="C3403" s="67"/>
      <c r="D3403" s="68">
        <v>0</v>
      </c>
      <c r="E3403" s="110">
        <f t="shared" si="53"/>
        <v>37193</v>
      </c>
      <c r="F3403" s="69">
        <v>5.620839818045109E-3</v>
      </c>
    </row>
    <row r="3404" spans="1:6" x14ac:dyDescent="0.3">
      <c r="A3404" s="24">
        <v>38282</v>
      </c>
      <c r="B3404" s="66">
        <v>476.58699999999999</v>
      </c>
      <c r="C3404" s="67"/>
      <c r="D3404" s="68">
        <v>0</v>
      </c>
      <c r="E3404" s="110">
        <f t="shared" si="53"/>
        <v>37193</v>
      </c>
      <c r="F3404" s="69">
        <v>5.620839818045109E-3</v>
      </c>
    </row>
    <row r="3405" spans="1:6" x14ac:dyDescent="0.3">
      <c r="A3405" s="24">
        <v>38283</v>
      </c>
      <c r="B3405" s="66">
        <v>476.58699999999999</v>
      </c>
      <c r="C3405" s="67"/>
      <c r="D3405" s="68">
        <v>0</v>
      </c>
      <c r="E3405" s="110">
        <f t="shared" si="53"/>
        <v>37193</v>
      </c>
      <c r="F3405" s="69">
        <v>5.620839818045109E-3</v>
      </c>
    </row>
    <row r="3406" spans="1:6" x14ac:dyDescent="0.3">
      <c r="A3406" s="24">
        <v>38284</v>
      </c>
      <c r="B3406" s="66">
        <v>476.58699999999999</v>
      </c>
      <c r="C3406" s="67"/>
      <c r="D3406" s="68">
        <v>0</v>
      </c>
      <c r="E3406" s="110">
        <f t="shared" si="53"/>
        <v>37193</v>
      </c>
      <c r="F3406" s="69">
        <v>5.620839818045109E-3</v>
      </c>
    </row>
    <row r="3407" spans="1:6" x14ac:dyDescent="0.3">
      <c r="A3407" s="24">
        <v>38285</v>
      </c>
      <c r="B3407" s="66">
        <v>476.58699999999999</v>
      </c>
      <c r="C3407" s="67"/>
      <c r="D3407" s="68">
        <v>0</v>
      </c>
      <c r="E3407" s="110">
        <f t="shared" si="53"/>
        <v>37193</v>
      </c>
      <c r="F3407" s="69">
        <v>5.620839818045109E-3</v>
      </c>
    </row>
    <row r="3408" spans="1:6" x14ac:dyDescent="0.3">
      <c r="A3408" s="24">
        <v>38286</v>
      </c>
      <c r="B3408" s="66">
        <v>476.58699999999999</v>
      </c>
      <c r="C3408" s="67"/>
      <c r="D3408" s="68">
        <v>0</v>
      </c>
      <c r="E3408" s="110">
        <f t="shared" si="53"/>
        <v>37193</v>
      </c>
      <c r="F3408" s="69">
        <v>5.620839818045109E-3</v>
      </c>
    </row>
    <row r="3409" spans="1:6" x14ac:dyDescent="0.3">
      <c r="A3409" s="24">
        <v>38287</v>
      </c>
      <c r="B3409" s="66">
        <v>476.58699999999999</v>
      </c>
      <c r="C3409" s="67"/>
      <c r="D3409" s="68">
        <v>0</v>
      </c>
      <c r="E3409" s="110">
        <f t="shared" si="53"/>
        <v>37193</v>
      </c>
      <c r="F3409" s="69">
        <v>5.620839818045109E-3</v>
      </c>
    </row>
    <row r="3410" spans="1:6" x14ac:dyDescent="0.3">
      <c r="A3410" s="24">
        <v>38288</v>
      </c>
      <c r="B3410" s="66">
        <v>476.58699999999999</v>
      </c>
      <c r="C3410" s="67"/>
      <c r="D3410" s="68">
        <v>0</v>
      </c>
      <c r="E3410" s="110">
        <f t="shared" ref="E3410:E3473" si="54">+E3409</f>
        <v>37193</v>
      </c>
      <c r="F3410" s="69">
        <v>5.620839818045109E-3</v>
      </c>
    </row>
    <row r="3411" spans="1:6" x14ac:dyDescent="0.3">
      <c r="A3411" s="24">
        <v>38289</v>
      </c>
      <c r="B3411" s="66">
        <v>476.58699999999999</v>
      </c>
      <c r="C3411" s="67"/>
      <c r="D3411" s="68">
        <v>0</v>
      </c>
      <c r="E3411" s="110">
        <f t="shared" si="54"/>
        <v>37193</v>
      </c>
      <c r="F3411" s="69">
        <v>5.620839818045109E-3</v>
      </c>
    </row>
    <row r="3412" spans="1:6" x14ac:dyDescent="0.3">
      <c r="A3412" s="24">
        <v>38290</v>
      </c>
      <c r="B3412" s="66">
        <v>476.58699999999999</v>
      </c>
      <c r="C3412" s="67"/>
      <c r="D3412" s="68">
        <v>0</v>
      </c>
      <c r="E3412" s="110">
        <f t="shared" si="54"/>
        <v>37193</v>
      </c>
      <c r="F3412" s="69">
        <v>5.620839818045109E-3</v>
      </c>
    </row>
    <row r="3413" spans="1:6" x14ac:dyDescent="0.3">
      <c r="A3413" s="24">
        <v>38291</v>
      </c>
      <c r="B3413" s="66">
        <v>476.58699999999999</v>
      </c>
      <c r="C3413" s="67"/>
      <c r="D3413" s="68">
        <v>0</v>
      </c>
      <c r="E3413" s="110">
        <f t="shared" si="54"/>
        <v>37193</v>
      </c>
      <c r="F3413" s="69">
        <v>5.620839818045109E-3</v>
      </c>
    </row>
    <row r="3414" spans="1:6" x14ac:dyDescent="0.3">
      <c r="A3414" s="24">
        <v>38292</v>
      </c>
      <c r="B3414" s="66">
        <v>476.58699999999999</v>
      </c>
      <c r="C3414" s="67"/>
      <c r="D3414" s="68">
        <v>0</v>
      </c>
      <c r="E3414" s="110">
        <f t="shared" si="54"/>
        <v>37193</v>
      </c>
      <c r="F3414" s="69">
        <v>5.620839818045109E-3</v>
      </c>
    </row>
    <row r="3415" spans="1:6" x14ac:dyDescent="0.3">
      <c r="A3415" s="24">
        <v>38293</v>
      </c>
      <c r="B3415" s="66">
        <v>476.58699999999999</v>
      </c>
      <c r="C3415" s="67"/>
      <c r="D3415" s="68">
        <v>0</v>
      </c>
      <c r="E3415" s="110">
        <f t="shared" si="54"/>
        <v>37193</v>
      </c>
      <c r="F3415" s="69">
        <v>5.620839818045109E-3</v>
      </c>
    </row>
    <row r="3416" spans="1:6" x14ac:dyDescent="0.3">
      <c r="A3416" s="24">
        <v>38294</v>
      </c>
      <c r="B3416" s="66">
        <v>476.58699999999999</v>
      </c>
      <c r="C3416" s="67"/>
      <c r="D3416" s="68">
        <v>0</v>
      </c>
      <c r="E3416" s="110">
        <f t="shared" si="54"/>
        <v>37193</v>
      </c>
      <c r="F3416" s="69">
        <v>5.620839818045109E-3</v>
      </c>
    </row>
    <row r="3417" spans="1:6" x14ac:dyDescent="0.3">
      <c r="A3417" s="24">
        <v>38295</v>
      </c>
      <c r="B3417" s="66">
        <v>476.58699999999999</v>
      </c>
      <c r="C3417" s="67"/>
      <c r="D3417" s="68">
        <v>0</v>
      </c>
      <c r="E3417" s="110">
        <f t="shared" si="54"/>
        <v>37193</v>
      </c>
      <c r="F3417" s="69">
        <v>5.620839818045109E-3</v>
      </c>
    </row>
    <row r="3418" spans="1:6" x14ac:dyDescent="0.3">
      <c r="A3418" s="24">
        <v>38296</v>
      </c>
      <c r="B3418" s="66">
        <v>476.58699999999999</v>
      </c>
      <c r="C3418" s="67"/>
      <c r="D3418" s="68">
        <v>0</v>
      </c>
      <c r="E3418" s="110">
        <f t="shared" si="54"/>
        <v>37193</v>
      </c>
      <c r="F3418" s="69">
        <v>5.620839818045109E-3</v>
      </c>
    </row>
    <row r="3419" spans="1:6" x14ac:dyDescent="0.3">
      <c r="A3419" s="24">
        <v>38297</v>
      </c>
      <c r="B3419" s="66">
        <v>476.58699999999999</v>
      </c>
      <c r="C3419" s="67"/>
      <c r="D3419" s="68">
        <v>0</v>
      </c>
      <c r="E3419" s="110">
        <f t="shared" si="54"/>
        <v>37193</v>
      </c>
      <c r="F3419" s="69">
        <v>5.620839818045109E-3</v>
      </c>
    </row>
    <row r="3420" spans="1:6" x14ac:dyDescent="0.3">
      <c r="A3420" s="24">
        <v>38298</v>
      </c>
      <c r="B3420" s="66">
        <v>476.58699999999999</v>
      </c>
      <c r="C3420" s="67"/>
      <c r="D3420" s="68">
        <v>0</v>
      </c>
      <c r="E3420" s="110">
        <f t="shared" si="54"/>
        <v>37193</v>
      </c>
      <c r="F3420" s="69">
        <v>5.620839818045109E-3</v>
      </c>
    </row>
    <row r="3421" spans="1:6" x14ac:dyDescent="0.3">
      <c r="A3421" s="24">
        <v>38299</v>
      </c>
      <c r="B3421" s="66">
        <v>476.58699999999999</v>
      </c>
      <c r="C3421" s="67"/>
      <c r="D3421" s="68">
        <v>0</v>
      </c>
      <c r="E3421" s="110">
        <f t="shared" si="54"/>
        <v>37193</v>
      </c>
      <c r="F3421" s="69">
        <v>5.620839818045109E-3</v>
      </c>
    </row>
    <row r="3422" spans="1:6" x14ac:dyDescent="0.3">
      <c r="A3422" s="24">
        <v>38300</v>
      </c>
      <c r="B3422" s="66">
        <v>476.58699999999999</v>
      </c>
      <c r="C3422" s="67"/>
      <c r="D3422" s="68">
        <v>0</v>
      </c>
      <c r="E3422" s="110">
        <f t="shared" si="54"/>
        <v>37193</v>
      </c>
      <c r="F3422" s="69">
        <v>5.620839818045109E-3</v>
      </c>
    </row>
    <row r="3423" spans="1:6" x14ac:dyDescent="0.3">
      <c r="A3423" s="24">
        <v>38301</v>
      </c>
      <c r="B3423" s="66">
        <v>476.58699999999999</v>
      </c>
      <c r="C3423" s="67"/>
      <c r="D3423" s="68">
        <v>0</v>
      </c>
      <c r="E3423" s="110">
        <f t="shared" si="54"/>
        <v>37193</v>
      </c>
      <c r="F3423" s="69">
        <v>5.620839818045109E-3</v>
      </c>
    </row>
    <row r="3424" spans="1:6" x14ac:dyDescent="0.3">
      <c r="A3424" s="24">
        <v>38302</v>
      </c>
      <c r="B3424" s="66">
        <v>476.58699999999999</v>
      </c>
      <c r="C3424" s="67"/>
      <c r="D3424" s="68">
        <v>0</v>
      </c>
      <c r="E3424" s="110">
        <f t="shared" si="54"/>
        <v>37193</v>
      </c>
      <c r="F3424" s="69">
        <v>5.620839818045109E-3</v>
      </c>
    </row>
    <row r="3425" spans="1:6" x14ac:dyDescent="0.3">
      <c r="A3425" s="24">
        <v>38303</v>
      </c>
      <c r="B3425" s="66">
        <v>476.58699999999999</v>
      </c>
      <c r="C3425" s="67"/>
      <c r="D3425" s="68">
        <v>0</v>
      </c>
      <c r="E3425" s="110">
        <f t="shared" si="54"/>
        <v>37193</v>
      </c>
      <c r="F3425" s="69">
        <v>5.620839818045109E-3</v>
      </c>
    </row>
    <row r="3426" spans="1:6" x14ac:dyDescent="0.3">
      <c r="A3426" s="24">
        <v>38304</v>
      </c>
      <c r="B3426" s="66">
        <v>476.58699999999999</v>
      </c>
      <c r="C3426" s="67"/>
      <c r="D3426" s="68">
        <v>0</v>
      </c>
      <c r="E3426" s="110">
        <f t="shared" si="54"/>
        <v>37193</v>
      </c>
      <c r="F3426" s="69">
        <v>5.620839818045109E-3</v>
      </c>
    </row>
    <row r="3427" spans="1:6" x14ac:dyDescent="0.3">
      <c r="A3427" s="24">
        <v>38305</v>
      </c>
      <c r="B3427" s="66">
        <v>476.58699999999999</v>
      </c>
      <c r="C3427" s="67"/>
      <c r="D3427" s="68">
        <v>0</v>
      </c>
      <c r="E3427" s="110">
        <f t="shared" si="54"/>
        <v>37193</v>
      </c>
      <c r="F3427" s="69">
        <v>5.620839818045109E-3</v>
      </c>
    </row>
    <row r="3428" spans="1:6" x14ac:dyDescent="0.3">
      <c r="A3428" s="24">
        <v>38306</v>
      </c>
      <c r="B3428" s="66">
        <v>476.58699999999999</v>
      </c>
      <c r="C3428" s="67"/>
      <c r="D3428" s="68">
        <v>0</v>
      </c>
      <c r="E3428" s="110">
        <f t="shared" si="54"/>
        <v>37193</v>
      </c>
      <c r="F3428" s="69">
        <v>5.620839818045109E-3</v>
      </c>
    </row>
    <row r="3429" spans="1:6" x14ac:dyDescent="0.3">
      <c r="A3429" s="24">
        <v>38307</v>
      </c>
      <c r="B3429" s="66">
        <v>476.58699999999999</v>
      </c>
      <c r="C3429" s="67"/>
      <c r="D3429" s="68">
        <v>0</v>
      </c>
      <c r="E3429" s="110">
        <f t="shared" si="54"/>
        <v>37193</v>
      </c>
      <c r="F3429" s="69">
        <v>5.620839818045109E-3</v>
      </c>
    </row>
    <row r="3430" spans="1:6" x14ac:dyDescent="0.3">
      <c r="A3430" s="24">
        <v>38308</v>
      </c>
      <c r="B3430" s="66">
        <v>476.58699999999999</v>
      </c>
      <c r="C3430" s="67"/>
      <c r="D3430" s="68">
        <v>0</v>
      </c>
      <c r="E3430" s="110">
        <f t="shared" si="54"/>
        <v>37193</v>
      </c>
      <c r="F3430" s="69">
        <v>5.620839818045109E-3</v>
      </c>
    </row>
    <row r="3431" spans="1:6" x14ac:dyDescent="0.3">
      <c r="A3431" s="24">
        <v>38309</v>
      </c>
      <c r="B3431" s="66">
        <v>476.58699999999999</v>
      </c>
      <c r="C3431" s="67"/>
      <c r="D3431" s="68">
        <v>0</v>
      </c>
      <c r="E3431" s="110">
        <f t="shared" si="54"/>
        <v>37193</v>
      </c>
      <c r="F3431" s="69">
        <v>5.620839818045109E-3</v>
      </c>
    </row>
    <row r="3432" spans="1:6" x14ac:dyDescent="0.3">
      <c r="A3432" s="24">
        <v>38310</v>
      </c>
      <c r="B3432" s="66">
        <v>476.58699999999999</v>
      </c>
      <c r="C3432" s="67"/>
      <c r="D3432" s="68">
        <v>0</v>
      </c>
      <c r="E3432" s="110">
        <f t="shared" si="54"/>
        <v>37193</v>
      </c>
      <c r="F3432" s="69">
        <v>5.620839818045109E-3</v>
      </c>
    </row>
    <row r="3433" spans="1:6" x14ac:dyDescent="0.3">
      <c r="A3433" s="24">
        <v>38311</v>
      </c>
      <c r="B3433" s="66">
        <v>476.58699999999999</v>
      </c>
      <c r="C3433" s="67"/>
      <c r="D3433" s="68">
        <v>0</v>
      </c>
      <c r="E3433" s="110">
        <f t="shared" si="54"/>
        <v>37193</v>
      </c>
      <c r="F3433" s="69">
        <v>5.620839818045109E-3</v>
      </c>
    </row>
    <row r="3434" spans="1:6" x14ac:dyDescent="0.3">
      <c r="A3434" s="24">
        <v>38312</v>
      </c>
      <c r="B3434" s="66">
        <v>476.58699999999999</v>
      </c>
      <c r="C3434" s="67"/>
      <c r="D3434" s="68">
        <v>0</v>
      </c>
      <c r="E3434" s="110">
        <f t="shared" si="54"/>
        <v>37193</v>
      </c>
      <c r="F3434" s="69">
        <v>5.620839818045109E-3</v>
      </c>
    </row>
    <row r="3435" spans="1:6" x14ac:dyDescent="0.3">
      <c r="A3435" s="24">
        <v>38313</v>
      </c>
      <c r="B3435" s="66">
        <v>476.58699999999999</v>
      </c>
      <c r="C3435" s="67"/>
      <c r="D3435" s="68">
        <v>0</v>
      </c>
      <c r="E3435" s="110">
        <f t="shared" si="54"/>
        <v>37193</v>
      </c>
      <c r="F3435" s="69">
        <v>5.620839818045109E-3</v>
      </c>
    </row>
    <row r="3436" spans="1:6" x14ac:dyDescent="0.3">
      <c r="A3436" s="24">
        <v>38314</v>
      </c>
      <c r="B3436" s="66">
        <v>476.58699999999999</v>
      </c>
      <c r="C3436" s="67"/>
      <c r="D3436" s="68">
        <v>0</v>
      </c>
      <c r="E3436" s="110">
        <f t="shared" si="54"/>
        <v>37193</v>
      </c>
      <c r="F3436" s="69">
        <v>5.620839818045109E-3</v>
      </c>
    </row>
    <row r="3437" spans="1:6" x14ac:dyDescent="0.3">
      <c r="A3437" s="24">
        <v>38315</v>
      </c>
      <c r="B3437" s="66">
        <v>476.58699999999999</v>
      </c>
      <c r="C3437" s="67"/>
      <c r="D3437" s="68">
        <v>0</v>
      </c>
      <c r="E3437" s="110">
        <f t="shared" si="54"/>
        <v>37193</v>
      </c>
      <c r="F3437" s="69">
        <v>5.620839818045109E-3</v>
      </c>
    </row>
    <row r="3438" spans="1:6" x14ac:dyDescent="0.3">
      <c r="A3438" s="24">
        <v>38316</v>
      </c>
      <c r="B3438" s="66">
        <v>476.58699999999999</v>
      </c>
      <c r="C3438" s="67"/>
      <c r="D3438" s="68">
        <v>0</v>
      </c>
      <c r="E3438" s="110">
        <f t="shared" si="54"/>
        <v>37193</v>
      </c>
      <c r="F3438" s="69">
        <v>5.620839818045109E-3</v>
      </c>
    </row>
    <row r="3439" spans="1:6" x14ac:dyDescent="0.3">
      <c r="A3439" s="24">
        <v>38317</v>
      </c>
      <c r="B3439" s="66">
        <v>476.58699999999999</v>
      </c>
      <c r="C3439" s="67"/>
      <c r="D3439" s="68">
        <v>0</v>
      </c>
      <c r="E3439" s="110">
        <f t="shared" si="54"/>
        <v>37193</v>
      </c>
      <c r="F3439" s="69">
        <v>5.620839818045109E-3</v>
      </c>
    </row>
    <row r="3440" spans="1:6" x14ac:dyDescent="0.3">
      <c r="A3440" s="24">
        <v>38318</v>
      </c>
      <c r="B3440" s="66">
        <v>476.58699999999999</v>
      </c>
      <c r="C3440" s="67"/>
      <c r="D3440" s="68">
        <v>0</v>
      </c>
      <c r="E3440" s="110">
        <f t="shared" si="54"/>
        <v>37193</v>
      </c>
      <c r="F3440" s="69">
        <v>5.620839818045109E-3</v>
      </c>
    </row>
    <row r="3441" spans="1:6" x14ac:dyDescent="0.3">
      <c r="A3441" s="24">
        <v>38319</v>
      </c>
      <c r="B3441" s="66">
        <v>476.58699999999999</v>
      </c>
      <c r="C3441" s="67"/>
      <c r="D3441" s="68">
        <v>0</v>
      </c>
      <c r="E3441" s="110">
        <f t="shared" si="54"/>
        <v>37193</v>
      </c>
      <c r="F3441" s="69">
        <v>5.620839818045109E-3</v>
      </c>
    </row>
    <row r="3442" spans="1:6" x14ac:dyDescent="0.3">
      <c r="A3442" s="24">
        <v>38320</v>
      </c>
      <c r="B3442" s="66">
        <v>476.58699999999999</v>
      </c>
      <c r="C3442" s="67"/>
      <c r="D3442" s="68">
        <v>0</v>
      </c>
      <c r="E3442" s="110">
        <f t="shared" si="54"/>
        <v>37193</v>
      </c>
      <c r="F3442" s="69">
        <v>5.620839818045109E-3</v>
      </c>
    </row>
    <row r="3443" spans="1:6" x14ac:dyDescent="0.3">
      <c r="A3443" s="24">
        <v>38321</v>
      </c>
      <c r="B3443" s="66">
        <v>476.58699999999999</v>
      </c>
      <c r="C3443" s="67"/>
      <c r="D3443" s="68">
        <v>0</v>
      </c>
      <c r="E3443" s="110">
        <f t="shared" si="54"/>
        <v>37193</v>
      </c>
      <c r="F3443" s="69">
        <v>5.620839818045109E-3</v>
      </c>
    </row>
    <row r="3444" spans="1:6" x14ac:dyDescent="0.3">
      <c r="A3444" s="24">
        <v>38322</v>
      </c>
      <c r="B3444" s="66">
        <v>476.58699999999999</v>
      </c>
      <c r="C3444" s="67"/>
      <c r="D3444" s="68">
        <v>0</v>
      </c>
      <c r="E3444" s="110">
        <f t="shared" si="54"/>
        <v>37193</v>
      </c>
      <c r="F3444" s="69">
        <v>5.620839818045109E-3</v>
      </c>
    </row>
    <row r="3445" spans="1:6" x14ac:dyDescent="0.3">
      <c r="A3445" s="24">
        <v>38323</v>
      </c>
      <c r="B3445" s="66">
        <v>476.58699999999999</v>
      </c>
      <c r="C3445" s="67"/>
      <c r="D3445" s="68">
        <v>0</v>
      </c>
      <c r="E3445" s="110">
        <f t="shared" si="54"/>
        <v>37193</v>
      </c>
      <c r="F3445" s="69">
        <v>5.620839818045109E-3</v>
      </c>
    </row>
    <row r="3446" spans="1:6" x14ac:dyDescent="0.3">
      <c r="A3446" s="24">
        <v>38324</v>
      </c>
      <c r="B3446" s="66">
        <v>476.58699999999999</v>
      </c>
      <c r="C3446" s="67"/>
      <c r="D3446" s="68">
        <v>0</v>
      </c>
      <c r="E3446" s="110">
        <f t="shared" si="54"/>
        <v>37193</v>
      </c>
      <c r="F3446" s="69">
        <v>5.620839818045109E-3</v>
      </c>
    </row>
    <row r="3447" spans="1:6" x14ac:dyDescent="0.3">
      <c r="A3447" s="24">
        <v>38325</v>
      </c>
      <c r="B3447" s="66">
        <v>476.58699999999999</v>
      </c>
      <c r="C3447" s="67"/>
      <c r="D3447" s="68">
        <v>0</v>
      </c>
      <c r="E3447" s="110">
        <f t="shared" si="54"/>
        <v>37193</v>
      </c>
      <c r="F3447" s="69">
        <v>5.620839818045109E-3</v>
      </c>
    </row>
    <row r="3448" spans="1:6" x14ac:dyDescent="0.3">
      <c r="A3448" s="24">
        <v>38326</v>
      </c>
      <c r="B3448" s="66">
        <v>476.58699999999999</v>
      </c>
      <c r="C3448" s="67"/>
      <c r="D3448" s="68">
        <v>0</v>
      </c>
      <c r="E3448" s="110">
        <f t="shared" si="54"/>
        <v>37193</v>
      </c>
      <c r="F3448" s="69">
        <v>5.620839818045109E-3</v>
      </c>
    </row>
    <row r="3449" spans="1:6" x14ac:dyDescent="0.3">
      <c r="A3449" s="24">
        <v>38327</v>
      </c>
      <c r="B3449" s="66">
        <v>476.58699999999999</v>
      </c>
      <c r="C3449" s="67"/>
      <c r="D3449" s="68">
        <v>0</v>
      </c>
      <c r="E3449" s="110">
        <f t="shared" si="54"/>
        <v>37193</v>
      </c>
      <c r="F3449" s="69">
        <v>5.620839818045109E-3</v>
      </c>
    </row>
    <row r="3450" spans="1:6" x14ac:dyDescent="0.3">
      <c r="A3450" s="24">
        <v>38328</v>
      </c>
      <c r="B3450" s="66">
        <v>476.58699999999999</v>
      </c>
      <c r="C3450" s="67"/>
      <c r="D3450" s="68">
        <v>0</v>
      </c>
      <c r="E3450" s="110">
        <f t="shared" si="54"/>
        <v>37193</v>
      </c>
      <c r="F3450" s="69">
        <v>5.620839818045109E-3</v>
      </c>
    </row>
    <row r="3451" spans="1:6" x14ac:dyDescent="0.3">
      <c r="A3451" s="24">
        <v>38329</v>
      </c>
      <c r="B3451" s="66">
        <v>476.58699999999999</v>
      </c>
      <c r="C3451" s="67"/>
      <c r="D3451" s="68">
        <v>0</v>
      </c>
      <c r="E3451" s="110">
        <f t="shared" si="54"/>
        <v>37193</v>
      </c>
      <c r="F3451" s="69">
        <v>5.620839818045109E-3</v>
      </c>
    </row>
    <row r="3452" spans="1:6" x14ac:dyDescent="0.3">
      <c r="A3452" s="24">
        <v>38330</v>
      </c>
      <c r="B3452" s="66">
        <v>476.58699999999999</v>
      </c>
      <c r="C3452" s="67"/>
      <c r="D3452" s="68">
        <v>0</v>
      </c>
      <c r="E3452" s="110">
        <f t="shared" si="54"/>
        <v>37193</v>
      </c>
      <c r="F3452" s="69">
        <v>5.620839818045109E-3</v>
      </c>
    </row>
    <row r="3453" spans="1:6" x14ac:dyDescent="0.3">
      <c r="A3453" s="24">
        <v>38331</v>
      </c>
      <c r="B3453" s="66">
        <v>476.58699999999999</v>
      </c>
      <c r="C3453" s="67"/>
      <c r="D3453" s="68">
        <v>0</v>
      </c>
      <c r="E3453" s="110">
        <f t="shared" si="54"/>
        <v>37193</v>
      </c>
      <c r="F3453" s="69">
        <v>5.620839818045109E-3</v>
      </c>
    </row>
    <row r="3454" spans="1:6" x14ac:dyDescent="0.3">
      <c r="A3454" s="24">
        <v>38332</v>
      </c>
      <c r="B3454" s="66">
        <v>476.58699999999999</v>
      </c>
      <c r="C3454" s="67"/>
      <c r="D3454" s="68">
        <v>0</v>
      </c>
      <c r="E3454" s="110">
        <f t="shared" si="54"/>
        <v>37193</v>
      </c>
      <c r="F3454" s="69">
        <v>5.620839818045109E-3</v>
      </c>
    </row>
    <row r="3455" spans="1:6" x14ac:dyDescent="0.3">
      <c r="A3455" s="24">
        <v>38333</v>
      </c>
      <c r="B3455" s="66">
        <v>476.58699999999999</v>
      </c>
      <c r="C3455" s="67"/>
      <c r="D3455" s="68">
        <v>0</v>
      </c>
      <c r="E3455" s="110">
        <f t="shared" si="54"/>
        <v>37193</v>
      </c>
      <c r="F3455" s="69">
        <v>5.620839818045109E-3</v>
      </c>
    </row>
    <row r="3456" spans="1:6" x14ac:dyDescent="0.3">
      <c r="A3456" s="24">
        <v>38334</v>
      </c>
      <c r="B3456" s="66">
        <v>476.58699999999999</v>
      </c>
      <c r="C3456" s="67"/>
      <c r="D3456" s="68">
        <v>0</v>
      </c>
      <c r="E3456" s="110">
        <f t="shared" si="54"/>
        <v>37193</v>
      </c>
      <c r="F3456" s="69">
        <v>5.620839818045109E-3</v>
      </c>
    </row>
    <row r="3457" spans="1:6" x14ac:dyDescent="0.3">
      <c r="A3457" s="24">
        <v>38335</v>
      </c>
      <c r="B3457" s="66">
        <v>476.58699999999999</v>
      </c>
      <c r="C3457" s="67"/>
      <c r="D3457" s="68">
        <v>0</v>
      </c>
      <c r="E3457" s="110">
        <f t="shared" si="54"/>
        <v>37193</v>
      </c>
      <c r="F3457" s="69">
        <v>5.620839818045109E-3</v>
      </c>
    </row>
    <row r="3458" spans="1:6" x14ac:dyDescent="0.3">
      <c r="A3458" s="24">
        <v>38336</v>
      </c>
      <c r="B3458" s="66">
        <v>476.58699999999999</v>
      </c>
      <c r="C3458" s="67"/>
      <c r="D3458" s="68">
        <v>0</v>
      </c>
      <c r="E3458" s="110">
        <f t="shared" si="54"/>
        <v>37193</v>
      </c>
      <c r="F3458" s="69">
        <v>5.620839818045109E-3</v>
      </c>
    </row>
    <row r="3459" spans="1:6" x14ac:dyDescent="0.3">
      <c r="A3459" s="24">
        <v>38337</v>
      </c>
      <c r="B3459" s="66">
        <v>476.58699999999999</v>
      </c>
      <c r="C3459" s="67"/>
      <c r="D3459" s="68">
        <v>0</v>
      </c>
      <c r="E3459" s="110">
        <f t="shared" si="54"/>
        <v>37193</v>
      </c>
      <c r="F3459" s="69">
        <v>5.620839818045109E-3</v>
      </c>
    </row>
    <row r="3460" spans="1:6" x14ac:dyDescent="0.3">
      <c r="A3460" s="24">
        <v>38338</v>
      </c>
      <c r="B3460" s="66">
        <v>476.58699999999999</v>
      </c>
      <c r="C3460" s="67"/>
      <c r="D3460" s="68">
        <v>0</v>
      </c>
      <c r="E3460" s="110">
        <f t="shared" si="54"/>
        <v>37193</v>
      </c>
      <c r="F3460" s="69">
        <v>5.620839818045109E-3</v>
      </c>
    </row>
    <row r="3461" spans="1:6" x14ac:dyDescent="0.3">
      <c r="A3461" s="24">
        <v>38339</v>
      </c>
      <c r="B3461" s="66">
        <v>476.58699999999999</v>
      </c>
      <c r="C3461" s="67"/>
      <c r="D3461" s="68">
        <v>0</v>
      </c>
      <c r="E3461" s="110">
        <f t="shared" si="54"/>
        <v>37193</v>
      </c>
      <c r="F3461" s="69">
        <v>5.620839818045109E-3</v>
      </c>
    </row>
    <row r="3462" spans="1:6" x14ac:dyDescent="0.3">
      <c r="A3462" s="24">
        <v>38340</v>
      </c>
      <c r="B3462" s="66">
        <v>476.58699999999999</v>
      </c>
      <c r="C3462" s="67"/>
      <c r="D3462" s="68">
        <v>0</v>
      </c>
      <c r="E3462" s="110">
        <f t="shared" si="54"/>
        <v>37193</v>
      </c>
      <c r="F3462" s="69">
        <v>5.620839818045109E-3</v>
      </c>
    </row>
    <row r="3463" spans="1:6" x14ac:dyDescent="0.3">
      <c r="A3463" s="24">
        <v>38341</v>
      </c>
      <c r="B3463" s="66">
        <v>476.58699999999999</v>
      </c>
      <c r="C3463" s="67"/>
      <c r="D3463" s="68">
        <v>0</v>
      </c>
      <c r="E3463" s="110">
        <f t="shared" si="54"/>
        <v>37193</v>
      </c>
      <c r="F3463" s="69">
        <v>5.620839818045109E-3</v>
      </c>
    </row>
    <row r="3464" spans="1:6" x14ac:dyDescent="0.3">
      <c r="A3464" s="24">
        <v>38342</v>
      </c>
      <c r="B3464" s="66">
        <v>476.58699999999999</v>
      </c>
      <c r="C3464" s="67"/>
      <c r="D3464" s="68">
        <v>0</v>
      </c>
      <c r="E3464" s="110">
        <f t="shared" si="54"/>
        <v>37193</v>
      </c>
      <c r="F3464" s="69">
        <v>5.620839818045109E-3</v>
      </c>
    </row>
    <row r="3465" spans="1:6" x14ac:dyDescent="0.3">
      <c r="A3465" s="24">
        <v>38343</v>
      </c>
      <c r="B3465" s="66">
        <v>476.58699999999999</v>
      </c>
      <c r="C3465" s="67"/>
      <c r="D3465" s="68">
        <v>0</v>
      </c>
      <c r="E3465" s="110">
        <f t="shared" si="54"/>
        <v>37193</v>
      </c>
      <c r="F3465" s="69">
        <v>5.620839818045109E-3</v>
      </c>
    </row>
    <row r="3466" spans="1:6" x14ac:dyDescent="0.3">
      <c r="A3466" s="24">
        <v>38344</v>
      </c>
      <c r="B3466" s="66">
        <v>476.58699999999999</v>
      </c>
      <c r="C3466" s="67"/>
      <c r="D3466" s="68">
        <v>0</v>
      </c>
      <c r="E3466" s="110">
        <f t="shared" si="54"/>
        <v>37193</v>
      </c>
      <c r="F3466" s="69">
        <v>5.620839818045109E-3</v>
      </c>
    </row>
    <row r="3467" spans="1:6" x14ac:dyDescent="0.3">
      <c r="A3467" s="24">
        <v>38345</v>
      </c>
      <c r="B3467" s="66">
        <v>476.58699999999999</v>
      </c>
      <c r="C3467" s="67"/>
      <c r="D3467" s="68">
        <v>0</v>
      </c>
      <c r="E3467" s="110">
        <f t="shared" si="54"/>
        <v>37193</v>
      </c>
      <c r="F3467" s="69">
        <v>5.620839818045109E-3</v>
      </c>
    </row>
    <row r="3468" spans="1:6" x14ac:dyDescent="0.3">
      <c r="A3468" s="24">
        <v>38346</v>
      </c>
      <c r="B3468" s="66">
        <v>476.58699999999999</v>
      </c>
      <c r="C3468" s="67"/>
      <c r="D3468" s="68">
        <v>0</v>
      </c>
      <c r="E3468" s="110">
        <f t="shared" si="54"/>
        <v>37193</v>
      </c>
      <c r="F3468" s="69">
        <v>5.620839818045109E-3</v>
      </c>
    </row>
    <row r="3469" spans="1:6" x14ac:dyDescent="0.3">
      <c r="A3469" s="24">
        <v>38347</v>
      </c>
      <c r="B3469" s="66">
        <v>476.58699999999999</v>
      </c>
      <c r="C3469" s="67"/>
      <c r="D3469" s="68">
        <v>0</v>
      </c>
      <c r="E3469" s="110">
        <f t="shared" si="54"/>
        <v>37193</v>
      </c>
      <c r="F3469" s="69">
        <v>5.620839818045109E-3</v>
      </c>
    </row>
    <row r="3470" spans="1:6" x14ac:dyDescent="0.3">
      <c r="A3470" s="24">
        <v>38348</v>
      </c>
      <c r="B3470" s="66">
        <v>476.58699999999999</v>
      </c>
      <c r="C3470" s="67"/>
      <c r="D3470" s="68">
        <v>0</v>
      </c>
      <c r="E3470" s="110">
        <f t="shared" si="54"/>
        <v>37193</v>
      </c>
      <c r="F3470" s="69">
        <v>5.620839818045109E-3</v>
      </c>
    </row>
    <row r="3471" spans="1:6" x14ac:dyDescent="0.3">
      <c r="A3471" s="24">
        <v>38349</v>
      </c>
      <c r="B3471" s="66">
        <v>476.58699999999999</v>
      </c>
      <c r="C3471" s="67"/>
      <c r="D3471" s="68">
        <v>0</v>
      </c>
      <c r="E3471" s="110">
        <f t="shared" si="54"/>
        <v>37193</v>
      </c>
      <c r="F3471" s="69">
        <v>5.620839818045109E-3</v>
      </c>
    </row>
    <row r="3472" spans="1:6" x14ac:dyDescent="0.3">
      <c r="A3472" s="24">
        <v>38350</v>
      </c>
      <c r="B3472" s="66">
        <v>476.58699999999999</v>
      </c>
      <c r="C3472" s="67"/>
      <c r="D3472" s="68">
        <v>0</v>
      </c>
      <c r="E3472" s="110">
        <f t="shared" si="54"/>
        <v>37193</v>
      </c>
      <c r="F3472" s="69">
        <v>5.8036281262263548E-3</v>
      </c>
    </row>
    <row r="3473" spans="1:6" x14ac:dyDescent="0.3">
      <c r="A3473" s="24">
        <v>38351</v>
      </c>
      <c r="B3473" s="66">
        <v>476.58699999999999</v>
      </c>
      <c r="C3473" s="67"/>
      <c r="D3473" s="68">
        <v>0</v>
      </c>
      <c r="E3473" s="110">
        <f t="shared" si="54"/>
        <v>37193</v>
      </c>
      <c r="F3473" s="69">
        <v>5.8036281262263548E-3</v>
      </c>
    </row>
    <row r="3474" spans="1:6" x14ac:dyDescent="0.3">
      <c r="A3474" s="24">
        <v>38352</v>
      </c>
      <c r="B3474" s="66">
        <v>485.459</v>
      </c>
      <c r="C3474" s="67"/>
      <c r="D3474" s="68">
        <v>0</v>
      </c>
      <c r="E3474" s="110">
        <f t="shared" ref="E3474:E3537" si="55">+E3473</f>
        <v>37193</v>
      </c>
      <c r="F3474" s="69">
        <v>5.8036281262263548E-3</v>
      </c>
    </row>
    <row r="3475" spans="1:6" x14ac:dyDescent="0.3">
      <c r="A3475" s="24">
        <v>38353</v>
      </c>
      <c r="B3475" s="66">
        <v>485.459</v>
      </c>
      <c r="C3475" s="67"/>
      <c r="D3475" s="68">
        <v>0</v>
      </c>
      <c r="E3475" s="110">
        <f t="shared" si="55"/>
        <v>37193</v>
      </c>
      <c r="F3475" s="69">
        <v>5.8036281262263548E-3</v>
      </c>
    </row>
    <row r="3476" spans="1:6" x14ac:dyDescent="0.3">
      <c r="A3476" s="24">
        <v>38354</v>
      </c>
      <c r="B3476" s="66">
        <v>485.459</v>
      </c>
      <c r="C3476" s="67"/>
      <c r="D3476" s="68">
        <v>0</v>
      </c>
      <c r="E3476" s="110">
        <f t="shared" si="55"/>
        <v>37193</v>
      </c>
      <c r="F3476" s="69">
        <v>5.8036281262263548E-3</v>
      </c>
    </row>
    <row r="3477" spans="1:6" x14ac:dyDescent="0.3">
      <c r="A3477" s="24">
        <v>38355</v>
      </c>
      <c r="B3477" s="66">
        <v>485.459</v>
      </c>
      <c r="C3477" s="67"/>
      <c r="D3477" s="68">
        <v>0</v>
      </c>
      <c r="E3477" s="110">
        <f t="shared" si="55"/>
        <v>37193</v>
      </c>
      <c r="F3477" s="69">
        <v>5.8036281262263548E-3</v>
      </c>
    </row>
    <row r="3478" spans="1:6" x14ac:dyDescent="0.3">
      <c r="A3478" s="24">
        <v>38356</v>
      </c>
      <c r="B3478" s="66">
        <v>485.459</v>
      </c>
      <c r="C3478" s="67"/>
      <c r="D3478" s="68">
        <v>0</v>
      </c>
      <c r="E3478" s="110">
        <f t="shared" si="55"/>
        <v>37193</v>
      </c>
      <c r="F3478" s="69">
        <v>5.8036281262263548E-3</v>
      </c>
    </row>
    <row r="3479" spans="1:6" x14ac:dyDescent="0.3">
      <c r="A3479" s="24">
        <v>38357</v>
      </c>
      <c r="B3479" s="66">
        <v>485.459</v>
      </c>
      <c r="C3479" s="67"/>
      <c r="D3479" s="68">
        <v>0</v>
      </c>
      <c r="E3479" s="110">
        <f t="shared" si="55"/>
        <v>37193</v>
      </c>
      <c r="F3479" s="69">
        <v>5.8036281262263548E-3</v>
      </c>
    </row>
    <row r="3480" spans="1:6" x14ac:dyDescent="0.3">
      <c r="A3480" s="24">
        <v>38358</v>
      </c>
      <c r="B3480" s="66">
        <v>485.459</v>
      </c>
      <c r="C3480" s="67"/>
      <c r="D3480" s="68">
        <v>0</v>
      </c>
      <c r="E3480" s="110">
        <f t="shared" si="55"/>
        <v>37193</v>
      </c>
      <c r="F3480" s="69">
        <v>5.8036281262263548E-3</v>
      </c>
    </row>
    <row r="3481" spans="1:6" x14ac:dyDescent="0.3">
      <c r="A3481" s="24">
        <v>38359</v>
      </c>
      <c r="B3481" s="66">
        <v>485.459</v>
      </c>
      <c r="C3481" s="67"/>
      <c r="D3481" s="68">
        <v>0</v>
      </c>
      <c r="E3481" s="110">
        <f t="shared" si="55"/>
        <v>37193</v>
      </c>
      <c r="F3481" s="69">
        <v>5.8036281262263548E-3</v>
      </c>
    </row>
    <row r="3482" spans="1:6" x14ac:dyDescent="0.3">
      <c r="A3482" s="24">
        <v>38360</v>
      </c>
      <c r="B3482" s="66">
        <v>485.459</v>
      </c>
      <c r="C3482" s="67"/>
      <c r="D3482" s="68">
        <v>0</v>
      </c>
      <c r="E3482" s="110">
        <f t="shared" si="55"/>
        <v>37193</v>
      </c>
      <c r="F3482" s="69">
        <v>5.8036281262263548E-3</v>
      </c>
    </row>
    <row r="3483" spans="1:6" x14ac:dyDescent="0.3">
      <c r="A3483" s="24">
        <v>38361</v>
      </c>
      <c r="B3483" s="66">
        <v>485.459</v>
      </c>
      <c r="C3483" s="67"/>
      <c r="D3483" s="68">
        <v>0</v>
      </c>
      <c r="E3483" s="110">
        <f t="shared" si="55"/>
        <v>37193</v>
      </c>
      <c r="F3483" s="69">
        <v>5.8036281262263548E-3</v>
      </c>
    </row>
    <row r="3484" spans="1:6" x14ac:dyDescent="0.3">
      <c r="A3484" s="24">
        <v>38362</v>
      </c>
      <c r="B3484" s="66">
        <v>485.459</v>
      </c>
      <c r="C3484" s="67"/>
      <c r="D3484" s="68">
        <v>0</v>
      </c>
      <c r="E3484" s="110">
        <f t="shared" si="55"/>
        <v>37193</v>
      </c>
      <c r="F3484" s="69">
        <v>5.8036281262263548E-3</v>
      </c>
    </row>
    <row r="3485" spans="1:6" x14ac:dyDescent="0.3">
      <c r="A3485" s="24">
        <v>38363</v>
      </c>
      <c r="B3485" s="66">
        <v>485.459</v>
      </c>
      <c r="C3485" s="67"/>
      <c r="D3485" s="68">
        <v>0</v>
      </c>
      <c r="E3485" s="110">
        <f t="shared" si="55"/>
        <v>37193</v>
      </c>
      <c r="F3485" s="69">
        <v>5.8036281262263548E-3</v>
      </c>
    </row>
    <row r="3486" spans="1:6" x14ac:dyDescent="0.3">
      <c r="A3486" s="24">
        <v>38364</v>
      </c>
      <c r="B3486" s="66">
        <v>485.459</v>
      </c>
      <c r="C3486" s="67"/>
      <c r="D3486" s="68">
        <v>0</v>
      </c>
      <c r="E3486" s="110">
        <f t="shared" si="55"/>
        <v>37193</v>
      </c>
      <c r="F3486" s="69">
        <v>5.8036281262263548E-3</v>
      </c>
    </row>
    <row r="3487" spans="1:6" x14ac:dyDescent="0.3">
      <c r="A3487" s="24">
        <v>38365</v>
      </c>
      <c r="B3487" s="66">
        <v>485.459</v>
      </c>
      <c r="C3487" s="67"/>
      <c r="D3487" s="68">
        <v>0</v>
      </c>
      <c r="E3487" s="110">
        <f t="shared" si="55"/>
        <v>37193</v>
      </c>
      <c r="F3487" s="69">
        <v>5.8036281262263548E-3</v>
      </c>
    </row>
    <row r="3488" spans="1:6" x14ac:dyDescent="0.3">
      <c r="A3488" s="24">
        <v>38366</v>
      </c>
      <c r="B3488" s="66">
        <v>485.459</v>
      </c>
      <c r="C3488" s="67"/>
      <c r="D3488" s="68">
        <v>0</v>
      </c>
      <c r="E3488" s="110">
        <f t="shared" si="55"/>
        <v>37193</v>
      </c>
      <c r="F3488" s="69">
        <v>5.8036281262263548E-3</v>
      </c>
    </row>
    <row r="3489" spans="1:6" x14ac:dyDescent="0.3">
      <c r="A3489" s="24">
        <v>38367</v>
      </c>
      <c r="B3489" s="66">
        <v>485.459</v>
      </c>
      <c r="C3489" s="67"/>
      <c r="D3489" s="68">
        <v>0</v>
      </c>
      <c r="E3489" s="110">
        <f t="shared" si="55"/>
        <v>37193</v>
      </c>
      <c r="F3489" s="69">
        <v>5.8036281262263548E-3</v>
      </c>
    </row>
    <row r="3490" spans="1:6" x14ac:dyDescent="0.3">
      <c r="A3490" s="24">
        <v>38368</v>
      </c>
      <c r="B3490" s="66">
        <v>485.459</v>
      </c>
      <c r="C3490" s="67"/>
      <c r="D3490" s="68">
        <v>0</v>
      </c>
      <c r="E3490" s="110">
        <f t="shared" si="55"/>
        <v>37193</v>
      </c>
      <c r="F3490" s="69">
        <v>5.8036281262263548E-3</v>
      </c>
    </row>
    <row r="3491" spans="1:6" x14ac:dyDescent="0.3">
      <c r="A3491" s="24">
        <v>38369</v>
      </c>
      <c r="B3491" s="66">
        <v>485.459</v>
      </c>
      <c r="C3491" s="67"/>
      <c r="D3491" s="68">
        <v>0</v>
      </c>
      <c r="E3491" s="110">
        <f t="shared" si="55"/>
        <v>37193</v>
      </c>
      <c r="F3491" s="69">
        <v>5.8036281262263548E-3</v>
      </c>
    </row>
    <row r="3492" spans="1:6" x14ac:dyDescent="0.3">
      <c r="A3492" s="24">
        <v>38370</v>
      </c>
      <c r="B3492" s="66">
        <v>485.459</v>
      </c>
      <c r="C3492" s="67"/>
      <c r="D3492" s="68">
        <v>0</v>
      </c>
      <c r="E3492" s="110">
        <f t="shared" si="55"/>
        <v>37193</v>
      </c>
      <c r="F3492" s="69">
        <v>5.8036281262263548E-3</v>
      </c>
    </row>
    <row r="3493" spans="1:6" x14ac:dyDescent="0.3">
      <c r="A3493" s="24">
        <v>38371</v>
      </c>
      <c r="B3493" s="66">
        <v>485.459</v>
      </c>
      <c r="C3493" s="67"/>
      <c r="D3493" s="68">
        <v>0</v>
      </c>
      <c r="E3493" s="110">
        <f t="shared" si="55"/>
        <v>37193</v>
      </c>
      <c r="F3493" s="69">
        <v>5.8036281262263548E-3</v>
      </c>
    </row>
    <row r="3494" spans="1:6" x14ac:dyDescent="0.3">
      <c r="A3494" s="24">
        <v>38372</v>
      </c>
      <c r="B3494" s="66">
        <v>485.459</v>
      </c>
      <c r="C3494" s="67"/>
      <c r="D3494" s="68">
        <v>0</v>
      </c>
      <c r="E3494" s="110">
        <f t="shared" si="55"/>
        <v>37193</v>
      </c>
      <c r="F3494" s="69">
        <v>5.8036281262263548E-3</v>
      </c>
    </row>
    <row r="3495" spans="1:6" x14ac:dyDescent="0.3">
      <c r="A3495" s="24">
        <v>38373</v>
      </c>
      <c r="B3495" s="66">
        <v>485.459</v>
      </c>
      <c r="C3495" s="67"/>
      <c r="D3495" s="68">
        <v>0</v>
      </c>
      <c r="E3495" s="110">
        <f t="shared" si="55"/>
        <v>37193</v>
      </c>
      <c r="F3495" s="69">
        <v>5.8036281262263548E-3</v>
      </c>
    </row>
    <row r="3496" spans="1:6" x14ac:dyDescent="0.3">
      <c r="A3496" s="24">
        <v>38374</v>
      </c>
      <c r="B3496" s="66">
        <v>485.459</v>
      </c>
      <c r="C3496" s="67"/>
      <c r="D3496" s="68">
        <v>0</v>
      </c>
      <c r="E3496" s="110">
        <f t="shared" si="55"/>
        <v>37193</v>
      </c>
      <c r="F3496" s="69">
        <v>5.8036281262263548E-3</v>
      </c>
    </row>
    <row r="3497" spans="1:6" x14ac:dyDescent="0.3">
      <c r="A3497" s="24">
        <v>38375</v>
      </c>
      <c r="B3497" s="66">
        <v>485.459</v>
      </c>
      <c r="C3497" s="67"/>
      <c r="D3497" s="68">
        <v>0</v>
      </c>
      <c r="E3497" s="110">
        <f t="shared" si="55"/>
        <v>37193</v>
      </c>
      <c r="F3497" s="69">
        <v>5.8036281262263548E-3</v>
      </c>
    </row>
    <row r="3498" spans="1:6" x14ac:dyDescent="0.3">
      <c r="A3498" s="24">
        <v>38376</v>
      </c>
      <c r="B3498" s="66">
        <v>485.459</v>
      </c>
      <c r="C3498" s="67"/>
      <c r="D3498" s="68">
        <v>0</v>
      </c>
      <c r="E3498" s="110">
        <f t="shared" si="55"/>
        <v>37193</v>
      </c>
      <c r="F3498" s="69">
        <v>5.8036281262263548E-3</v>
      </c>
    </row>
    <row r="3499" spans="1:6" x14ac:dyDescent="0.3">
      <c r="A3499" s="24">
        <v>38377</v>
      </c>
      <c r="B3499" s="66">
        <v>485.459</v>
      </c>
      <c r="C3499" s="67"/>
      <c r="D3499" s="68">
        <v>0</v>
      </c>
      <c r="E3499" s="110">
        <f t="shared" si="55"/>
        <v>37193</v>
      </c>
      <c r="F3499" s="69">
        <v>5.8036281262263548E-3</v>
      </c>
    </row>
    <row r="3500" spans="1:6" x14ac:dyDescent="0.3">
      <c r="A3500" s="24">
        <v>38378</v>
      </c>
      <c r="B3500" s="66">
        <v>485.459</v>
      </c>
      <c r="C3500" s="67"/>
      <c r="D3500" s="68">
        <v>0</v>
      </c>
      <c r="E3500" s="110">
        <f t="shared" si="55"/>
        <v>37193</v>
      </c>
      <c r="F3500" s="69">
        <v>5.8036281262263548E-3</v>
      </c>
    </row>
    <row r="3501" spans="1:6" x14ac:dyDescent="0.3">
      <c r="A3501" s="24">
        <v>38379</v>
      </c>
      <c r="B3501" s="66">
        <v>485.459</v>
      </c>
      <c r="C3501" s="67"/>
      <c r="D3501" s="68">
        <v>0</v>
      </c>
      <c r="E3501" s="110">
        <f t="shared" si="55"/>
        <v>37193</v>
      </c>
      <c r="F3501" s="69">
        <v>5.8036281262263548E-3</v>
      </c>
    </row>
    <row r="3502" spans="1:6" x14ac:dyDescent="0.3">
      <c r="A3502" s="24">
        <v>38380</v>
      </c>
      <c r="B3502" s="66">
        <v>485.459</v>
      </c>
      <c r="C3502" s="67"/>
      <c r="D3502" s="68">
        <v>0</v>
      </c>
      <c r="E3502" s="110">
        <f t="shared" si="55"/>
        <v>37193</v>
      </c>
      <c r="F3502" s="69">
        <v>5.8036281262263548E-3</v>
      </c>
    </row>
    <row r="3503" spans="1:6" x14ac:dyDescent="0.3">
      <c r="A3503" s="24">
        <v>38381</v>
      </c>
      <c r="B3503" s="66">
        <v>485.459</v>
      </c>
      <c r="C3503" s="67"/>
      <c r="D3503" s="68">
        <v>0</v>
      </c>
      <c r="E3503" s="110">
        <f t="shared" si="55"/>
        <v>37193</v>
      </c>
      <c r="F3503" s="69">
        <v>5.8036281262263548E-3</v>
      </c>
    </row>
    <row r="3504" spans="1:6" x14ac:dyDescent="0.3">
      <c r="A3504" s="24">
        <v>38382</v>
      </c>
      <c r="B3504" s="66">
        <v>485.459</v>
      </c>
      <c r="C3504" s="67"/>
      <c r="D3504" s="68">
        <v>0</v>
      </c>
      <c r="E3504" s="110">
        <f t="shared" si="55"/>
        <v>37193</v>
      </c>
      <c r="F3504" s="69">
        <v>5.8036281262263548E-3</v>
      </c>
    </row>
    <row r="3505" spans="1:6" x14ac:dyDescent="0.3">
      <c r="A3505" s="24">
        <v>38383</v>
      </c>
      <c r="B3505" s="66">
        <v>485.459</v>
      </c>
      <c r="C3505" s="67"/>
      <c r="D3505" s="68">
        <v>0</v>
      </c>
      <c r="E3505" s="110">
        <f t="shared" si="55"/>
        <v>37193</v>
      </c>
      <c r="F3505" s="69">
        <v>5.8036281262263548E-3</v>
      </c>
    </row>
    <row r="3506" spans="1:6" x14ac:dyDescent="0.3">
      <c r="A3506" s="24">
        <v>38384</v>
      </c>
      <c r="B3506" s="66">
        <v>485.459</v>
      </c>
      <c r="C3506" s="67"/>
      <c r="D3506" s="68">
        <v>0</v>
      </c>
      <c r="E3506" s="110">
        <f t="shared" si="55"/>
        <v>37193</v>
      </c>
      <c r="F3506" s="69">
        <v>5.8036281262263548E-3</v>
      </c>
    </row>
    <row r="3507" spans="1:6" x14ac:dyDescent="0.3">
      <c r="A3507" s="24">
        <v>38385</v>
      </c>
      <c r="B3507" s="66">
        <v>485.459</v>
      </c>
      <c r="C3507" s="67"/>
      <c r="D3507" s="68">
        <v>0</v>
      </c>
      <c r="E3507" s="110">
        <f t="shared" si="55"/>
        <v>37193</v>
      </c>
      <c r="F3507" s="69">
        <v>5.8036281262263548E-3</v>
      </c>
    </row>
    <row r="3508" spans="1:6" x14ac:dyDescent="0.3">
      <c r="A3508" s="24">
        <v>38386</v>
      </c>
      <c r="B3508" s="66">
        <v>485.459</v>
      </c>
      <c r="C3508" s="67"/>
      <c r="D3508" s="68">
        <v>0</v>
      </c>
      <c r="E3508" s="110">
        <f t="shared" si="55"/>
        <v>37193</v>
      </c>
      <c r="F3508" s="69">
        <v>5.8036281262263548E-3</v>
      </c>
    </row>
    <row r="3509" spans="1:6" x14ac:dyDescent="0.3">
      <c r="A3509" s="24">
        <v>38387</v>
      </c>
      <c r="B3509" s="66">
        <v>485.459</v>
      </c>
      <c r="C3509" s="67"/>
      <c r="D3509" s="68">
        <v>0</v>
      </c>
      <c r="E3509" s="110">
        <f t="shared" si="55"/>
        <v>37193</v>
      </c>
      <c r="F3509" s="69">
        <v>5.8036281262263548E-3</v>
      </c>
    </row>
    <row r="3510" spans="1:6" x14ac:dyDescent="0.3">
      <c r="A3510" s="24">
        <v>38388</v>
      </c>
      <c r="B3510" s="66">
        <v>485.459</v>
      </c>
      <c r="C3510" s="67"/>
      <c r="D3510" s="68">
        <v>0</v>
      </c>
      <c r="E3510" s="110">
        <f t="shared" si="55"/>
        <v>37193</v>
      </c>
      <c r="F3510" s="69">
        <v>5.8036281262263548E-3</v>
      </c>
    </row>
    <row r="3511" spans="1:6" x14ac:dyDescent="0.3">
      <c r="A3511" s="24">
        <v>38389</v>
      </c>
      <c r="B3511" s="66">
        <v>485.459</v>
      </c>
      <c r="C3511" s="67"/>
      <c r="D3511" s="68">
        <v>0</v>
      </c>
      <c r="E3511" s="110">
        <f t="shared" si="55"/>
        <v>37193</v>
      </c>
      <c r="F3511" s="69">
        <v>5.8036281262263548E-3</v>
      </c>
    </row>
    <row r="3512" spans="1:6" x14ac:dyDescent="0.3">
      <c r="A3512" s="24">
        <v>38390</v>
      </c>
      <c r="B3512" s="66">
        <v>485.459</v>
      </c>
      <c r="C3512" s="67"/>
      <c r="D3512" s="68">
        <v>0</v>
      </c>
      <c r="E3512" s="110">
        <f t="shared" si="55"/>
        <v>37193</v>
      </c>
      <c r="F3512" s="69">
        <v>5.8036281262263548E-3</v>
      </c>
    </row>
    <row r="3513" spans="1:6" x14ac:dyDescent="0.3">
      <c r="A3513" s="24">
        <v>38391</v>
      </c>
      <c r="B3513" s="66">
        <v>485.459</v>
      </c>
      <c r="C3513" s="67"/>
      <c r="D3513" s="68">
        <v>0</v>
      </c>
      <c r="E3513" s="110">
        <f t="shared" si="55"/>
        <v>37193</v>
      </c>
      <c r="F3513" s="69">
        <v>5.8036281262263548E-3</v>
      </c>
    </row>
    <row r="3514" spans="1:6" x14ac:dyDescent="0.3">
      <c r="A3514" s="24">
        <v>38392</v>
      </c>
      <c r="B3514" s="66">
        <v>485.459</v>
      </c>
      <c r="C3514" s="67"/>
      <c r="D3514" s="68">
        <v>0</v>
      </c>
      <c r="E3514" s="110">
        <f t="shared" si="55"/>
        <v>37193</v>
      </c>
      <c r="F3514" s="69">
        <v>5.8036281262263548E-3</v>
      </c>
    </row>
    <row r="3515" spans="1:6" x14ac:dyDescent="0.3">
      <c r="A3515" s="24">
        <v>38393</v>
      </c>
      <c r="B3515" s="66">
        <v>485.459</v>
      </c>
      <c r="C3515" s="67"/>
      <c r="D3515" s="68">
        <v>0</v>
      </c>
      <c r="E3515" s="110">
        <f t="shared" si="55"/>
        <v>37193</v>
      </c>
      <c r="F3515" s="69">
        <v>5.8036281262263548E-3</v>
      </c>
    </row>
    <row r="3516" spans="1:6" x14ac:dyDescent="0.3">
      <c r="A3516" s="24">
        <v>38394</v>
      </c>
      <c r="B3516" s="66">
        <v>485.459</v>
      </c>
      <c r="C3516" s="67"/>
      <c r="D3516" s="68">
        <v>0</v>
      </c>
      <c r="E3516" s="110">
        <f t="shared" si="55"/>
        <v>37193</v>
      </c>
      <c r="F3516" s="69">
        <v>5.8036281262263548E-3</v>
      </c>
    </row>
    <row r="3517" spans="1:6" x14ac:dyDescent="0.3">
      <c r="A3517" s="24">
        <v>38395</v>
      </c>
      <c r="B3517" s="66">
        <v>485.459</v>
      </c>
      <c r="C3517" s="67"/>
      <c r="D3517" s="68">
        <v>0</v>
      </c>
      <c r="E3517" s="110">
        <f t="shared" si="55"/>
        <v>37193</v>
      </c>
      <c r="F3517" s="69">
        <v>5.8036281262263548E-3</v>
      </c>
    </row>
    <row r="3518" spans="1:6" x14ac:dyDescent="0.3">
      <c r="A3518" s="24">
        <v>38396</v>
      </c>
      <c r="B3518" s="66">
        <v>485.459</v>
      </c>
      <c r="C3518" s="67"/>
      <c r="D3518" s="68">
        <v>0</v>
      </c>
      <c r="E3518" s="110">
        <f t="shared" si="55"/>
        <v>37193</v>
      </c>
      <c r="F3518" s="69">
        <v>5.8036281262263548E-3</v>
      </c>
    </row>
    <row r="3519" spans="1:6" x14ac:dyDescent="0.3">
      <c r="A3519" s="24">
        <v>38397</v>
      </c>
      <c r="B3519" s="66">
        <v>485.459</v>
      </c>
      <c r="C3519" s="67"/>
      <c r="D3519" s="68">
        <v>0</v>
      </c>
      <c r="E3519" s="110">
        <f t="shared" si="55"/>
        <v>37193</v>
      </c>
      <c r="F3519" s="69">
        <v>5.8036281262263548E-3</v>
      </c>
    </row>
    <row r="3520" spans="1:6" x14ac:dyDescent="0.3">
      <c r="A3520" s="24">
        <v>38398</v>
      </c>
      <c r="B3520" s="66">
        <v>485.459</v>
      </c>
      <c r="C3520" s="67"/>
      <c r="D3520" s="68">
        <v>0</v>
      </c>
      <c r="E3520" s="110">
        <f t="shared" si="55"/>
        <v>37193</v>
      </c>
      <c r="F3520" s="69">
        <v>5.8036281262263548E-3</v>
      </c>
    </row>
    <row r="3521" spans="1:6" x14ac:dyDescent="0.3">
      <c r="A3521" s="24">
        <v>38399</v>
      </c>
      <c r="B3521" s="66">
        <v>485.459</v>
      </c>
      <c r="C3521" s="67"/>
      <c r="D3521" s="68">
        <v>0</v>
      </c>
      <c r="E3521" s="110">
        <f t="shared" si="55"/>
        <v>37193</v>
      </c>
      <c r="F3521" s="69">
        <v>5.8036281262263548E-3</v>
      </c>
    </row>
    <row r="3522" spans="1:6" x14ac:dyDescent="0.3">
      <c r="A3522" s="24">
        <v>38400</v>
      </c>
      <c r="B3522" s="66">
        <v>485.459</v>
      </c>
      <c r="C3522" s="67"/>
      <c r="D3522" s="68">
        <v>0</v>
      </c>
      <c r="E3522" s="110">
        <f t="shared" si="55"/>
        <v>37193</v>
      </c>
      <c r="F3522" s="69">
        <v>5.8036281262263548E-3</v>
      </c>
    </row>
    <row r="3523" spans="1:6" x14ac:dyDescent="0.3">
      <c r="A3523" s="24">
        <v>38401</v>
      </c>
      <c r="B3523" s="66">
        <v>485.459</v>
      </c>
      <c r="C3523" s="67"/>
      <c r="D3523" s="68">
        <v>0</v>
      </c>
      <c r="E3523" s="110">
        <f t="shared" si="55"/>
        <v>37193</v>
      </c>
      <c r="F3523" s="69">
        <v>5.8036281262263548E-3</v>
      </c>
    </row>
    <row r="3524" spans="1:6" x14ac:dyDescent="0.3">
      <c r="A3524" s="24">
        <v>38402</v>
      </c>
      <c r="B3524" s="66">
        <v>485.459</v>
      </c>
      <c r="C3524" s="67"/>
      <c r="D3524" s="68">
        <v>0</v>
      </c>
      <c r="E3524" s="110">
        <f t="shared" si="55"/>
        <v>37193</v>
      </c>
      <c r="F3524" s="69">
        <v>5.8036281262263548E-3</v>
      </c>
    </row>
    <row r="3525" spans="1:6" x14ac:dyDescent="0.3">
      <c r="A3525" s="24">
        <v>38403</v>
      </c>
      <c r="B3525" s="66">
        <v>485.459</v>
      </c>
      <c r="C3525" s="67"/>
      <c r="D3525" s="68">
        <v>0</v>
      </c>
      <c r="E3525" s="110">
        <f t="shared" si="55"/>
        <v>37193</v>
      </c>
      <c r="F3525" s="69">
        <v>5.8036281262263548E-3</v>
      </c>
    </row>
    <row r="3526" spans="1:6" x14ac:dyDescent="0.3">
      <c r="A3526" s="24">
        <v>38404</v>
      </c>
      <c r="B3526" s="66">
        <v>485.459</v>
      </c>
      <c r="C3526" s="67"/>
      <c r="D3526" s="68">
        <v>0</v>
      </c>
      <c r="E3526" s="110">
        <f t="shared" si="55"/>
        <v>37193</v>
      </c>
      <c r="F3526" s="69">
        <v>5.8036281262263548E-3</v>
      </c>
    </row>
    <row r="3527" spans="1:6" x14ac:dyDescent="0.3">
      <c r="A3527" s="24">
        <v>38405</v>
      </c>
      <c r="B3527" s="66">
        <v>485.459</v>
      </c>
      <c r="C3527" s="67"/>
      <c r="D3527" s="68">
        <v>0</v>
      </c>
      <c r="E3527" s="110">
        <f t="shared" si="55"/>
        <v>37193</v>
      </c>
      <c r="F3527" s="69">
        <v>5.8036281262263548E-3</v>
      </c>
    </row>
    <row r="3528" spans="1:6" x14ac:dyDescent="0.3">
      <c r="A3528" s="24">
        <v>38406</v>
      </c>
      <c r="B3528" s="66">
        <v>485.459</v>
      </c>
      <c r="C3528" s="67"/>
      <c r="D3528" s="68">
        <v>0</v>
      </c>
      <c r="E3528" s="110">
        <f t="shared" si="55"/>
        <v>37193</v>
      </c>
      <c r="F3528" s="69">
        <v>5.8036281262263548E-3</v>
      </c>
    </row>
    <row r="3529" spans="1:6" x14ac:dyDescent="0.3">
      <c r="A3529" s="24">
        <v>38407</v>
      </c>
      <c r="B3529" s="66">
        <v>485.459</v>
      </c>
      <c r="C3529" s="67"/>
      <c r="D3529" s="68">
        <v>0</v>
      </c>
      <c r="E3529" s="110">
        <f t="shared" si="55"/>
        <v>37193</v>
      </c>
      <c r="F3529" s="69">
        <v>5.8036281262263548E-3</v>
      </c>
    </row>
    <row r="3530" spans="1:6" x14ac:dyDescent="0.3">
      <c r="A3530" s="24">
        <v>38408</v>
      </c>
      <c r="B3530" s="66">
        <v>485.459</v>
      </c>
      <c r="C3530" s="67"/>
      <c r="D3530" s="68">
        <v>0</v>
      </c>
      <c r="E3530" s="110">
        <f t="shared" si="55"/>
        <v>37193</v>
      </c>
      <c r="F3530" s="69">
        <v>5.8036281262263548E-3</v>
      </c>
    </row>
    <row r="3531" spans="1:6" x14ac:dyDescent="0.3">
      <c r="A3531" s="24">
        <v>38409</v>
      </c>
      <c r="B3531" s="66">
        <v>485.459</v>
      </c>
      <c r="C3531" s="67"/>
      <c r="D3531" s="68">
        <v>0</v>
      </c>
      <c r="E3531" s="110">
        <f t="shared" si="55"/>
        <v>37193</v>
      </c>
      <c r="F3531" s="69">
        <v>5.8036281262263548E-3</v>
      </c>
    </row>
    <row r="3532" spans="1:6" x14ac:dyDescent="0.3">
      <c r="A3532" s="24">
        <v>38410</v>
      </c>
      <c r="B3532" s="66">
        <v>485.459</v>
      </c>
      <c r="C3532" s="67"/>
      <c r="D3532" s="68">
        <v>0</v>
      </c>
      <c r="E3532" s="110">
        <f t="shared" si="55"/>
        <v>37193</v>
      </c>
      <c r="F3532" s="69">
        <v>5.8036281262263548E-3</v>
      </c>
    </row>
    <row r="3533" spans="1:6" x14ac:dyDescent="0.3">
      <c r="A3533" s="24">
        <v>38411</v>
      </c>
      <c r="B3533" s="66">
        <v>485.459</v>
      </c>
      <c r="C3533" s="67"/>
      <c r="D3533" s="68">
        <v>0</v>
      </c>
      <c r="E3533" s="110">
        <f t="shared" si="55"/>
        <v>37193</v>
      </c>
      <c r="F3533" s="69">
        <v>5.8036281262263548E-3</v>
      </c>
    </row>
    <row r="3534" spans="1:6" x14ac:dyDescent="0.3">
      <c r="A3534" s="24">
        <v>38412</v>
      </c>
      <c r="B3534" s="66">
        <v>485.459</v>
      </c>
      <c r="C3534" s="67"/>
      <c r="D3534" s="68">
        <v>0</v>
      </c>
      <c r="E3534" s="110">
        <f t="shared" si="55"/>
        <v>37193</v>
      </c>
      <c r="F3534" s="69">
        <v>5.8036281262263548E-3</v>
      </c>
    </row>
    <row r="3535" spans="1:6" x14ac:dyDescent="0.3">
      <c r="A3535" s="24">
        <v>38413</v>
      </c>
      <c r="B3535" s="66">
        <v>485.459</v>
      </c>
      <c r="C3535" s="67"/>
      <c r="D3535" s="68">
        <v>0</v>
      </c>
      <c r="E3535" s="110">
        <f t="shared" si="55"/>
        <v>37193</v>
      </c>
      <c r="F3535" s="69">
        <v>5.8036281262263548E-3</v>
      </c>
    </row>
    <row r="3536" spans="1:6" x14ac:dyDescent="0.3">
      <c r="A3536" s="24">
        <v>38414</v>
      </c>
      <c r="B3536" s="66">
        <v>485.459</v>
      </c>
      <c r="C3536" s="67"/>
      <c r="D3536" s="68">
        <v>0</v>
      </c>
      <c r="E3536" s="110">
        <f t="shared" si="55"/>
        <v>37193</v>
      </c>
      <c r="F3536" s="69">
        <v>5.8036281262263548E-3</v>
      </c>
    </row>
    <row r="3537" spans="1:6" x14ac:dyDescent="0.3">
      <c r="A3537" s="24">
        <v>38415</v>
      </c>
      <c r="B3537" s="66">
        <v>485.459</v>
      </c>
      <c r="C3537" s="67"/>
      <c r="D3537" s="68">
        <v>0</v>
      </c>
      <c r="E3537" s="110">
        <f t="shared" si="55"/>
        <v>37193</v>
      </c>
      <c r="F3537" s="69">
        <v>5.8036281262263548E-3</v>
      </c>
    </row>
    <row r="3538" spans="1:6" x14ac:dyDescent="0.3">
      <c r="A3538" s="24">
        <v>38416</v>
      </c>
      <c r="B3538" s="66">
        <v>485.459</v>
      </c>
      <c r="C3538" s="67"/>
      <c r="D3538" s="68">
        <v>0</v>
      </c>
      <c r="E3538" s="110">
        <f t="shared" ref="E3538:E3601" si="56">+E3537</f>
        <v>37193</v>
      </c>
      <c r="F3538" s="69">
        <v>5.8036281262263548E-3</v>
      </c>
    </row>
    <row r="3539" spans="1:6" x14ac:dyDescent="0.3">
      <c r="A3539" s="24">
        <v>38417</v>
      </c>
      <c r="B3539" s="66">
        <v>485.459</v>
      </c>
      <c r="C3539" s="67"/>
      <c r="D3539" s="68">
        <v>0</v>
      </c>
      <c r="E3539" s="110">
        <f t="shared" si="56"/>
        <v>37193</v>
      </c>
      <c r="F3539" s="69">
        <v>5.8036281262263548E-3</v>
      </c>
    </row>
    <row r="3540" spans="1:6" x14ac:dyDescent="0.3">
      <c r="A3540" s="24">
        <v>38418</v>
      </c>
      <c r="B3540" s="66">
        <v>485.459</v>
      </c>
      <c r="C3540" s="67"/>
      <c r="D3540" s="68">
        <v>0</v>
      </c>
      <c r="E3540" s="110">
        <f t="shared" si="56"/>
        <v>37193</v>
      </c>
      <c r="F3540" s="69">
        <v>5.8036281262263548E-3</v>
      </c>
    </row>
    <row r="3541" spans="1:6" x14ac:dyDescent="0.3">
      <c r="A3541" s="24">
        <v>38419</v>
      </c>
      <c r="B3541" s="66">
        <v>485.459</v>
      </c>
      <c r="C3541" s="67"/>
      <c r="D3541" s="68">
        <v>0</v>
      </c>
      <c r="E3541" s="110">
        <f t="shared" si="56"/>
        <v>37193</v>
      </c>
      <c r="F3541" s="69">
        <v>5.8036281262263548E-3</v>
      </c>
    </row>
    <row r="3542" spans="1:6" x14ac:dyDescent="0.3">
      <c r="A3542" s="24">
        <v>38420</v>
      </c>
      <c r="B3542" s="66">
        <v>485.459</v>
      </c>
      <c r="C3542" s="67"/>
      <c r="D3542" s="68">
        <v>0</v>
      </c>
      <c r="E3542" s="110">
        <f t="shared" si="56"/>
        <v>37193</v>
      </c>
      <c r="F3542" s="69">
        <v>5.8036281262263548E-3</v>
      </c>
    </row>
    <row r="3543" spans="1:6" x14ac:dyDescent="0.3">
      <c r="A3543" s="24">
        <v>38421</v>
      </c>
      <c r="B3543" s="66">
        <v>485.459</v>
      </c>
      <c r="C3543" s="67"/>
      <c r="D3543" s="68">
        <v>0</v>
      </c>
      <c r="E3543" s="110">
        <f t="shared" si="56"/>
        <v>37193</v>
      </c>
      <c r="F3543" s="69">
        <v>5.8036281262263548E-3</v>
      </c>
    </row>
    <row r="3544" spans="1:6" x14ac:dyDescent="0.3">
      <c r="A3544" s="24">
        <v>38422</v>
      </c>
      <c r="B3544" s="66">
        <v>485.459</v>
      </c>
      <c r="C3544" s="67"/>
      <c r="D3544" s="68">
        <v>0</v>
      </c>
      <c r="E3544" s="110">
        <f t="shared" si="56"/>
        <v>37193</v>
      </c>
      <c r="F3544" s="69">
        <v>5.8036281262263548E-3</v>
      </c>
    </row>
    <row r="3545" spans="1:6" x14ac:dyDescent="0.3">
      <c r="A3545" s="24">
        <v>38423</v>
      </c>
      <c r="B3545" s="66">
        <v>485.459</v>
      </c>
      <c r="C3545" s="67"/>
      <c r="D3545" s="68">
        <v>0</v>
      </c>
      <c r="E3545" s="110">
        <f t="shared" si="56"/>
        <v>37193</v>
      </c>
      <c r="F3545" s="69">
        <v>5.8036281262263548E-3</v>
      </c>
    </row>
    <row r="3546" spans="1:6" x14ac:dyDescent="0.3">
      <c r="A3546" s="24">
        <v>38424</v>
      </c>
      <c r="B3546" s="66">
        <v>485.459</v>
      </c>
      <c r="C3546" s="67"/>
      <c r="D3546" s="68">
        <v>0</v>
      </c>
      <c r="E3546" s="110">
        <f t="shared" si="56"/>
        <v>37193</v>
      </c>
      <c r="F3546" s="69">
        <v>5.8036281262263548E-3</v>
      </c>
    </row>
    <row r="3547" spans="1:6" x14ac:dyDescent="0.3">
      <c r="A3547" s="24">
        <v>38425</v>
      </c>
      <c r="B3547" s="66">
        <v>485.459</v>
      </c>
      <c r="C3547" s="67"/>
      <c r="D3547" s="68">
        <v>0</v>
      </c>
      <c r="E3547" s="110">
        <f t="shared" si="56"/>
        <v>37193</v>
      </c>
      <c r="F3547" s="69">
        <v>5.8036281262263548E-3</v>
      </c>
    </row>
    <row r="3548" spans="1:6" x14ac:dyDescent="0.3">
      <c r="A3548" s="24">
        <v>38426</v>
      </c>
      <c r="B3548" s="66">
        <v>485.459</v>
      </c>
      <c r="C3548" s="67"/>
      <c r="D3548" s="68">
        <v>0</v>
      </c>
      <c r="E3548" s="110">
        <f t="shared" si="56"/>
        <v>37193</v>
      </c>
      <c r="F3548" s="69">
        <v>5.8036281262263548E-3</v>
      </c>
    </row>
    <row r="3549" spans="1:6" x14ac:dyDescent="0.3">
      <c r="A3549" s="24">
        <v>38427</v>
      </c>
      <c r="B3549" s="66">
        <v>485.459</v>
      </c>
      <c r="C3549" s="67"/>
      <c r="D3549" s="68">
        <v>0</v>
      </c>
      <c r="E3549" s="110">
        <f t="shared" si="56"/>
        <v>37193</v>
      </c>
      <c r="F3549" s="69">
        <v>5.8036281262263548E-3</v>
      </c>
    </row>
    <row r="3550" spans="1:6" x14ac:dyDescent="0.3">
      <c r="A3550" s="24">
        <v>38428</v>
      </c>
      <c r="B3550" s="66">
        <v>485.459</v>
      </c>
      <c r="C3550" s="67"/>
      <c r="D3550" s="68">
        <v>0</v>
      </c>
      <c r="E3550" s="110">
        <f t="shared" si="56"/>
        <v>37193</v>
      </c>
      <c r="F3550" s="69">
        <v>5.8036281262263548E-3</v>
      </c>
    </row>
    <row r="3551" spans="1:6" x14ac:dyDescent="0.3">
      <c r="A3551" s="24">
        <v>38429</v>
      </c>
      <c r="B3551" s="66">
        <v>485.459</v>
      </c>
      <c r="C3551" s="67"/>
      <c r="D3551" s="68">
        <v>0</v>
      </c>
      <c r="E3551" s="110">
        <f t="shared" si="56"/>
        <v>37193</v>
      </c>
      <c r="F3551" s="69">
        <v>5.8036281262263548E-3</v>
      </c>
    </row>
    <row r="3552" spans="1:6" x14ac:dyDescent="0.3">
      <c r="A3552" s="24">
        <v>38430</v>
      </c>
      <c r="B3552" s="66">
        <v>485.459</v>
      </c>
      <c r="C3552" s="67"/>
      <c r="D3552" s="68">
        <v>0</v>
      </c>
      <c r="E3552" s="110">
        <f t="shared" si="56"/>
        <v>37193</v>
      </c>
      <c r="F3552" s="69">
        <v>5.8036281262263548E-3</v>
      </c>
    </row>
    <row r="3553" spans="1:6" x14ac:dyDescent="0.3">
      <c r="A3553" s="24">
        <v>38431</v>
      </c>
      <c r="B3553" s="66">
        <v>485.459</v>
      </c>
      <c r="C3553" s="67"/>
      <c r="D3553" s="68">
        <v>0</v>
      </c>
      <c r="E3553" s="110">
        <f t="shared" si="56"/>
        <v>37193</v>
      </c>
      <c r="F3553" s="69">
        <v>5.8036281262263548E-3</v>
      </c>
    </row>
    <row r="3554" spans="1:6" x14ac:dyDescent="0.3">
      <c r="A3554" s="24">
        <v>38432</v>
      </c>
      <c r="B3554" s="66">
        <v>485.459</v>
      </c>
      <c r="C3554" s="67"/>
      <c r="D3554" s="68">
        <v>0</v>
      </c>
      <c r="E3554" s="110">
        <f t="shared" si="56"/>
        <v>37193</v>
      </c>
      <c r="F3554" s="69">
        <v>5.8036281262263548E-3</v>
      </c>
    </row>
    <row r="3555" spans="1:6" x14ac:dyDescent="0.3">
      <c r="A3555" s="24">
        <v>38433</v>
      </c>
      <c r="B3555" s="66">
        <v>485.459</v>
      </c>
      <c r="C3555" s="67"/>
      <c r="D3555" s="68">
        <v>0</v>
      </c>
      <c r="E3555" s="110">
        <f t="shared" si="56"/>
        <v>37193</v>
      </c>
      <c r="F3555" s="69">
        <v>5.8036281262263548E-3</v>
      </c>
    </row>
    <row r="3556" spans="1:6" x14ac:dyDescent="0.3">
      <c r="A3556" s="24">
        <v>38434</v>
      </c>
      <c r="B3556" s="66">
        <v>485.459</v>
      </c>
      <c r="C3556" s="67"/>
      <c r="D3556" s="68">
        <v>0</v>
      </c>
      <c r="E3556" s="110">
        <f t="shared" si="56"/>
        <v>37193</v>
      </c>
      <c r="F3556" s="69">
        <v>5.8036281262263548E-3</v>
      </c>
    </row>
    <row r="3557" spans="1:6" x14ac:dyDescent="0.3">
      <c r="A3557" s="24">
        <v>38435</v>
      </c>
      <c r="B3557" s="66">
        <v>485.459</v>
      </c>
      <c r="C3557" s="67"/>
      <c r="D3557" s="68">
        <v>0</v>
      </c>
      <c r="E3557" s="110">
        <f t="shared" si="56"/>
        <v>37193</v>
      </c>
      <c r="F3557" s="69">
        <v>5.8036281262263548E-3</v>
      </c>
    </row>
    <row r="3558" spans="1:6" x14ac:dyDescent="0.3">
      <c r="A3558" s="24">
        <v>38436</v>
      </c>
      <c r="B3558" s="66">
        <v>485.459</v>
      </c>
      <c r="C3558" s="67"/>
      <c r="D3558" s="68">
        <v>0</v>
      </c>
      <c r="E3558" s="110">
        <f t="shared" si="56"/>
        <v>37193</v>
      </c>
      <c r="F3558" s="69">
        <v>5.8036281262263548E-3</v>
      </c>
    </row>
    <row r="3559" spans="1:6" x14ac:dyDescent="0.3">
      <c r="A3559" s="24">
        <v>38437</v>
      </c>
      <c r="B3559" s="66">
        <v>485.459</v>
      </c>
      <c r="C3559" s="67"/>
      <c r="D3559" s="68">
        <v>0</v>
      </c>
      <c r="E3559" s="110">
        <f t="shared" si="56"/>
        <v>37193</v>
      </c>
      <c r="F3559" s="69">
        <v>5.8036281262263548E-3</v>
      </c>
    </row>
    <row r="3560" spans="1:6" x14ac:dyDescent="0.3">
      <c r="A3560" s="24">
        <v>38438</v>
      </c>
      <c r="B3560" s="66">
        <v>485.459</v>
      </c>
      <c r="C3560" s="67"/>
      <c r="D3560" s="68">
        <v>0</v>
      </c>
      <c r="E3560" s="110">
        <f t="shared" si="56"/>
        <v>37193</v>
      </c>
      <c r="F3560" s="69">
        <v>5.8036281262263548E-3</v>
      </c>
    </row>
    <row r="3561" spans="1:6" x14ac:dyDescent="0.3">
      <c r="A3561" s="24">
        <v>38439</v>
      </c>
      <c r="B3561" s="66">
        <v>485.459</v>
      </c>
      <c r="C3561" s="67"/>
      <c r="D3561" s="68">
        <v>0</v>
      </c>
      <c r="E3561" s="110">
        <f t="shared" si="56"/>
        <v>37193</v>
      </c>
      <c r="F3561" s="69">
        <v>5.8036281262263548E-3</v>
      </c>
    </row>
    <row r="3562" spans="1:6" x14ac:dyDescent="0.3">
      <c r="A3562" s="24">
        <v>38440</v>
      </c>
      <c r="B3562" s="66">
        <v>485.459</v>
      </c>
      <c r="C3562" s="67"/>
      <c r="D3562" s="68">
        <v>0</v>
      </c>
      <c r="E3562" s="110">
        <f t="shared" si="56"/>
        <v>37193</v>
      </c>
      <c r="F3562" s="69">
        <v>5.8036281262263548E-3</v>
      </c>
    </row>
    <row r="3563" spans="1:6" x14ac:dyDescent="0.3">
      <c r="A3563" s="24">
        <v>38441</v>
      </c>
      <c r="B3563" s="66">
        <v>485.459</v>
      </c>
      <c r="C3563" s="67"/>
      <c r="D3563" s="68">
        <v>0</v>
      </c>
      <c r="E3563" s="110">
        <f t="shared" si="56"/>
        <v>37193</v>
      </c>
      <c r="F3563" s="69">
        <v>5.7569264202316506E-3</v>
      </c>
    </row>
    <row r="3564" spans="1:6" x14ac:dyDescent="0.3">
      <c r="A3564" s="24">
        <v>38442</v>
      </c>
      <c r="B3564" s="66">
        <v>488.13500000000005</v>
      </c>
      <c r="C3564" s="67"/>
      <c r="D3564" s="68">
        <v>0</v>
      </c>
      <c r="E3564" s="110">
        <f t="shared" si="56"/>
        <v>37193</v>
      </c>
      <c r="F3564" s="69">
        <v>5.7569264202316506E-3</v>
      </c>
    </row>
    <row r="3565" spans="1:6" x14ac:dyDescent="0.3">
      <c r="A3565" s="24">
        <v>38443</v>
      </c>
      <c r="B3565" s="66">
        <v>488.13500000000005</v>
      </c>
      <c r="C3565" s="67"/>
      <c r="D3565" s="68">
        <v>0</v>
      </c>
      <c r="E3565" s="110">
        <f t="shared" si="56"/>
        <v>37193</v>
      </c>
      <c r="F3565" s="69">
        <v>5.7569264202316506E-3</v>
      </c>
    </row>
    <row r="3566" spans="1:6" x14ac:dyDescent="0.3">
      <c r="A3566" s="24">
        <v>38444</v>
      </c>
      <c r="B3566" s="66">
        <v>488.13500000000005</v>
      </c>
      <c r="C3566" s="67"/>
      <c r="D3566" s="68">
        <v>0</v>
      </c>
      <c r="E3566" s="110">
        <f t="shared" si="56"/>
        <v>37193</v>
      </c>
      <c r="F3566" s="69">
        <v>5.7569264202316506E-3</v>
      </c>
    </row>
    <row r="3567" spans="1:6" x14ac:dyDescent="0.3">
      <c r="A3567" s="24">
        <v>38445</v>
      </c>
      <c r="B3567" s="66">
        <v>488.13500000000005</v>
      </c>
      <c r="C3567" s="67"/>
      <c r="D3567" s="68">
        <v>0</v>
      </c>
      <c r="E3567" s="110">
        <f t="shared" si="56"/>
        <v>37193</v>
      </c>
      <c r="F3567" s="69">
        <v>5.7569264202316506E-3</v>
      </c>
    </row>
    <row r="3568" spans="1:6" x14ac:dyDescent="0.3">
      <c r="A3568" s="24">
        <v>38446</v>
      </c>
      <c r="B3568" s="66">
        <v>488.13500000000005</v>
      </c>
      <c r="C3568" s="67"/>
      <c r="D3568" s="68">
        <v>0</v>
      </c>
      <c r="E3568" s="110">
        <f t="shared" si="56"/>
        <v>37193</v>
      </c>
      <c r="F3568" s="69">
        <v>5.7569264202316506E-3</v>
      </c>
    </row>
    <row r="3569" spans="1:6" x14ac:dyDescent="0.3">
      <c r="A3569" s="24">
        <v>38447</v>
      </c>
      <c r="B3569" s="66">
        <v>488.13500000000005</v>
      </c>
      <c r="C3569" s="67"/>
      <c r="D3569" s="68">
        <v>0</v>
      </c>
      <c r="E3569" s="110">
        <f t="shared" si="56"/>
        <v>37193</v>
      </c>
      <c r="F3569" s="69">
        <v>5.7569264202316506E-3</v>
      </c>
    </row>
    <row r="3570" spans="1:6" x14ac:dyDescent="0.3">
      <c r="A3570" s="24">
        <v>38448</v>
      </c>
      <c r="B3570" s="66">
        <v>488.13500000000005</v>
      </c>
      <c r="C3570" s="67"/>
      <c r="D3570" s="68">
        <v>0</v>
      </c>
      <c r="E3570" s="110">
        <f t="shared" si="56"/>
        <v>37193</v>
      </c>
      <c r="F3570" s="69">
        <v>5.7569264202316506E-3</v>
      </c>
    </row>
    <row r="3571" spans="1:6" x14ac:dyDescent="0.3">
      <c r="A3571" s="24">
        <v>38449</v>
      </c>
      <c r="B3571" s="66">
        <v>488.13500000000005</v>
      </c>
      <c r="C3571" s="67"/>
      <c r="D3571" s="68">
        <v>0</v>
      </c>
      <c r="E3571" s="110">
        <f t="shared" si="56"/>
        <v>37193</v>
      </c>
      <c r="F3571" s="69">
        <v>5.7569264202316506E-3</v>
      </c>
    </row>
    <row r="3572" spans="1:6" x14ac:dyDescent="0.3">
      <c r="A3572" s="24">
        <v>38450</v>
      </c>
      <c r="B3572" s="66">
        <v>488.13500000000005</v>
      </c>
      <c r="C3572" s="67"/>
      <c r="D3572" s="68">
        <v>0</v>
      </c>
      <c r="E3572" s="110">
        <f t="shared" si="56"/>
        <v>37193</v>
      </c>
      <c r="F3572" s="69">
        <v>5.7569264202316506E-3</v>
      </c>
    </row>
    <row r="3573" spans="1:6" x14ac:dyDescent="0.3">
      <c r="A3573" s="24">
        <v>38451</v>
      </c>
      <c r="B3573" s="66">
        <v>488.13500000000005</v>
      </c>
      <c r="C3573" s="67"/>
      <c r="D3573" s="68">
        <v>0</v>
      </c>
      <c r="E3573" s="110">
        <f t="shared" si="56"/>
        <v>37193</v>
      </c>
      <c r="F3573" s="69">
        <v>5.7569264202316506E-3</v>
      </c>
    </row>
    <row r="3574" spans="1:6" x14ac:dyDescent="0.3">
      <c r="A3574" s="24">
        <v>38452</v>
      </c>
      <c r="B3574" s="66">
        <v>488.13500000000005</v>
      </c>
      <c r="C3574" s="67"/>
      <c r="D3574" s="68">
        <v>0</v>
      </c>
      <c r="E3574" s="110">
        <f t="shared" si="56"/>
        <v>37193</v>
      </c>
      <c r="F3574" s="69">
        <v>5.7569264202316506E-3</v>
      </c>
    </row>
    <row r="3575" spans="1:6" x14ac:dyDescent="0.3">
      <c r="A3575" s="24">
        <v>38453</v>
      </c>
      <c r="B3575" s="66">
        <v>488.13500000000005</v>
      </c>
      <c r="C3575" s="67"/>
      <c r="D3575" s="68">
        <v>0</v>
      </c>
      <c r="E3575" s="110">
        <f t="shared" si="56"/>
        <v>37193</v>
      </c>
      <c r="F3575" s="69">
        <v>5.7569264202316506E-3</v>
      </c>
    </row>
    <row r="3576" spans="1:6" x14ac:dyDescent="0.3">
      <c r="A3576" s="24">
        <v>38454</v>
      </c>
      <c r="B3576" s="66">
        <v>488.13500000000005</v>
      </c>
      <c r="C3576" s="67"/>
      <c r="D3576" s="68">
        <v>0</v>
      </c>
      <c r="E3576" s="110">
        <f t="shared" si="56"/>
        <v>37193</v>
      </c>
      <c r="F3576" s="69">
        <v>5.7569264202316506E-3</v>
      </c>
    </row>
    <row r="3577" spans="1:6" x14ac:dyDescent="0.3">
      <c r="A3577" s="24">
        <v>38455</v>
      </c>
      <c r="B3577" s="66">
        <v>488.13500000000005</v>
      </c>
      <c r="C3577" s="67"/>
      <c r="D3577" s="68">
        <v>0</v>
      </c>
      <c r="E3577" s="110">
        <f t="shared" si="56"/>
        <v>37193</v>
      </c>
      <c r="F3577" s="69">
        <v>5.7569264202316506E-3</v>
      </c>
    </row>
    <row r="3578" spans="1:6" x14ac:dyDescent="0.3">
      <c r="A3578" s="24">
        <v>38456</v>
      </c>
      <c r="B3578" s="66">
        <v>488.13500000000005</v>
      </c>
      <c r="C3578" s="67"/>
      <c r="D3578" s="68">
        <v>0</v>
      </c>
      <c r="E3578" s="110">
        <f t="shared" si="56"/>
        <v>37193</v>
      </c>
      <c r="F3578" s="69">
        <v>5.7569264202316506E-3</v>
      </c>
    </row>
    <row r="3579" spans="1:6" x14ac:dyDescent="0.3">
      <c r="A3579" s="24">
        <v>38457</v>
      </c>
      <c r="B3579" s="66">
        <v>488.13500000000005</v>
      </c>
      <c r="C3579" s="67"/>
      <c r="D3579" s="68">
        <v>0</v>
      </c>
      <c r="E3579" s="110">
        <f t="shared" si="56"/>
        <v>37193</v>
      </c>
      <c r="F3579" s="69">
        <v>5.7569264202316506E-3</v>
      </c>
    </row>
    <row r="3580" spans="1:6" x14ac:dyDescent="0.3">
      <c r="A3580" s="24">
        <v>38458</v>
      </c>
      <c r="B3580" s="66">
        <v>488.13500000000005</v>
      </c>
      <c r="C3580" s="67"/>
      <c r="D3580" s="68">
        <v>0</v>
      </c>
      <c r="E3580" s="110">
        <f t="shared" si="56"/>
        <v>37193</v>
      </c>
      <c r="F3580" s="69">
        <v>5.7569264202316506E-3</v>
      </c>
    </row>
    <row r="3581" spans="1:6" x14ac:dyDescent="0.3">
      <c r="A3581" s="24">
        <v>38459</v>
      </c>
      <c r="B3581" s="66">
        <v>488.13500000000005</v>
      </c>
      <c r="C3581" s="67"/>
      <c r="D3581" s="68">
        <v>0</v>
      </c>
      <c r="E3581" s="110">
        <f t="shared" si="56"/>
        <v>37193</v>
      </c>
      <c r="F3581" s="69">
        <v>5.7569264202316506E-3</v>
      </c>
    </row>
    <row r="3582" spans="1:6" x14ac:dyDescent="0.3">
      <c r="A3582" s="24">
        <v>38460</v>
      </c>
      <c r="B3582" s="66">
        <v>488.13500000000005</v>
      </c>
      <c r="C3582" s="67"/>
      <c r="D3582" s="68">
        <v>0</v>
      </c>
      <c r="E3582" s="110">
        <f t="shared" si="56"/>
        <v>37193</v>
      </c>
      <c r="F3582" s="69">
        <v>5.7569264202316506E-3</v>
      </c>
    </row>
    <row r="3583" spans="1:6" x14ac:dyDescent="0.3">
      <c r="A3583" s="24">
        <v>38461</v>
      </c>
      <c r="B3583" s="66">
        <v>488.13500000000005</v>
      </c>
      <c r="C3583" s="67"/>
      <c r="D3583" s="68">
        <v>0</v>
      </c>
      <c r="E3583" s="110">
        <f t="shared" si="56"/>
        <v>37193</v>
      </c>
      <c r="F3583" s="69">
        <v>5.7569264202316506E-3</v>
      </c>
    </row>
    <row r="3584" spans="1:6" x14ac:dyDescent="0.3">
      <c r="A3584" s="24">
        <v>38462</v>
      </c>
      <c r="B3584" s="66">
        <v>488.13500000000005</v>
      </c>
      <c r="C3584" s="67"/>
      <c r="D3584" s="68">
        <v>0</v>
      </c>
      <c r="E3584" s="110">
        <f t="shared" si="56"/>
        <v>37193</v>
      </c>
      <c r="F3584" s="69">
        <v>5.7569264202316506E-3</v>
      </c>
    </row>
    <row r="3585" spans="1:6" x14ac:dyDescent="0.3">
      <c r="A3585" s="24">
        <v>38463</v>
      </c>
      <c r="B3585" s="66">
        <v>488.13500000000005</v>
      </c>
      <c r="C3585" s="67"/>
      <c r="D3585" s="68">
        <v>0</v>
      </c>
      <c r="E3585" s="110">
        <f t="shared" si="56"/>
        <v>37193</v>
      </c>
      <c r="F3585" s="69">
        <v>5.7569264202316506E-3</v>
      </c>
    </row>
    <row r="3586" spans="1:6" x14ac:dyDescent="0.3">
      <c r="A3586" s="24">
        <v>38464</v>
      </c>
      <c r="B3586" s="66">
        <v>488.13500000000005</v>
      </c>
      <c r="C3586" s="67"/>
      <c r="D3586" s="68">
        <v>0</v>
      </c>
      <c r="E3586" s="110">
        <f t="shared" si="56"/>
        <v>37193</v>
      </c>
      <c r="F3586" s="69">
        <v>5.7569264202316506E-3</v>
      </c>
    </row>
    <row r="3587" spans="1:6" x14ac:dyDescent="0.3">
      <c r="A3587" s="24">
        <v>38465</v>
      </c>
      <c r="B3587" s="66">
        <v>488.13500000000005</v>
      </c>
      <c r="C3587" s="67"/>
      <c r="D3587" s="68">
        <v>0</v>
      </c>
      <c r="E3587" s="110">
        <f t="shared" si="56"/>
        <v>37193</v>
      </c>
      <c r="F3587" s="69">
        <v>5.7569264202316506E-3</v>
      </c>
    </row>
    <row r="3588" spans="1:6" x14ac:dyDescent="0.3">
      <c r="A3588" s="24">
        <v>38466</v>
      </c>
      <c r="B3588" s="66">
        <v>488.13500000000005</v>
      </c>
      <c r="C3588" s="67"/>
      <c r="D3588" s="68">
        <v>0</v>
      </c>
      <c r="E3588" s="110">
        <f t="shared" si="56"/>
        <v>37193</v>
      </c>
      <c r="F3588" s="69">
        <v>5.7569264202316506E-3</v>
      </c>
    </row>
    <row r="3589" spans="1:6" x14ac:dyDescent="0.3">
      <c r="A3589" s="24">
        <v>38467</v>
      </c>
      <c r="B3589" s="66">
        <v>488.13500000000005</v>
      </c>
      <c r="C3589" s="67"/>
      <c r="D3589" s="68">
        <v>0</v>
      </c>
      <c r="E3589" s="110">
        <f t="shared" si="56"/>
        <v>37193</v>
      </c>
      <c r="F3589" s="69">
        <v>5.7569264202316506E-3</v>
      </c>
    </row>
    <row r="3590" spans="1:6" x14ac:dyDescent="0.3">
      <c r="A3590" s="24">
        <v>38468</v>
      </c>
      <c r="B3590" s="66">
        <v>488.13500000000005</v>
      </c>
      <c r="C3590" s="67"/>
      <c r="D3590" s="68">
        <v>0</v>
      </c>
      <c r="E3590" s="110">
        <f t="shared" si="56"/>
        <v>37193</v>
      </c>
      <c r="F3590" s="69">
        <v>5.7569264202316506E-3</v>
      </c>
    </row>
    <row r="3591" spans="1:6" x14ac:dyDescent="0.3">
      <c r="A3591" s="24">
        <v>38469</v>
      </c>
      <c r="B3591" s="66">
        <v>488.13500000000005</v>
      </c>
      <c r="C3591" s="67"/>
      <c r="D3591" s="68">
        <v>0</v>
      </c>
      <c r="E3591" s="110">
        <f t="shared" si="56"/>
        <v>37193</v>
      </c>
      <c r="F3591" s="69">
        <v>5.7569264202316506E-3</v>
      </c>
    </row>
    <row r="3592" spans="1:6" x14ac:dyDescent="0.3">
      <c r="A3592" s="24">
        <v>38470</v>
      </c>
      <c r="B3592" s="66">
        <v>488.13500000000005</v>
      </c>
      <c r="C3592" s="67"/>
      <c r="D3592" s="68">
        <v>0</v>
      </c>
      <c r="E3592" s="110">
        <f t="shared" si="56"/>
        <v>37193</v>
      </c>
      <c r="F3592" s="69">
        <v>5.7569264202316506E-3</v>
      </c>
    </row>
    <row r="3593" spans="1:6" x14ac:dyDescent="0.3">
      <c r="A3593" s="24">
        <v>38471</v>
      </c>
      <c r="B3593" s="66">
        <v>488.13500000000005</v>
      </c>
      <c r="C3593" s="67"/>
      <c r="D3593" s="68">
        <v>0</v>
      </c>
      <c r="E3593" s="110">
        <f t="shared" si="56"/>
        <v>37193</v>
      </c>
      <c r="F3593" s="69">
        <v>5.7569264202316506E-3</v>
      </c>
    </row>
    <row r="3594" spans="1:6" x14ac:dyDescent="0.3">
      <c r="A3594" s="24">
        <v>38472</v>
      </c>
      <c r="B3594" s="66">
        <v>488.13500000000005</v>
      </c>
      <c r="C3594" s="67"/>
      <c r="D3594" s="68">
        <v>0</v>
      </c>
      <c r="E3594" s="110">
        <f t="shared" si="56"/>
        <v>37193</v>
      </c>
      <c r="F3594" s="69">
        <v>5.7569264202316506E-3</v>
      </c>
    </row>
    <row r="3595" spans="1:6" x14ac:dyDescent="0.3">
      <c r="A3595" s="24">
        <v>38473</v>
      </c>
      <c r="B3595" s="66">
        <v>488.13500000000005</v>
      </c>
      <c r="C3595" s="67"/>
      <c r="D3595" s="68">
        <v>0</v>
      </c>
      <c r="E3595" s="110">
        <f t="shared" si="56"/>
        <v>37193</v>
      </c>
      <c r="F3595" s="69">
        <v>5.7569264202316506E-3</v>
      </c>
    </row>
    <row r="3596" spans="1:6" x14ac:dyDescent="0.3">
      <c r="A3596" s="24">
        <v>38474</v>
      </c>
      <c r="B3596" s="66">
        <v>488.13500000000005</v>
      </c>
      <c r="C3596" s="67"/>
      <c r="D3596" s="68">
        <v>0</v>
      </c>
      <c r="E3596" s="110">
        <f t="shared" si="56"/>
        <v>37193</v>
      </c>
      <c r="F3596" s="69">
        <v>5.7569264202316506E-3</v>
      </c>
    </row>
    <row r="3597" spans="1:6" x14ac:dyDescent="0.3">
      <c r="A3597" s="24">
        <v>38475</v>
      </c>
      <c r="B3597" s="66">
        <v>488.13500000000005</v>
      </c>
      <c r="C3597" s="67"/>
      <c r="D3597" s="68">
        <v>0</v>
      </c>
      <c r="E3597" s="110">
        <f t="shared" si="56"/>
        <v>37193</v>
      </c>
      <c r="F3597" s="69">
        <v>5.7569264202316506E-3</v>
      </c>
    </row>
    <row r="3598" spans="1:6" x14ac:dyDescent="0.3">
      <c r="A3598" s="24">
        <v>38476</v>
      </c>
      <c r="B3598" s="66">
        <v>488.13500000000005</v>
      </c>
      <c r="C3598" s="67"/>
      <c r="D3598" s="68">
        <v>0</v>
      </c>
      <c r="E3598" s="110">
        <f t="shared" si="56"/>
        <v>37193</v>
      </c>
      <c r="F3598" s="69">
        <v>5.7569264202316506E-3</v>
      </c>
    </row>
    <row r="3599" spans="1:6" x14ac:dyDescent="0.3">
      <c r="A3599" s="24">
        <v>38477</v>
      </c>
      <c r="B3599" s="66">
        <v>488.13500000000005</v>
      </c>
      <c r="C3599" s="67"/>
      <c r="D3599" s="68">
        <v>0</v>
      </c>
      <c r="E3599" s="110">
        <f t="shared" si="56"/>
        <v>37193</v>
      </c>
      <c r="F3599" s="69">
        <v>5.7569264202316506E-3</v>
      </c>
    </row>
    <row r="3600" spans="1:6" x14ac:dyDescent="0.3">
      <c r="A3600" s="24">
        <v>38478</v>
      </c>
      <c r="B3600" s="66">
        <v>488.13500000000005</v>
      </c>
      <c r="C3600" s="67"/>
      <c r="D3600" s="68">
        <v>0</v>
      </c>
      <c r="E3600" s="110">
        <f t="shared" si="56"/>
        <v>37193</v>
      </c>
      <c r="F3600" s="69">
        <v>5.7569264202316506E-3</v>
      </c>
    </row>
    <row r="3601" spans="1:6" x14ac:dyDescent="0.3">
      <c r="A3601" s="24">
        <v>38479</v>
      </c>
      <c r="B3601" s="66">
        <v>488.13500000000005</v>
      </c>
      <c r="C3601" s="67"/>
      <c r="D3601" s="68">
        <v>0</v>
      </c>
      <c r="E3601" s="110">
        <f t="shared" si="56"/>
        <v>37193</v>
      </c>
      <c r="F3601" s="69">
        <v>5.7569264202316506E-3</v>
      </c>
    </row>
    <row r="3602" spans="1:6" x14ac:dyDescent="0.3">
      <c r="A3602" s="24">
        <v>38480</v>
      </c>
      <c r="B3602" s="66">
        <v>488.13500000000005</v>
      </c>
      <c r="C3602" s="67"/>
      <c r="D3602" s="68">
        <v>0</v>
      </c>
      <c r="E3602" s="110">
        <f t="shared" ref="E3602:E3665" si="57">+E3601</f>
        <v>37193</v>
      </c>
      <c r="F3602" s="69">
        <v>5.7569264202316506E-3</v>
      </c>
    </row>
    <row r="3603" spans="1:6" x14ac:dyDescent="0.3">
      <c r="A3603" s="24">
        <v>38481</v>
      </c>
      <c r="B3603" s="66">
        <v>488.13500000000005</v>
      </c>
      <c r="C3603" s="67"/>
      <c r="D3603" s="68">
        <v>0</v>
      </c>
      <c r="E3603" s="110">
        <f t="shared" si="57"/>
        <v>37193</v>
      </c>
      <c r="F3603" s="69">
        <v>5.7569264202316506E-3</v>
      </c>
    </row>
    <row r="3604" spans="1:6" x14ac:dyDescent="0.3">
      <c r="A3604" s="24">
        <v>38482</v>
      </c>
      <c r="B3604" s="66">
        <v>488.13500000000005</v>
      </c>
      <c r="C3604" s="67"/>
      <c r="D3604" s="68">
        <v>0</v>
      </c>
      <c r="E3604" s="110">
        <f t="shared" si="57"/>
        <v>37193</v>
      </c>
      <c r="F3604" s="69">
        <v>5.7569264202316506E-3</v>
      </c>
    </row>
    <row r="3605" spans="1:6" x14ac:dyDescent="0.3">
      <c r="A3605" s="24">
        <v>38483</v>
      </c>
      <c r="B3605" s="66">
        <v>488.13500000000005</v>
      </c>
      <c r="C3605" s="67"/>
      <c r="D3605" s="68">
        <v>0</v>
      </c>
      <c r="E3605" s="110">
        <f t="shared" si="57"/>
        <v>37193</v>
      </c>
      <c r="F3605" s="69">
        <v>5.7569264202316506E-3</v>
      </c>
    </row>
    <row r="3606" spans="1:6" x14ac:dyDescent="0.3">
      <c r="A3606" s="24">
        <v>38484</v>
      </c>
      <c r="B3606" s="66">
        <v>488.13500000000005</v>
      </c>
      <c r="C3606" s="67"/>
      <c r="D3606" s="68">
        <v>0</v>
      </c>
      <c r="E3606" s="110">
        <f t="shared" si="57"/>
        <v>37193</v>
      </c>
      <c r="F3606" s="69">
        <v>5.7569264202316506E-3</v>
      </c>
    </row>
    <row r="3607" spans="1:6" x14ac:dyDescent="0.3">
      <c r="A3607" s="24">
        <v>38485</v>
      </c>
      <c r="B3607" s="66">
        <v>488.13500000000005</v>
      </c>
      <c r="C3607" s="67"/>
      <c r="D3607" s="68">
        <v>0</v>
      </c>
      <c r="E3607" s="110">
        <f t="shared" si="57"/>
        <v>37193</v>
      </c>
      <c r="F3607" s="69">
        <v>5.7569264202316506E-3</v>
      </c>
    </row>
    <row r="3608" spans="1:6" x14ac:dyDescent="0.3">
      <c r="A3608" s="24">
        <v>38486</v>
      </c>
      <c r="B3608" s="66">
        <v>488.13500000000005</v>
      </c>
      <c r="C3608" s="67"/>
      <c r="D3608" s="68">
        <v>0</v>
      </c>
      <c r="E3608" s="110">
        <f t="shared" si="57"/>
        <v>37193</v>
      </c>
      <c r="F3608" s="69">
        <v>5.7569264202316506E-3</v>
      </c>
    </row>
    <row r="3609" spans="1:6" x14ac:dyDescent="0.3">
      <c r="A3609" s="24">
        <v>38487</v>
      </c>
      <c r="B3609" s="66">
        <v>488.13500000000005</v>
      </c>
      <c r="C3609" s="67"/>
      <c r="D3609" s="68">
        <v>0</v>
      </c>
      <c r="E3609" s="110">
        <f t="shared" si="57"/>
        <v>37193</v>
      </c>
      <c r="F3609" s="69">
        <v>5.7569264202316506E-3</v>
      </c>
    </row>
    <row r="3610" spans="1:6" x14ac:dyDescent="0.3">
      <c r="A3610" s="24">
        <v>38488</v>
      </c>
      <c r="B3610" s="66">
        <v>488.13500000000005</v>
      </c>
      <c r="C3610" s="67"/>
      <c r="D3610" s="68">
        <v>0</v>
      </c>
      <c r="E3610" s="110">
        <f t="shared" si="57"/>
        <v>37193</v>
      </c>
      <c r="F3610" s="69">
        <v>5.7569264202316506E-3</v>
      </c>
    </row>
    <row r="3611" spans="1:6" x14ac:dyDescent="0.3">
      <c r="A3611" s="24">
        <v>38489</v>
      </c>
      <c r="B3611" s="66">
        <v>488.13500000000005</v>
      </c>
      <c r="C3611" s="67"/>
      <c r="D3611" s="68">
        <v>0</v>
      </c>
      <c r="E3611" s="110">
        <f t="shared" si="57"/>
        <v>37193</v>
      </c>
      <c r="F3611" s="69">
        <v>5.7569264202316506E-3</v>
      </c>
    </row>
    <row r="3612" spans="1:6" x14ac:dyDescent="0.3">
      <c r="A3612" s="24">
        <v>38490</v>
      </c>
      <c r="B3612" s="66">
        <v>488.13500000000005</v>
      </c>
      <c r="C3612" s="67"/>
      <c r="D3612" s="68">
        <v>0</v>
      </c>
      <c r="E3612" s="110">
        <f t="shared" si="57"/>
        <v>37193</v>
      </c>
      <c r="F3612" s="69">
        <v>5.7569264202316506E-3</v>
      </c>
    </row>
    <row r="3613" spans="1:6" x14ac:dyDescent="0.3">
      <c r="A3613" s="24">
        <v>38491</v>
      </c>
      <c r="B3613" s="66">
        <v>488.13500000000005</v>
      </c>
      <c r="C3613" s="67"/>
      <c r="D3613" s="68">
        <v>0</v>
      </c>
      <c r="E3613" s="110">
        <f t="shared" si="57"/>
        <v>37193</v>
      </c>
      <c r="F3613" s="69">
        <v>5.7569264202316506E-3</v>
      </c>
    </row>
    <row r="3614" spans="1:6" x14ac:dyDescent="0.3">
      <c r="A3614" s="24">
        <v>38492</v>
      </c>
      <c r="B3614" s="66">
        <v>488.13500000000005</v>
      </c>
      <c r="C3614" s="67"/>
      <c r="D3614" s="68">
        <v>4.576998581421944</v>
      </c>
      <c r="E3614" s="110">
        <f t="shared" si="57"/>
        <v>37193</v>
      </c>
      <c r="F3614" s="69">
        <v>1.0030238826748651E-2</v>
      </c>
    </row>
    <row r="3615" spans="1:6" x14ac:dyDescent="0.3">
      <c r="A3615" s="24">
        <v>38493</v>
      </c>
      <c r="B3615" s="66">
        <v>488.13500000000005</v>
      </c>
      <c r="C3615" s="67"/>
      <c r="D3615" s="68">
        <v>0</v>
      </c>
      <c r="E3615" s="110">
        <f t="shared" si="57"/>
        <v>37193</v>
      </c>
      <c r="F3615" s="69">
        <v>1.0030238826748651E-2</v>
      </c>
    </row>
    <row r="3616" spans="1:6" x14ac:dyDescent="0.3">
      <c r="A3616" s="24">
        <v>38494</v>
      </c>
      <c r="B3616" s="66">
        <v>488.13500000000005</v>
      </c>
      <c r="C3616" s="67"/>
      <c r="D3616" s="68">
        <v>0</v>
      </c>
      <c r="E3616" s="110">
        <f t="shared" si="57"/>
        <v>37193</v>
      </c>
      <c r="F3616" s="69">
        <v>1.0030238826748651E-2</v>
      </c>
    </row>
    <row r="3617" spans="1:6" x14ac:dyDescent="0.3">
      <c r="A3617" s="24">
        <v>38495</v>
      </c>
      <c r="B3617" s="66">
        <v>488.13500000000005</v>
      </c>
      <c r="C3617" s="67"/>
      <c r="D3617" s="68">
        <v>0</v>
      </c>
      <c r="E3617" s="110">
        <f t="shared" si="57"/>
        <v>37193</v>
      </c>
      <c r="F3617" s="69">
        <v>1.0030238826748651E-2</v>
      </c>
    </row>
    <row r="3618" spans="1:6" x14ac:dyDescent="0.3">
      <c r="A3618" s="24">
        <v>38496</v>
      </c>
      <c r="B3618" s="66">
        <v>488.13500000000005</v>
      </c>
      <c r="C3618" s="67"/>
      <c r="D3618" s="68">
        <v>0</v>
      </c>
      <c r="E3618" s="110">
        <f t="shared" si="57"/>
        <v>37193</v>
      </c>
      <c r="F3618" s="69">
        <v>1.0030238826748651E-2</v>
      </c>
    </row>
    <row r="3619" spans="1:6" x14ac:dyDescent="0.3">
      <c r="A3619" s="24">
        <v>38497</v>
      </c>
      <c r="B3619" s="66">
        <v>488.13500000000005</v>
      </c>
      <c r="C3619" s="67"/>
      <c r="D3619" s="68">
        <v>0</v>
      </c>
      <c r="E3619" s="110">
        <f t="shared" si="57"/>
        <v>37193</v>
      </c>
      <c r="F3619" s="69">
        <v>1.0030238826748651E-2</v>
      </c>
    </row>
    <row r="3620" spans="1:6" x14ac:dyDescent="0.3">
      <c r="A3620" s="24">
        <v>38498</v>
      </c>
      <c r="B3620" s="66">
        <v>488.13500000000005</v>
      </c>
      <c r="C3620" s="67"/>
      <c r="D3620" s="68">
        <v>0</v>
      </c>
      <c r="E3620" s="110">
        <f t="shared" si="57"/>
        <v>37193</v>
      </c>
      <c r="F3620" s="69">
        <v>1.0030238826748651E-2</v>
      </c>
    </row>
    <row r="3621" spans="1:6" x14ac:dyDescent="0.3">
      <c r="A3621" s="24">
        <v>38499</v>
      </c>
      <c r="B3621" s="66">
        <v>488.13500000000005</v>
      </c>
      <c r="C3621" s="67"/>
      <c r="D3621" s="68">
        <v>0</v>
      </c>
      <c r="E3621" s="110">
        <f t="shared" si="57"/>
        <v>37193</v>
      </c>
      <c r="F3621" s="69">
        <v>1.0030238826748651E-2</v>
      </c>
    </row>
    <row r="3622" spans="1:6" x14ac:dyDescent="0.3">
      <c r="A3622" s="24">
        <v>38500</v>
      </c>
      <c r="B3622" s="66">
        <v>488.13500000000005</v>
      </c>
      <c r="C3622" s="67"/>
      <c r="D3622" s="68">
        <v>0</v>
      </c>
      <c r="E3622" s="110">
        <f t="shared" si="57"/>
        <v>37193</v>
      </c>
      <c r="F3622" s="69">
        <v>1.0030238826748651E-2</v>
      </c>
    </row>
    <row r="3623" spans="1:6" x14ac:dyDescent="0.3">
      <c r="A3623" s="24">
        <v>38501</v>
      </c>
      <c r="B3623" s="66">
        <v>488.13500000000005</v>
      </c>
      <c r="C3623" s="67"/>
      <c r="D3623" s="68">
        <v>0</v>
      </c>
      <c r="E3623" s="110">
        <f t="shared" si="57"/>
        <v>37193</v>
      </c>
      <c r="F3623" s="69">
        <v>1.0030238826748651E-2</v>
      </c>
    </row>
    <row r="3624" spans="1:6" x14ac:dyDescent="0.3">
      <c r="A3624" s="24">
        <v>38502</v>
      </c>
      <c r="B3624" s="66">
        <v>488.13500000000005</v>
      </c>
      <c r="C3624" s="67"/>
      <c r="D3624" s="68">
        <v>0</v>
      </c>
      <c r="E3624" s="110">
        <f t="shared" si="57"/>
        <v>37193</v>
      </c>
      <c r="F3624" s="69">
        <v>1.0030238826748651E-2</v>
      </c>
    </row>
    <row r="3625" spans="1:6" x14ac:dyDescent="0.3">
      <c r="A3625" s="24">
        <v>38503</v>
      </c>
      <c r="B3625" s="66">
        <v>488.13500000000005</v>
      </c>
      <c r="C3625" s="67"/>
      <c r="D3625" s="68">
        <v>0</v>
      </c>
      <c r="E3625" s="110">
        <f t="shared" si="57"/>
        <v>37193</v>
      </c>
      <c r="F3625" s="69">
        <v>1.0030238826748651E-2</v>
      </c>
    </row>
    <row r="3626" spans="1:6" x14ac:dyDescent="0.3">
      <c r="A3626" s="24">
        <v>38504</v>
      </c>
      <c r="B3626" s="66">
        <v>488.13500000000005</v>
      </c>
      <c r="C3626" s="67"/>
      <c r="D3626" s="68">
        <v>0</v>
      </c>
      <c r="E3626" s="110">
        <f t="shared" si="57"/>
        <v>37193</v>
      </c>
      <c r="F3626" s="69">
        <v>1.0030238826748651E-2</v>
      </c>
    </row>
    <row r="3627" spans="1:6" x14ac:dyDescent="0.3">
      <c r="A3627" s="24">
        <v>38505</v>
      </c>
      <c r="B3627" s="66">
        <v>488.13500000000005</v>
      </c>
      <c r="C3627" s="67"/>
      <c r="D3627" s="68">
        <v>0</v>
      </c>
      <c r="E3627" s="110">
        <f t="shared" si="57"/>
        <v>37193</v>
      </c>
      <c r="F3627" s="69">
        <v>1.0030238826748651E-2</v>
      </c>
    </row>
    <row r="3628" spans="1:6" x14ac:dyDescent="0.3">
      <c r="A3628" s="24">
        <v>38506</v>
      </c>
      <c r="B3628" s="66">
        <v>488.13500000000005</v>
      </c>
      <c r="C3628" s="67"/>
      <c r="D3628" s="68">
        <v>0</v>
      </c>
      <c r="E3628" s="110">
        <f t="shared" si="57"/>
        <v>37193</v>
      </c>
      <c r="F3628" s="69">
        <v>1.0030238826748651E-2</v>
      </c>
    </row>
    <row r="3629" spans="1:6" x14ac:dyDescent="0.3">
      <c r="A3629" s="24">
        <v>38507</v>
      </c>
      <c r="B3629" s="66">
        <v>488.13500000000005</v>
      </c>
      <c r="C3629" s="67"/>
      <c r="D3629" s="68">
        <v>0</v>
      </c>
      <c r="E3629" s="110">
        <f t="shared" si="57"/>
        <v>37193</v>
      </c>
      <c r="F3629" s="69">
        <v>1.0030238826748651E-2</v>
      </c>
    </row>
    <row r="3630" spans="1:6" x14ac:dyDescent="0.3">
      <c r="A3630" s="24">
        <v>38508</v>
      </c>
      <c r="B3630" s="66">
        <v>488.13500000000005</v>
      </c>
      <c r="C3630" s="67"/>
      <c r="D3630" s="68">
        <v>0</v>
      </c>
      <c r="E3630" s="110">
        <f t="shared" si="57"/>
        <v>37193</v>
      </c>
      <c r="F3630" s="69">
        <v>1.0030238826748651E-2</v>
      </c>
    </row>
    <row r="3631" spans="1:6" x14ac:dyDescent="0.3">
      <c r="A3631" s="24">
        <v>38509</v>
      </c>
      <c r="B3631" s="66">
        <v>488.13500000000005</v>
      </c>
      <c r="C3631" s="67"/>
      <c r="D3631" s="68">
        <v>0</v>
      </c>
      <c r="E3631" s="110">
        <f t="shared" si="57"/>
        <v>37193</v>
      </c>
      <c r="F3631" s="69">
        <v>1.0030238826748651E-2</v>
      </c>
    </row>
    <row r="3632" spans="1:6" x14ac:dyDescent="0.3">
      <c r="A3632" s="24">
        <v>38510</v>
      </c>
      <c r="B3632" s="66">
        <v>488.13500000000005</v>
      </c>
      <c r="C3632" s="67"/>
      <c r="D3632" s="68">
        <v>0</v>
      </c>
      <c r="E3632" s="110">
        <f t="shared" si="57"/>
        <v>37193</v>
      </c>
      <c r="F3632" s="69">
        <v>1.0030238826748651E-2</v>
      </c>
    </row>
    <row r="3633" spans="1:6" x14ac:dyDescent="0.3">
      <c r="A3633" s="24">
        <v>38511</v>
      </c>
      <c r="B3633" s="66">
        <v>488.13500000000005</v>
      </c>
      <c r="C3633" s="67"/>
      <c r="D3633" s="68">
        <v>0</v>
      </c>
      <c r="E3633" s="110">
        <f t="shared" si="57"/>
        <v>37193</v>
      </c>
      <c r="F3633" s="69">
        <v>1.0030238826748651E-2</v>
      </c>
    </row>
    <row r="3634" spans="1:6" x14ac:dyDescent="0.3">
      <c r="A3634" s="24">
        <v>38512</v>
      </c>
      <c r="B3634" s="66">
        <v>488.13500000000005</v>
      </c>
      <c r="C3634" s="67"/>
      <c r="D3634" s="68">
        <v>0</v>
      </c>
      <c r="E3634" s="110">
        <f t="shared" si="57"/>
        <v>37193</v>
      </c>
      <c r="F3634" s="69">
        <v>1.0030238826748651E-2</v>
      </c>
    </row>
    <row r="3635" spans="1:6" x14ac:dyDescent="0.3">
      <c r="A3635" s="24">
        <v>38513</v>
      </c>
      <c r="B3635" s="66">
        <v>488.13500000000005</v>
      </c>
      <c r="C3635" s="67"/>
      <c r="D3635" s="68">
        <v>0</v>
      </c>
      <c r="E3635" s="110">
        <f t="shared" si="57"/>
        <v>37193</v>
      </c>
      <c r="F3635" s="69">
        <v>1.0030238826748651E-2</v>
      </c>
    </row>
    <row r="3636" spans="1:6" x14ac:dyDescent="0.3">
      <c r="A3636" s="24">
        <v>38514</v>
      </c>
      <c r="B3636" s="66">
        <v>488.13500000000005</v>
      </c>
      <c r="C3636" s="67"/>
      <c r="D3636" s="68">
        <v>0</v>
      </c>
      <c r="E3636" s="110">
        <f t="shared" si="57"/>
        <v>37193</v>
      </c>
      <c r="F3636" s="69">
        <v>1.0030238826748651E-2</v>
      </c>
    </row>
    <row r="3637" spans="1:6" x14ac:dyDescent="0.3">
      <c r="A3637" s="24">
        <v>38515</v>
      </c>
      <c r="B3637" s="66">
        <v>488.13500000000005</v>
      </c>
      <c r="C3637" s="67"/>
      <c r="D3637" s="68">
        <v>0</v>
      </c>
      <c r="E3637" s="110">
        <f t="shared" si="57"/>
        <v>37193</v>
      </c>
      <c r="F3637" s="69">
        <v>1.0030238826748651E-2</v>
      </c>
    </row>
    <row r="3638" spans="1:6" x14ac:dyDescent="0.3">
      <c r="A3638" s="24">
        <v>38516</v>
      </c>
      <c r="B3638" s="66">
        <v>488.13500000000005</v>
      </c>
      <c r="C3638" s="67"/>
      <c r="D3638" s="68">
        <v>0</v>
      </c>
      <c r="E3638" s="110">
        <f t="shared" si="57"/>
        <v>37193</v>
      </c>
      <c r="F3638" s="69">
        <v>1.0030238826748651E-2</v>
      </c>
    </row>
    <row r="3639" spans="1:6" x14ac:dyDescent="0.3">
      <c r="A3639" s="24">
        <v>38517</v>
      </c>
      <c r="B3639" s="66">
        <v>488.13500000000005</v>
      </c>
      <c r="C3639" s="67"/>
      <c r="D3639" s="68">
        <v>0</v>
      </c>
      <c r="E3639" s="110">
        <f t="shared" si="57"/>
        <v>37193</v>
      </c>
      <c r="F3639" s="69">
        <v>1.0030238826748651E-2</v>
      </c>
    </row>
    <row r="3640" spans="1:6" x14ac:dyDescent="0.3">
      <c r="A3640" s="24">
        <v>38518</v>
      </c>
      <c r="B3640" s="66">
        <v>488.13500000000005</v>
      </c>
      <c r="C3640" s="67"/>
      <c r="D3640" s="68">
        <v>0</v>
      </c>
      <c r="E3640" s="110">
        <f t="shared" si="57"/>
        <v>37193</v>
      </c>
      <c r="F3640" s="69">
        <v>1.0030238826748651E-2</v>
      </c>
    </row>
    <row r="3641" spans="1:6" x14ac:dyDescent="0.3">
      <c r="A3641" s="24">
        <v>38519</v>
      </c>
      <c r="B3641" s="66">
        <v>488.13500000000005</v>
      </c>
      <c r="C3641" s="67"/>
      <c r="D3641" s="68">
        <v>0</v>
      </c>
      <c r="E3641" s="110">
        <f t="shared" si="57"/>
        <v>37193</v>
      </c>
      <c r="F3641" s="69">
        <v>1.0030238826748651E-2</v>
      </c>
    </row>
    <row r="3642" spans="1:6" x14ac:dyDescent="0.3">
      <c r="A3642" s="24">
        <v>38520</v>
      </c>
      <c r="B3642" s="66">
        <v>488.13500000000005</v>
      </c>
      <c r="C3642" s="67"/>
      <c r="D3642" s="68">
        <v>0</v>
      </c>
      <c r="E3642" s="110">
        <f t="shared" si="57"/>
        <v>37193</v>
      </c>
      <c r="F3642" s="69">
        <v>1.0030238826748651E-2</v>
      </c>
    </row>
    <row r="3643" spans="1:6" x14ac:dyDescent="0.3">
      <c r="A3643" s="24">
        <v>38521</v>
      </c>
      <c r="B3643" s="66">
        <v>488.13500000000005</v>
      </c>
      <c r="C3643" s="67"/>
      <c r="D3643" s="68">
        <v>0</v>
      </c>
      <c r="E3643" s="110">
        <f t="shared" si="57"/>
        <v>37193</v>
      </c>
      <c r="F3643" s="69">
        <v>1.0030238826748651E-2</v>
      </c>
    </row>
    <row r="3644" spans="1:6" x14ac:dyDescent="0.3">
      <c r="A3644" s="24">
        <v>38522</v>
      </c>
      <c r="B3644" s="66">
        <v>488.13500000000005</v>
      </c>
      <c r="C3644" s="67"/>
      <c r="D3644" s="68">
        <v>0</v>
      </c>
      <c r="E3644" s="110">
        <f t="shared" si="57"/>
        <v>37193</v>
      </c>
      <c r="F3644" s="69">
        <v>1.0030238826748651E-2</v>
      </c>
    </row>
    <row r="3645" spans="1:6" x14ac:dyDescent="0.3">
      <c r="A3645" s="24">
        <v>38523</v>
      </c>
      <c r="B3645" s="66">
        <v>488.13500000000005</v>
      </c>
      <c r="C3645" s="67"/>
      <c r="D3645" s="68">
        <v>0</v>
      </c>
      <c r="E3645" s="110">
        <f t="shared" si="57"/>
        <v>37193</v>
      </c>
      <c r="F3645" s="69">
        <v>1.0030238826748651E-2</v>
      </c>
    </row>
    <row r="3646" spans="1:6" x14ac:dyDescent="0.3">
      <c r="A3646" s="24">
        <v>38524</v>
      </c>
      <c r="B3646" s="66">
        <v>488.13500000000005</v>
      </c>
      <c r="C3646" s="67"/>
      <c r="D3646" s="68">
        <v>0</v>
      </c>
      <c r="E3646" s="110">
        <f t="shared" si="57"/>
        <v>37193</v>
      </c>
      <c r="F3646" s="69">
        <v>1.0030238826748651E-2</v>
      </c>
    </row>
    <row r="3647" spans="1:6" x14ac:dyDescent="0.3">
      <c r="A3647" s="24">
        <v>38525</v>
      </c>
      <c r="B3647" s="66">
        <v>488.13500000000005</v>
      </c>
      <c r="C3647" s="67"/>
      <c r="D3647" s="68">
        <v>0</v>
      </c>
      <c r="E3647" s="110">
        <f t="shared" si="57"/>
        <v>37193</v>
      </c>
      <c r="F3647" s="69">
        <v>1.0030238826748651E-2</v>
      </c>
    </row>
    <row r="3648" spans="1:6" x14ac:dyDescent="0.3">
      <c r="A3648" s="24">
        <v>38526</v>
      </c>
      <c r="B3648" s="66">
        <v>488.13500000000005</v>
      </c>
      <c r="C3648" s="67"/>
      <c r="D3648" s="68">
        <v>0</v>
      </c>
      <c r="E3648" s="110">
        <f t="shared" si="57"/>
        <v>37193</v>
      </c>
      <c r="F3648" s="69">
        <v>1.0030238826748651E-2</v>
      </c>
    </row>
    <row r="3649" spans="1:6" x14ac:dyDescent="0.3">
      <c r="A3649" s="24">
        <v>38527</v>
      </c>
      <c r="B3649" s="66">
        <v>488.13500000000005</v>
      </c>
      <c r="C3649" s="67"/>
      <c r="D3649" s="68">
        <v>0</v>
      </c>
      <c r="E3649" s="110">
        <f t="shared" si="57"/>
        <v>37193</v>
      </c>
      <c r="F3649" s="69">
        <v>1.0030238826748651E-2</v>
      </c>
    </row>
    <row r="3650" spans="1:6" x14ac:dyDescent="0.3">
      <c r="A3650" s="24">
        <v>38528</v>
      </c>
      <c r="B3650" s="66">
        <v>488.13500000000005</v>
      </c>
      <c r="C3650" s="67"/>
      <c r="D3650" s="68">
        <v>0</v>
      </c>
      <c r="E3650" s="110">
        <f t="shared" si="57"/>
        <v>37193</v>
      </c>
      <c r="F3650" s="69">
        <v>1.0030238826748651E-2</v>
      </c>
    </row>
    <row r="3651" spans="1:6" x14ac:dyDescent="0.3">
      <c r="A3651" s="24">
        <v>38529</v>
      </c>
      <c r="B3651" s="66">
        <v>488.13500000000005</v>
      </c>
      <c r="C3651" s="67"/>
      <c r="D3651" s="68">
        <v>0</v>
      </c>
      <c r="E3651" s="110">
        <f t="shared" si="57"/>
        <v>37193</v>
      </c>
      <c r="F3651" s="69">
        <v>1.0030238826748651E-2</v>
      </c>
    </row>
    <row r="3652" spans="1:6" x14ac:dyDescent="0.3">
      <c r="A3652" s="24">
        <v>38530</v>
      </c>
      <c r="B3652" s="66">
        <v>488.13500000000005</v>
      </c>
      <c r="C3652" s="67"/>
      <c r="D3652" s="68">
        <v>0</v>
      </c>
      <c r="E3652" s="110">
        <f t="shared" si="57"/>
        <v>37193</v>
      </c>
      <c r="F3652" s="69">
        <v>1.0030238826748651E-2</v>
      </c>
    </row>
    <row r="3653" spans="1:6" x14ac:dyDescent="0.3">
      <c r="A3653" s="24">
        <v>38531</v>
      </c>
      <c r="B3653" s="66">
        <v>488.13500000000005</v>
      </c>
      <c r="C3653" s="67"/>
      <c r="D3653" s="68">
        <v>0</v>
      </c>
      <c r="E3653" s="110">
        <f t="shared" si="57"/>
        <v>37193</v>
      </c>
      <c r="F3653" s="69">
        <v>1.0030238826748651E-2</v>
      </c>
    </row>
    <row r="3654" spans="1:6" x14ac:dyDescent="0.3">
      <c r="A3654" s="24">
        <v>38532</v>
      </c>
      <c r="B3654" s="66">
        <v>488.13500000000005</v>
      </c>
      <c r="C3654" s="67"/>
      <c r="D3654" s="68">
        <v>0</v>
      </c>
      <c r="E3654" s="110">
        <f t="shared" si="57"/>
        <v>37193</v>
      </c>
      <c r="F3654" s="69">
        <v>9.850252403750594E-3</v>
      </c>
    </row>
    <row r="3655" spans="1:6" x14ac:dyDescent="0.3">
      <c r="A3655" s="24">
        <v>38533</v>
      </c>
      <c r="B3655" s="66">
        <v>499.08900000000006</v>
      </c>
      <c r="C3655" s="67"/>
      <c r="D3655" s="68">
        <v>0</v>
      </c>
      <c r="E3655" s="110">
        <f t="shared" si="57"/>
        <v>37193</v>
      </c>
      <c r="F3655" s="69">
        <v>9.850252403750594E-3</v>
      </c>
    </row>
    <row r="3656" spans="1:6" x14ac:dyDescent="0.3">
      <c r="A3656" s="24">
        <v>38534</v>
      </c>
      <c r="B3656" s="66">
        <v>499.08900000000006</v>
      </c>
      <c r="C3656" s="67"/>
      <c r="D3656" s="68">
        <v>0</v>
      </c>
      <c r="E3656" s="110">
        <f t="shared" si="57"/>
        <v>37193</v>
      </c>
      <c r="F3656" s="69">
        <v>9.850252403750594E-3</v>
      </c>
    </row>
    <row r="3657" spans="1:6" x14ac:dyDescent="0.3">
      <c r="A3657" s="24">
        <v>38535</v>
      </c>
      <c r="B3657" s="66">
        <v>499.08900000000006</v>
      </c>
      <c r="C3657" s="67"/>
      <c r="D3657" s="68">
        <v>0</v>
      </c>
      <c r="E3657" s="110">
        <f t="shared" si="57"/>
        <v>37193</v>
      </c>
      <c r="F3657" s="69">
        <v>9.850252403750594E-3</v>
      </c>
    </row>
    <row r="3658" spans="1:6" x14ac:dyDescent="0.3">
      <c r="A3658" s="24">
        <v>38536</v>
      </c>
      <c r="B3658" s="66">
        <v>499.08900000000006</v>
      </c>
      <c r="C3658" s="67"/>
      <c r="D3658" s="68">
        <v>0</v>
      </c>
      <c r="E3658" s="110">
        <f t="shared" si="57"/>
        <v>37193</v>
      </c>
      <c r="F3658" s="69">
        <v>9.850252403750594E-3</v>
      </c>
    </row>
    <row r="3659" spans="1:6" x14ac:dyDescent="0.3">
      <c r="A3659" s="24">
        <v>38537</v>
      </c>
      <c r="B3659" s="66">
        <v>499.08900000000006</v>
      </c>
      <c r="C3659" s="67"/>
      <c r="D3659" s="68">
        <v>0</v>
      </c>
      <c r="E3659" s="110">
        <f t="shared" si="57"/>
        <v>37193</v>
      </c>
      <c r="F3659" s="69">
        <v>9.850252403750594E-3</v>
      </c>
    </row>
    <row r="3660" spans="1:6" x14ac:dyDescent="0.3">
      <c r="A3660" s="24">
        <v>38538</v>
      </c>
      <c r="B3660" s="66">
        <v>499.08900000000006</v>
      </c>
      <c r="C3660" s="67"/>
      <c r="D3660" s="68">
        <v>0</v>
      </c>
      <c r="E3660" s="110">
        <f t="shared" si="57"/>
        <v>37193</v>
      </c>
      <c r="F3660" s="69">
        <v>9.850252403750594E-3</v>
      </c>
    </row>
    <row r="3661" spans="1:6" x14ac:dyDescent="0.3">
      <c r="A3661" s="24">
        <v>38539</v>
      </c>
      <c r="B3661" s="66">
        <v>499.08900000000006</v>
      </c>
      <c r="C3661" s="67"/>
      <c r="D3661" s="68">
        <v>0</v>
      </c>
      <c r="E3661" s="110">
        <f t="shared" si="57"/>
        <v>37193</v>
      </c>
      <c r="F3661" s="69">
        <v>9.850252403750594E-3</v>
      </c>
    </row>
    <row r="3662" spans="1:6" x14ac:dyDescent="0.3">
      <c r="A3662" s="24">
        <v>38540</v>
      </c>
      <c r="B3662" s="66">
        <v>499.08900000000006</v>
      </c>
      <c r="C3662" s="67"/>
      <c r="D3662" s="68">
        <v>0</v>
      </c>
      <c r="E3662" s="110">
        <f t="shared" si="57"/>
        <v>37193</v>
      </c>
      <c r="F3662" s="69">
        <v>9.850252403750594E-3</v>
      </c>
    </row>
    <row r="3663" spans="1:6" x14ac:dyDescent="0.3">
      <c r="A3663" s="24">
        <v>38541</v>
      </c>
      <c r="B3663" s="66">
        <v>499.08900000000006</v>
      </c>
      <c r="C3663" s="67"/>
      <c r="D3663" s="68">
        <v>0</v>
      </c>
      <c r="E3663" s="110">
        <f t="shared" si="57"/>
        <v>37193</v>
      </c>
      <c r="F3663" s="69">
        <v>9.850252403750594E-3</v>
      </c>
    </row>
    <row r="3664" spans="1:6" x14ac:dyDescent="0.3">
      <c r="A3664" s="24">
        <v>38542</v>
      </c>
      <c r="B3664" s="66">
        <v>499.08900000000006</v>
      </c>
      <c r="C3664" s="67"/>
      <c r="D3664" s="68">
        <v>0</v>
      </c>
      <c r="E3664" s="110">
        <f t="shared" si="57"/>
        <v>37193</v>
      </c>
      <c r="F3664" s="69">
        <v>9.850252403750594E-3</v>
      </c>
    </row>
    <row r="3665" spans="1:6" x14ac:dyDescent="0.3">
      <c r="A3665" s="24">
        <v>38543</v>
      </c>
      <c r="B3665" s="66">
        <v>499.08900000000006</v>
      </c>
      <c r="C3665" s="67"/>
      <c r="D3665" s="68">
        <v>0</v>
      </c>
      <c r="E3665" s="110">
        <f t="shared" si="57"/>
        <v>37193</v>
      </c>
      <c r="F3665" s="69">
        <v>9.850252403750594E-3</v>
      </c>
    </row>
    <row r="3666" spans="1:6" x14ac:dyDescent="0.3">
      <c r="A3666" s="24">
        <v>38544</v>
      </c>
      <c r="B3666" s="66">
        <v>499.08900000000006</v>
      </c>
      <c r="C3666" s="67"/>
      <c r="D3666" s="68">
        <v>0</v>
      </c>
      <c r="E3666" s="110">
        <f t="shared" ref="E3666:E3729" si="58">+E3665</f>
        <v>37193</v>
      </c>
      <c r="F3666" s="69">
        <v>9.850252403750594E-3</v>
      </c>
    </row>
    <row r="3667" spans="1:6" x14ac:dyDescent="0.3">
      <c r="A3667" s="24">
        <v>38545</v>
      </c>
      <c r="B3667" s="66">
        <v>499.08900000000006</v>
      </c>
      <c r="C3667" s="67"/>
      <c r="D3667" s="68">
        <v>0</v>
      </c>
      <c r="E3667" s="110">
        <f t="shared" si="58"/>
        <v>37193</v>
      </c>
      <c r="F3667" s="69">
        <v>9.850252403750594E-3</v>
      </c>
    </row>
    <row r="3668" spans="1:6" x14ac:dyDescent="0.3">
      <c r="A3668" s="24">
        <v>38546</v>
      </c>
      <c r="B3668" s="66">
        <v>499.08900000000006</v>
      </c>
      <c r="C3668" s="67"/>
      <c r="D3668" s="68">
        <v>0</v>
      </c>
      <c r="E3668" s="110">
        <f t="shared" si="58"/>
        <v>37193</v>
      </c>
      <c r="F3668" s="69">
        <v>9.850252403750594E-3</v>
      </c>
    </row>
    <row r="3669" spans="1:6" x14ac:dyDescent="0.3">
      <c r="A3669" s="24">
        <v>38547</v>
      </c>
      <c r="B3669" s="66">
        <v>499.08900000000006</v>
      </c>
      <c r="C3669" s="67"/>
      <c r="D3669" s="68">
        <v>0</v>
      </c>
      <c r="E3669" s="110">
        <f t="shared" si="58"/>
        <v>37193</v>
      </c>
      <c r="F3669" s="69">
        <v>9.850252403750594E-3</v>
      </c>
    </row>
    <row r="3670" spans="1:6" x14ac:dyDescent="0.3">
      <c r="A3670" s="24">
        <v>38548</v>
      </c>
      <c r="B3670" s="66">
        <v>499.08900000000006</v>
      </c>
      <c r="C3670" s="67"/>
      <c r="D3670" s="68">
        <v>0</v>
      </c>
      <c r="E3670" s="110">
        <f t="shared" si="58"/>
        <v>37193</v>
      </c>
      <c r="F3670" s="69">
        <v>9.850252403750594E-3</v>
      </c>
    </row>
    <row r="3671" spans="1:6" x14ac:dyDescent="0.3">
      <c r="A3671" s="24">
        <v>38549</v>
      </c>
      <c r="B3671" s="66">
        <v>499.08900000000006</v>
      </c>
      <c r="C3671" s="67"/>
      <c r="D3671" s="68">
        <v>0</v>
      </c>
      <c r="E3671" s="110">
        <f t="shared" si="58"/>
        <v>37193</v>
      </c>
      <c r="F3671" s="69">
        <v>9.850252403750594E-3</v>
      </c>
    </row>
    <row r="3672" spans="1:6" x14ac:dyDescent="0.3">
      <c r="A3672" s="24">
        <v>38550</v>
      </c>
      <c r="B3672" s="66">
        <v>499.08900000000006</v>
      </c>
      <c r="C3672" s="67"/>
      <c r="D3672" s="68">
        <v>0</v>
      </c>
      <c r="E3672" s="110">
        <f t="shared" si="58"/>
        <v>37193</v>
      </c>
      <c r="F3672" s="69">
        <v>9.850252403750594E-3</v>
      </c>
    </row>
    <row r="3673" spans="1:6" x14ac:dyDescent="0.3">
      <c r="A3673" s="24">
        <v>38551</v>
      </c>
      <c r="B3673" s="66">
        <v>499.08900000000006</v>
      </c>
      <c r="C3673" s="67"/>
      <c r="D3673" s="68">
        <v>0</v>
      </c>
      <c r="E3673" s="110">
        <f t="shared" si="58"/>
        <v>37193</v>
      </c>
      <c r="F3673" s="69">
        <v>9.850252403750594E-3</v>
      </c>
    </row>
    <row r="3674" spans="1:6" x14ac:dyDescent="0.3">
      <c r="A3674" s="24">
        <v>38552</v>
      </c>
      <c r="B3674" s="66">
        <v>499.08900000000006</v>
      </c>
      <c r="C3674" s="67"/>
      <c r="D3674" s="68">
        <v>0</v>
      </c>
      <c r="E3674" s="110">
        <f t="shared" si="58"/>
        <v>37193</v>
      </c>
      <c r="F3674" s="69">
        <v>9.850252403750594E-3</v>
      </c>
    </row>
    <row r="3675" spans="1:6" x14ac:dyDescent="0.3">
      <c r="A3675" s="24">
        <v>38553</v>
      </c>
      <c r="B3675" s="66">
        <v>499.08900000000006</v>
      </c>
      <c r="C3675" s="67"/>
      <c r="D3675" s="68">
        <v>0</v>
      </c>
      <c r="E3675" s="110">
        <f t="shared" si="58"/>
        <v>37193</v>
      </c>
      <c r="F3675" s="69">
        <v>9.850252403750594E-3</v>
      </c>
    </row>
    <row r="3676" spans="1:6" x14ac:dyDescent="0.3">
      <c r="A3676" s="24">
        <v>38554</v>
      </c>
      <c r="B3676" s="66">
        <v>499.08900000000006</v>
      </c>
      <c r="C3676" s="67"/>
      <c r="D3676" s="68">
        <v>0</v>
      </c>
      <c r="E3676" s="110">
        <f t="shared" si="58"/>
        <v>37193</v>
      </c>
      <c r="F3676" s="69">
        <v>9.850252403750594E-3</v>
      </c>
    </row>
    <row r="3677" spans="1:6" x14ac:dyDescent="0.3">
      <c r="A3677" s="24">
        <v>38555</v>
      </c>
      <c r="B3677" s="66">
        <v>499.08900000000006</v>
      </c>
      <c r="C3677" s="67"/>
      <c r="D3677" s="68">
        <v>0</v>
      </c>
      <c r="E3677" s="110">
        <f t="shared" si="58"/>
        <v>37193</v>
      </c>
      <c r="F3677" s="69">
        <v>9.850252403750594E-3</v>
      </c>
    </row>
    <row r="3678" spans="1:6" x14ac:dyDescent="0.3">
      <c r="A3678" s="24">
        <v>38556</v>
      </c>
      <c r="B3678" s="66">
        <v>499.08900000000006</v>
      </c>
      <c r="C3678" s="67"/>
      <c r="D3678" s="68">
        <v>0</v>
      </c>
      <c r="E3678" s="110">
        <f t="shared" si="58"/>
        <v>37193</v>
      </c>
      <c r="F3678" s="69">
        <v>9.850252403750594E-3</v>
      </c>
    </row>
    <row r="3679" spans="1:6" x14ac:dyDescent="0.3">
      <c r="A3679" s="24">
        <v>38557</v>
      </c>
      <c r="B3679" s="66">
        <v>499.08900000000006</v>
      </c>
      <c r="C3679" s="67"/>
      <c r="D3679" s="68">
        <v>0</v>
      </c>
      <c r="E3679" s="110">
        <f t="shared" si="58"/>
        <v>37193</v>
      </c>
      <c r="F3679" s="69">
        <v>9.850252403750594E-3</v>
      </c>
    </row>
    <row r="3680" spans="1:6" x14ac:dyDescent="0.3">
      <c r="A3680" s="24">
        <v>38558</v>
      </c>
      <c r="B3680" s="66">
        <v>499.08900000000006</v>
      </c>
      <c r="C3680" s="67"/>
      <c r="D3680" s="68">
        <v>0</v>
      </c>
      <c r="E3680" s="110">
        <f t="shared" si="58"/>
        <v>37193</v>
      </c>
      <c r="F3680" s="69">
        <v>9.850252403750594E-3</v>
      </c>
    </row>
    <row r="3681" spans="1:6" x14ac:dyDescent="0.3">
      <c r="A3681" s="24">
        <v>38559</v>
      </c>
      <c r="B3681" s="66">
        <v>499.08900000000006</v>
      </c>
      <c r="C3681" s="67"/>
      <c r="D3681" s="68">
        <v>0</v>
      </c>
      <c r="E3681" s="110">
        <f t="shared" si="58"/>
        <v>37193</v>
      </c>
      <c r="F3681" s="69">
        <v>9.850252403750594E-3</v>
      </c>
    </row>
    <row r="3682" spans="1:6" x14ac:dyDescent="0.3">
      <c r="A3682" s="24">
        <v>38560</v>
      </c>
      <c r="B3682" s="66">
        <v>499.08900000000006</v>
      </c>
      <c r="C3682" s="67"/>
      <c r="D3682" s="68">
        <v>0</v>
      </c>
      <c r="E3682" s="110">
        <f t="shared" si="58"/>
        <v>37193</v>
      </c>
      <c r="F3682" s="69">
        <v>9.850252403750594E-3</v>
      </c>
    </row>
    <row r="3683" spans="1:6" x14ac:dyDescent="0.3">
      <c r="A3683" s="24">
        <v>38561</v>
      </c>
      <c r="B3683" s="66">
        <v>499.08900000000006</v>
      </c>
      <c r="C3683" s="67"/>
      <c r="D3683" s="68">
        <v>0</v>
      </c>
      <c r="E3683" s="110">
        <f t="shared" si="58"/>
        <v>37193</v>
      </c>
      <c r="F3683" s="69">
        <v>9.850252403750594E-3</v>
      </c>
    </row>
    <row r="3684" spans="1:6" x14ac:dyDescent="0.3">
      <c r="A3684" s="24">
        <v>38562</v>
      </c>
      <c r="B3684" s="66">
        <v>499.08900000000006</v>
      </c>
      <c r="C3684" s="67"/>
      <c r="D3684" s="68">
        <v>0</v>
      </c>
      <c r="E3684" s="110">
        <f t="shared" si="58"/>
        <v>37193</v>
      </c>
      <c r="F3684" s="69">
        <v>9.850252403750594E-3</v>
      </c>
    </row>
    <row r="3685" spans="1:6" x14ac:dyDescent="0.3">
      <c r="A3685" s="24">
        <v>38563</v>
      </c>
      <c r="B3685" s="66">
        <v>499.08900000000006</v>
      </c>
      <c r="C3685" s="67"/>
      <c r="D3685" s="68">
        <v>0</v>
      </c>
      <c r="E3685" s="110">
        <f t="shared" si="58"/>
        <v>37193</v>
      </c>
      <c r="F3685" s="69">
        <v>9.850252403750594E-3</v>
      </c>
    </row>
    <row r="3686" spans="1:6" x14ac:dyDescent="0.3">
      <c r="A3686" s="24">
        <v>38564</v>
      </c>
      <c r="B3686" s="66">
        <v>499.08900000000006</v>
      </c>
      <c r="C3686" s="67"/>
      <c r="D3686" s="68">
        <v>0</v>
      </c>
      <c r="E3686" s="110">
        <f t="shared" si="58"/>
        <v>37193</v>
      </c>
      <c r="F3686" s="69">
        <v>9.850252403750594E-3</v>
      </c>
    </row>
    <row r="3687" spans="1:6" x14ac:dyDescent="0.3">
      <c r="A3687" s="24">
        <v>38565</v>
      </c>
      <c r="B3687" s="66">
        <v>499.08900000000006</v>
      </c>
      <c r="C3687" s="67"/>
      <c r="D3687" s="68">
        <v>0</v>
      </c>
      <c r="E3687" s="110">
        <f t="shared" si="58"/>
        <v>37193</v>
      </c>
      <c r="F3687" s="69">
        <v>9.850252403750594E-3</v>
      </c>
    </row>
    <row r="3688" spans="1:6" x14ac:dyDescent="0.3">
      <c r="A3688" s="24">
        <v>38566</v>
      </c>
      <c r="B3688" s="66">
        <v>499.08900000000006</v>
      </c>
      <c r="C3688" s="67"/>
      <c r="D3688" s="68">
        <v>0</v>
      </c>
      <c r="E3688" s="110">
        <f t="shared" si="58"/>
        <v>37193</v>
      </c>
      <c r="F3688" s="69">
        <v>9.850252403750594E-3</v>
      </c>
    </row>
    <row r="3689" spans="1:6" x14ac:dyDescent="0.3">
      <c r="A3689" s="24">
        <v>38567</v>
      </c>
      <c r="B3689" s="66">
        <v>499.08900000000006</v>
      </c>
      <c r="C3689" s="67"/>
      <c r="D3689" s="68">
        <v>0</v>
      </c>
      <c r="E3689" s="110">
        <f t="shared" si="58"/>
        <v>37193</v>
      </c>
      <c r="F3689" s="69">
        <v>9.850252403750594E-3</v>
      </c>
    </row>
    <row r="3690" spans="1:6" x14ac:dyDescent="0.3">
      <c r="A3690" s="24">
        <v>38568</v>
      </c>
      <c r="B3690" s="66">
        <v>499.08900000000006</v>
      </c>
      <c r="C3690" s="67"/>
      <c r="D3690" s="68">
        <v>0</v>
      </c>
      <c r="E3690" s="110">
        <f t="shared" si="58"/>
        <v>37193</v>
      </c>
      <c r="F3690" s="69">
        <v>9.850252403750594E-3</v>
      </c>
    </row>
    <row r="3691" spans="1:6" x14ac:dyDescent="0.3">
      <c r="A3691" s="24">
        <v>38569</v>
      </c>
      <c r="B3691" s="66">
        <v>499.08900000000006</v>
      </c>
      <c r="C3691" s="67"/>
      <c r="D3691" s="68">
        <v>0</v>
      </c>
      <c r="E3691" s="110">
        <f t="shared" si="58"/>
        <v>37193</v>
      </c>
      <c r="F3691" s="69">
        <v>9.850252403750594E-3</v>
      </c>
    </row>
    <row r="3692" spans="1:6" x14ac:dyDescent="0.3">
      <c r="A3692" s="24">
        <v>38570</v>
      </c>
      <c r="B3692" s="66">
        <v>499.08900000000006</v>
      </c>
      <c r="C3692" s="67"/>
      <c r="D3692" s="68">
        <v>0</v>
      </c>
      <c r="E3692" s="110">
        <f t="shared" si="58"/>
        <v>37193</v>
      </c>
      <c r="F3692" s="69">
        <v>9.850252403750594E-3</v>
      </c>
    </row>
    <row r="3693" spans="1:6" x14ac:dyDescent="0.3">
      <c r="A3693" s="24">
        <v>38571</v>
      </c>
      <c r="B3693" s="66">
        <v>499.08900000000006</v>
      </c>
      <c r="C3693" s="67"/>
      <c r="D3693" s="68">
        <v>0</v>
      </c>
      <c r="E3693" s="110">
        <f t="shared" si="58"/>
        <v>37193</v>
      </c>
      <c r="F3693" s="69">
        <v>9.850252403750594E-3</v>
      </c>
    </row>
    <row r="3694" spans="1:6" x14ac:dyDescent="0.3">
      <c r="A3694" s="24">
        <v>38572</v>
      </c>
      <c r="B3694" s="66">
        <v>499.08900000000006</v>
      </c>
      <c r="C3694" s="67"/>
      <c r="D3694" s="68">
        <v>0</v>
      </c>
      <c r="E3694" s="110">
        <f t="shared" si="58"/>
        <v>37193</v>
      </c>
      <c r="F3694" s="69">
        <v>9.850252403750594E-3</v>
      </c>
    </row>
    <row r="3695" spans="1:6" x14ac:dyDescent="0.3">
      <c r="A3695" s="24">
        <v>38573</v>
      </c>
      <c r="B3695" s="66">
        <v>499.08900000000006</v>
      </c>
      <c r="C3695" s="67"/>
      <c r="D3695" s="68">
        <v>0</v>
      </c>
      <c r="E3695" s="110">
        <f t="shared" si="58"/>
        <v>37193</v>
      </c>
      <c r="F3695" s="69">
        <v>9.850252403750594E-3</v>
      </c>
    </row>
    <row r="3696" spans="1:6" x14ac:dyDescent="0.3">
      <c r="A3696" s="24">
        <v>38574</v>
      </c>
      <c r="B3696" s="66">
        <v>499.08900000000006</v>
      </c>
      <c r="C3696" s="67"/>
      <c r="D3696" s="68">
        <v>0</v>
      </c>
      <c r="E3696" s="110">
        <f t="shared" si="58"/>
        <v>37193</v>
      </c>
      <c r="F3696" s="69">
        <v>9.850252403750594E-3</v>
      </c>
    </row>
    <row r="3697" spans="1:6" x14ac:dyDescent="0.3">
      <c r="A3697" s="24">
        <v>38575</v>
      </c>
      <c r="B3697" s="66">
        <v>499.08900000000006</v>
      </c>
      <c r="C3697" s="67"/>
      <c r="D3697" s="68">
        <v>0</v>
      </c>
      <c r="E3697" s="110">
        <f t="shared" si="58"/>
        <v>37193</v>
      </c>
      <c r="F3697" s="69">
        <v>9.850252403750594E-3</v>
      </c>
    </row>
    <row r="3698" spans="1:6" x14ac:dyDescent="0.3">
      <c r="A3698" s="24">
        <v>38576</v>
      </c>
      <c r="B3698" s="66">
        <v>499.08900000000006</v>
      </c>
      <c r="C3698" s="67"/>
      <c r="D3698" s="68">
        <v>0</v>
      </c>
      <c r="E3698" s="110">
        <f t="shared" si="58"/>
        <v>37193</v>
      </c>
      <c r="F3698" s="69">
        <v>9.850252403750594E-3</v>
      </c>
    </row>
    <row r="3699" spans="1:6" x14ac:dyDescent="0.3">
      <c r="A3699" s="24">
        <v>38577</v>
      </c>
      <c r="B3699" s="66">
        <v>499.08900000000006</v>
      </c>
      <c r="C3699" s="67"/>
      <c r="D3699" s="68">
        <v>0</v>
      </c>
      <c r="E3699" s="110">
        <f t="shared" si="58"/>
        <v>37193</v>
      </c>
      <c r="F3699" s="69">
        <v>9.850252403750594E-3</v>
      </c>
    </row>
    <row r="3700" spans="1:6" x14ac:dyDescent="0.3">
      <c r="A3700" s="24">
        <v>38578</v>
      </c>
      <c r="B3700" s="66">
        <v>499.08900000000006</v>
      </c>
      <c r="C3700" s="67"/>
      <c r="D3700" s="68">
        <v>0</v>
      </c>
      <c r="E3700" s="110">
        <f t="shared" si="58"/>
        <v>37193</v>
      </c>
      <c r="F3700" s="69">
        <v>9.850252403750594E-3</v>
      </c>
    </row>
    <row r="3701" spans="1:6" x14ac:dyDescent="0.3">
      <c r="A3701" s="24">
        <v>38579</v>
      </c>
      <c r="B3701" s="66">
        <v>499.08900000000006</v>
      </c>
      <c r="C3701" s="67"/>
      <c r="D3701" s="68">
        <v>0</v>
      </c>
      <c r="E3701" s="110">
        <f t="shared" si="58"/>
        <v>37193</v>
      </c>
      <c r="F3701" s="69">
        <v>9.850252403750594E-3</v>
      </c>
    </row>
    <row r="3702" spans="1:6" x14ac:dyDescent="0.3">
      <c r="A3702" s="24">
        <v>38580</v>
      </c>
      <c r="B3702" s="66">
        <v>499.08900000000006</v>
      </c>
      <c r="C3702" s="67"/>
      <c r="D3702" s="68">
        <v>0</v>
      </c>
      <c r="E3702" s="110">
        <f t="shared" si="58"/>
        <v>37193</v>
      </c>
      <c r="F3702" s="69">
        <v>9.850252403750594E-3</v>
      </c>
    </row>
    <row r="3703" spans="1:6" x14ac:dyDescent="0.3">
      <c r="A3703" s="24">
        <v>38581</v>
      </c>
      <c r="B3703" s="66">
        <v>499.08900000000006</v>
      </c>
      <c r="C3703" s="67"/>
      <c r="D3703" s="68">
        <v>0</v>
      </c>
      <c r="E3703" s="110">
        <f t="shared" si="58"/>
        <v>37193</v>
      </c>
      <c r="F3703" s="69">
        <v>9.850252403750594E-3</v>
      </c>
    </row>
    <row r="3704" spans="1:6" x14ac:dyDescent="0.3">
      <c r="A3704" s="24">
        <v>38582</v>
      </c>
      <c r="B3704" s="66">
        <v>499.08900000000006</v>
      </c>
      <c r="C3704" s="67"/>
      <c r="D3704" s="68">
        <v>0</v>
      </c>
      <c r="E3704" s="110">
        <f t="shared" si="58"/>
        <v>37193</v>
      </c>
      <c r="F3704" s="69">
        <v>9.850252403750594E-3</v>
      </c>
    </row>
    <row r="3705" spans="1:6" x14ac:dyDescent="0.3">
      <c r="A3705" s="24">
        <v>38583</v>
      </c>
      <c r="B3705" s="66">
        <v>499.08900000000006</v>
      </c>
      <c r="C3705" s="67"/>
      <c r="D3705" s="68">
        <v>0</v>
      </c>
      <c r="E3705" s="110">
        <f t="shared" si="58"/>
        <v>37193</v>
      </c>
      <c r="F3705" s="69">
        <v>9.850252403750594E-3</v>
      </c>
    </row>
    <row r="3706" spans="1:6" x14ac:dyDescent="0.3">
      <c r="A3706" s="24">
        <v>38584</v>
      </c>
      <c r="B3706" s="66">
        <v>499.08900000000006</v>
      </c>
      <c r="C3706" s="67"/>
      <c r="D3706" s="68">
        <v>0</v>
      </c>
      <c r="E3706" s="110">
        <f t="shared" si="58"/>
        <v>37193</v>
      </c>
      <c r="F3706" s="69">
        <v>9.850252403750594E-3</v>
      </c>
    </row>
    <row r="3707" spans="1:6" x14ac:dyDescent="0.3">
      <c r="A3707" s="24">
        <v>38585</v>
      </c>
      <c r="B3707" s="66">
        <v>499.08900000000006</v>
      </c>
      <c r="C3707" s="67"/>
      <c r="D3707" s="68">
        <v>0</v>
      </c>
      <c r="E3707" s="110">
        <f t="shared" si="58"/>
        <v>37193</v>
      </c>
      <c r="F3707" s="69">
        <v>9.850252403750594E-3</v>
      </c>
    </row>
    <row r="3708" spans="1:6" x14ac:dyDescent="0.3">
      <c r="A3708" s="24">
        <v>38586</v>
      </c>
      <c r="B3708" s="66">
        <v>499.08900000000006</v>
      </c>
      <c r="C3708" s="67"/>
      <c r="D3708" s="68">
        <v>0</v>
      </c>
      <c r="E3708" s="110">
        <f t="shared" si="58"/>
        <v>37193</v>
      </c>
      <c r="F3708" s="69">
        <v>9.850252403750594E-3</v>
      </c>
    </row>
    <row r="3709" spans="1:6" x14ac:dyDescent="0.3">
      <c r="A3709" s="24">
        <v>38587</v>
      </c>
      <c r="B3709" s="66">
        <v>499.08900000000006</v>
      </c>
      <c r="C3709" s="67"/>
      <c r="D3709" s="68">
        <v>0</v>
      </c>
      <c r="E3709" s="110">
        <f t="shared" si="58"/>
        <v>37193</v>
      </c>
      <c r="F3709" s="69">
        <v>9.850252403750594E-3</v>
      </c>
    </row>
    <row r="3710" spans="1:6" x14ac:dyDescent="0.3">
      <c r="A3710" s="24">
        <v>38588</v>
      </c>
      <c r="B3710" s="66">
        <v>499.08900000000006</v>
      </c>
      <c r="C3710" s="67"/>
      <c r="D3710" s="68">
        <v>0</v>
      </c>
      <c r="E3710" s="110">
        <f t="shared" si="58"/>
        <v>37193</v>
      </c>
      <c r="F3710" s="69">
        <v>9.850252403750594E-3</v>
      </c>
    </row>
    <row r="3711" spans="1:6" x14ac:dyDescent="0.3">
      <c r="A3711" s="24">
        <v>38589</v>
      </c>
      <c r="B3711" s="66">
        <v>499.08900000000006</v>
      </c>
      <c r="C3711" s="67"/>
      <c r="D3711" s="68">
        <v>0</v>
      </c>
      <c r="E3711" s="110">
        <f t="shared" si="58"/>
        <v>37193</v>
      </c>
      <c r="F3711" s="69">
        <v>9.850252403750594E-3</v>
      </c>
    </row>
    <row r="3712" spans="1:6" x14ac:dyDescent="0.3">
      <c r="A3712" s="24">
        <v>38590</v>
      </c>
      <c r="B3712" s="66">
        <v>499.08900000000006</v>
      </c>
      <c r="C3712" s="67"/>
      <c r="D3712" s="68">
        <v>0</v>
      </c>
      <c r="E3712" s="110">
        <f t="shared" si="58"/>
        <v>37193</v>
      </c>
      <c r="F3712" s="69">
        <v>9.850252403750594E-3</v>
      </c>
    </row>
    <row r="3713" spans="1:6" x14ac:dyDescent="0.3">
      <c r="A3713" s="24">
        <v>38591</v>
      </c>
      <c r="B3713" s="66">
        <v>499.08900000000006</v>
      </c>
      <c r="C3713" s="67"/>
      <c r="D3713" s="68">
        <v>0</v>
      </c>
      <c r="E3713" s="110">
        <f t="shared" si="58"/>
        <v>37193</v>
      </c>
      <c r="F3713" s="69">
        <v>9.850252403750594E-3</v>
      </c>
    </row>
    <row r="3714" spans="1:6" x14ac:dyDescent="0.3">
      <c r="A3714" s="24">
        <v>38592</v>
      </c>
      <c r="B3714" s="66">
        <v>499.08900000000006</v>
      </c>
      <c r="C3714" s="67"/>
      <c r="D3714" s="68">
        <v>0</v>
      </c>
      <c r="E3714" s="110">
        <f t="shared" si="58"/>
        <v>37193</v>
      </c>
      <c r="F3714" s="69">
        <v>9.850252403750594E-3</v>
      </c>
    </row>
    <row r="3715" spans="1:6" x14ac:dyDescent="0.3">
      <c r="A3715" s="24">
        <v>38593</v>
      </c>
      <c r="B3715" s="66">
        <v>499.08900000000006</v>
      </c>
      <c r="C3715" s="67"/>
      <c r="D3715" s="68">
        <v>0</v>
      </c>
      <c r="E3715" s="110">
        <f t="shared" si="58"/>
        <v>37193</v>
      </c>
      <c r="F3715" s="69">
        <v>9.850252403750594E-3</v>
      </c>
    </row>
    <row r="3716" spans="1:6" x14ac:dyDescent="0.3">
      <c r="A3716" s="24">
        <v>38594</v>
      </c>
      <c r="B3716" s="66">
        <v>499.08900000000006</v>
      </c>
      <c r="C3716" s="67"/>
      <c r="D3716" s="68">
        <v>0</v>
      </c>
      <c r="E3716" s="110">
        <f t="shared" si="58"/>
        <v>37193</v>
      </c>
      <c r="F3716" s="69">
        <v>9.850252403750594E-3</v>
      </c>
    </row>
    <row r="3717" spans="1:6" x14ac:dyDescent="0.3">
      <c r="A3717" s="24">
        <v>38595</v>
      </c>
      <c r="B3717" s="66">
        <v>499.08900000000006</v>
      </c>
      <c r="C3717" s="67"/>
      <c r="D3717" s="68">
        <v>0</v>
      </c>
      <c r="E3717" s="110">
        <f t="shared" si="58"/>
        <v>37193</v>
      </c>
      <c r="F3717" s="69">
        <v>9.850252403750594E-3</v>
      </c>
    </row>
    <row r="3718" spans="1:6" x14ac:dyDescent="0.3">
      <c r="A3718" s="24">
        <v>38596</v>
      </c>
      <c r="B3718" s="66">
        <v>499.08900000000006</v>
      </c>
      <c r="C3718" s="67"/>
      <c r="D3718" s="68">
        <v>0</v>
      </c>
      <c r="E3718" s="110">
        <f t="shared" si="58"/>
        <v>37193</v>
      </c>
      <c r="F3718" s="69">
        <v>9.850252403750594E-3</v>
      </c>
    </row>
    <row r="3719" spans="1:6" x14ac:dyDescent="0.3">
      <c r="A3719" s="24">
        <v>38597</v>
      </c>
      <c r="B3719" s="66">
        <v>499.08900000000006</v>
      </c>
      <c r="C3719" s="67"/>
      <c r="D3719" s="68">
        <v>0</v>
      </c>
      <c r="E3719" s="110">
        <f t="shared" si="58"/>
        <v>37193</v>
      </c>
      <c r="F3719" s="69">
        <v>9.850252403750594E-3</v>
      </c>
    </row>
    <row r="3720" spans="1:6" x14ac:dyDescent="0.3">
      <c r="A3720" s="24">
        <v>38598</v>
      </c>
      <c r="B3720" s="66">
        <v>499.08900000000006</v>
      </c>
      <c r="C3720" s="67"/>
      <c r="D3720" s="68">
        <v>0</v>
      </c>
      <c r="E3720" s="110">
        <f t="shared" si="58"/>
        <v>37193</v>
      </c>
      <c r="F3720" s="69">
        <v>9.850252403750594E-3</v>
      </c>
    </row>
    <row r="3721" spans="1:6" x14ac:dyDescent="0.3">
      <c r="A3721" s="24">
        <v>38599</v>
      </c>
      <c r="B3721" s="66">
        <v>499.08900000000006</v>
      </c>
      <c r="C3721" s="67"/>
      <c r="D3721" s="68">
        <v>0</v>
      </c>
      <c r="E3721" s="110">
        <f t="shared" si="58"/>
        <v>37193</v>
      </c>
      <c r="F3721" s="69">
        <v>9.850252403750594E-3</v>
      </c>
    </row>
    <row r="3722" spans="1:6" x14ac:dyDescent="0.3">
      <c r="A3722" s="24">
        <v>38600</v>
      </c>
      <c r="B3722" s="66">
        <v>499.08900000000006</v>
      </c>
      <c r="C3722" s="67"/>
      <c r="D3722" s="68">
        <v>0</v>
      </c>
      <c r="E3722" s="110">
        <f t="shared" si="58"/>
        <v>37193</v>
      </c>
      <c r="F3722" s="69">
        <v>9.850252403750594E-3</v>
      </c>
    </row>
    <row r="3723" spans="1:6" x14ac:dyDescent="0.3">
      <c r="A3723" s="24">
        <v>38601</v>
      </c>
      <c r="B3723" s="66">
        <v>499.08900000000006</v>
      </c>
      <c r="C3723" s="67"/>
      <c r="D3723" s="68">
        <v>0</v>
      </c>
      <c r="E3723" s="110">
        <f t="shared" si="58"/>
        <v>37193</v>
      </c>
      <c r="F3723" s="69">
        <v>9.850252403750594E-3</v>
      </c>
    </row>
    <row r="3724" spans="1:6" x14ac:dyDescent="0.3">
      <c r="A3724" s="24">
        <v>38602</v>
      </c>
      <c r="B3724" s="66">
        <v>499.08900000000006</v>
      </c>
      <c r="C3724" s="67"/>
      <c r="D3724" s="68">
        <v>0</v>
      </c>
      <c r="E3724" s="110">
        <f t="shared" si="58"/>
        <v>37193</v>
      </c>
      <c r="F3724" s="69">
        <v>9.850252403750594E-3</v>
      </c>
    </row>
    <row r="3725" spans="1:6" x14ac:dyDescent="0.3">
      <c r="A3725" s="24">
        <v>38603</v>
      </c>
      <c r="B3725" s="66">
        <v>499.08900000000006</v>
      </c>
      <c r="C3725" s="67"/>
      <c r="D3725" s="68">
        <v>0</v>
      </c>
      <c r="E3725" s="110">
        <f t="shared" si="58"/>
        <v>37193</v>
      </c>
      <c r="F3725" s="69">
        <v>9.850252403750594E-3</v>
      </c>
    </row>
    <row r="3726" spans="1:6" x14ac:dyDescent="0.3">
      <c r="A3726" s="24">
        <v>38604</v>
      </c>
      <c r="B3726" s="66">
        <v>499.08900000000006</v>
      </c>
      <c r="C3726" s="67"/>
      <c r="D3726" s="68">
        <v>0</v>
      </c>
      <c r="E3726" s="110">
        <f t="shared" si="58"/>
        <v>37193</v>
      </c>
      <c r="F3726" s="69">
        <v>9.850252403750594E-3</v>
      </c>
    </row>
    <row r="3727" spans="1:6" x14ac:dyDescent="0.3">
      <c r="A3727" s="24">
        <v>38605</v>
      </c>
      <c r="B3727" s="66">
        <v>499.08900000000006</v>
      </c>
      <c r="C3727" s="67"/>
      <c r="D3727" s="68">
        <v>0</v>
      </c>
      <c r="E3727" s="110">
        <f t="shared" si="58"/>
        <v>37193</v>
      </c>
      <c r="F3727" s="69">
        <v>9.850252403750594E-3</v>
      </c>
    </row>
    <row r="3728" spans="1:6" x14ac:dyDescent="0.3">
      <c r="A3728" s="24">
        <v>38606</v>
      </c>
      <c r="B3728" s="66">
        <v>499.08900000000006</v>
      </c>
      <c r="C3728" s="67"/>
      <c r="D3728" s="68">
        <v>0</v>
      </c>
      <c r="E3728" s="110">
        <f t="shared" si="58"/>
        <v>37193</v>
      </c>
      <c r="F3728" s="69">
        <v>9.850252403750594E-3</v>
      </c>
    </row>
    <row r="3729" spans="1:6" x14ac:dyDescent="0.3">
      <c r="A3729" s="24">
        <v>38607</v>
      </c>
      <c r="B3729" s="66">
        <v>499.08900000000006</v>
      </c>
      <c r="C3729" s="67"/>
      <c r="D3729" s="68">
        <v>0</v>
      </c>
      <c r="E3729" s="110">
        <f t="shared" si="58"/>
        <v>37193</v>
      </c>
      <c r="F3729" s="69">
        <v>9.850252403750594E-3</v>
      </c>
    </row>
    <row r="3730" spans="1:6" x14ac:dyDescent="0.3">
      <c r="A3730" s="24">
        <v>38608</v>
      </c>
      <c r="B3730" s="66">
        <v>499.08900000000006</v>
      </c>
      <c r="C3730" s="67"/>
      <c r="D3730" s="68">
        <v>0</v>
      </c>
      <c r="E3730" s="110">
        <f t="shared" ref="E3730:E3793" si="59">+E3729</f>
        <v>37193</v>
      </c>
      <c r="F3730" s="69">
        <v>9.850252403750594E-3</v>
      </c>
    </row>
    <row r="3731" spans="1:6" x14ac:dyDescent="0.3">
      <c r="A3731" s="24">
        <v>38609</v>
      </c>
      <c r="B3731" s="66">
        <v>499.08900000000006</v>
      </c>
      <c r="C3731" s="67"/>
      <c r="D3731" s="68">
        <v>0</v>
      </c>
      <c r="E3731" s="110">
        <f t="shared" si="59"/>
        <v>37193</v>
      </c>
      <c r="F3731" s="69">
        <v>9.850252403750594E-3</v>
      </c>
    </row>
    <row r="3732" spans="1:6" x14ac:dyDescent="0.3">
      <c r="A3732" s="24">
        <v>38610</v>
      </c>
      <c r="B3732" s="66">
        <v>499.08900000000006</v>
      </c>
      <c r="C3732" s="67"/>
      <c r="D3732" s="68">
        <v>0</v>
      </c>
      <c r="E3732" s="110">
        <f t="shared" si="59"/>
        <v>37193</v>
      </c>
      <c r="F3732" s="69">
        <v>9.850252403750594E-3</v>
      </c>
    </row>
    <row r="3733" spans="1:6" x14ac:dyDescent="0.3">
      <c r="A3733" s="24">
        <v>38611</v>
      </c>
      <c r="B3733" s="66">
        <v>499.08900000000006</v>
      </c>
      <c r="C3733" s="67"/>
      <c r="D3733" s="68">
        <v>0</v>
      </c>
      <c r="E3733" s="110">
        <f t="shared" si="59"/>
        <v>37193</v>
      </c>
      <c r="F3733" s="69">
        <v>9.850252403750594E-3</v>
      </c>
    </row>
    <row r="3734" spans="1:6" x14ac:dyDescent="0.3">
      <c r="A3734" s="24">
        <v>38612</v>
      </c>
      <c r="B3734" s="66">
        <v>499.08900000000006</v>
      </c>
      <c r="C3734" s="67"/>
      <c r="D3734" s="68">
        <v>0</v>
      </c>
      <c r="E3734" s="110">
        <f t="shared" si="59"/>
        <v>37193</v>
      </c>
      <c r="F3734" s="69">
        <v>9.850252403750594E-3</v>
      </c>
    </row>
    <row r="3735" spans="1:6" x14ac:dyDescent="0.3">
      <c r="A3735" s="24">
        <v>38613</v>
      </c>
      <c r="B3735" s="66">
        <v>499.08900000000006</v>
      </c>
      <c r="C3735" s="67"/>
      <c r="D3735" s="68">
        <v>0</v>
      </c>
      <c r="E3735" s="110">
        <f t="shared" si="59"/>
        <v>37193</v>
      </c>
      <c r="F3735" s="69">
        <v>9.850252403750594E-3</v>
      </c>
    </row>
    <row r="3736" spans="1:6" x14ac:dyDescent="0.3">
      <c r="A3736" s="24">
        <v>38614</v>
      </c>
      <c r="B3736" s="66">
        <v>499.08900000000006</v>
      </c>
      <c r="C3736" s="67"/>
      <c r="D3736" s="68">
        <v>0</v>
      </c>
      <c r="E3736" s="110">
        <f t="shared" si="59"/>
        <v>37193</v>
      </c>
      <c r="F3736" s="69">
        <v>9.850252403750594E-3</v>
      </c>
    </row>
    <row r="3737" spans="1:6" x14ac:dyDescent="0.3">
      <c r="A3737" s="24">
        <v>38615</v>
      </c>
      <c r="B3737" s="66">
        <v>499.08900000000006</v>
      </c>
      <c r="C3737" s="67"/>
      <c r="D3737" s="68">
        <v>0</v>
      </c>
      <c r="E3737" s="110">
        <f t="shared" si="59"/>
        <v>37193</v>
      </c>
      <c r="F3737" s="69">
        <v>9.850252403750594E-3</v>
      </c>
    </row>
    <row r="3738" spans="1:6" x14ac:dyDescent="0.3">
      <c r="A3738" s="24">
        <v>38616</v>
      </c>
      <c r="B3738" s="66">
        <v>499.08900000000006</v>
      </c>
      <c r="C3738" s="67"/>
      <c r="D3738" s="68">
        <v>0</v>
      </c>
      <c r="E3738" s="110">
        <f t="shared" si="59"/>
        <v>37193</v>
      </c>
      <c r="F3738" s="69">
        <v>9.850252403750594E-3</v>
      </c>
    </row>
    <row r="3739" spans="1:6" x14ac:dyDescent="0.3">
      <c r="A3739" s="24">
        <v>38617</v>
      </c>
      <c r="B3739" s="66">
        <v>499.08900000000006</v>
      </c>
      <c r="C3739" s="67"/>
      <c r="D3739" s="68">
        <v>0</v>
      </c>
      <c r="E3739" s="110">
        <f t="shared" si="59"/>
        <v>37193</v>
      </c>
      <c r="F3739" s="69">
        <v>9.850252403750594E-3</v>
      </c>
    </row>
    <row r="3740" spans="1:6" x14ac:dyDescent="0.3">
      <c r="A3740" s="24">
        <v>38618</v>
      </c>
      <c r="B3740" s="66">
        <v>499.08900000000006</v>
      </c>
      <c r="C3740" s="67"/>
      <c r="D3740" s="68">
        <v>0</v>
      </c>
      <c r="E3740" s="110">
        <f t="shared" si="59"/>
        <v>37193</v>
      </c>
      <c r="F3740" s="69">
        <v>9.850252403750594E-3</v>
      </c>
    </row>
    <row r="3741" spans="1:6" x14ac:dyDescent="0.3">
      <c r="A3741" s="24">
        <v>38619</v>
      </c>
      <c r="B3741" s="66">
        <v>499.08900000000006</v>
      </c>
      <c r="C3741" s="67"/>
      <c r="D3741" s="68">
        <v>0</v>
      </c>
      <c r="E3741" s="110">
        <f t="shared" si="59"/>
        <v>37193</v>
      </c>
      <c r="F3741" s="69">
        <v>9.850252403750594E-3</v>
      </c>
    </row>
    <row r="3742" spans="1:6" x14ac:dyDescent="0.3">
      <c r="A3742" s="24">
        <v>38620</v>
      </c>
      <c r="B3742" s="66">
        <v>499.08900000000006</v>
      </c>
      <c r="C3742" s="67"/>
      <c r="D3742" s="68">
        <v>0</v>
      </c>
      <c r="E3742" s="110">
        <f t="shared" si="59"/>
        <v>37193</v>
      </c>
      <c r="F3742" s="69">
        <v>9.850252403750594E-3</v>
      </c>
    </row>
    <row r="3743" spans="1:6" x14ac:dyDescent="0.3">
      <c r="A3743" s="24">
        <v>38621</v>
      </c>
      <c r="B3743" s="66">
        <v>499.08900000000006</v>
      </c>
      <c r="C3743" s="67"/>
      <c r="D3743" s="68">
        <v>0</v>
      </c>
      <c r="E3743" s="110">
        <f t="shared" si="59"/>
        <v>37193</v>
      </c>
      <c r="F3743" s="69">
        <v>9.850252403750594E-3</v>
      </c>
    </row>
    <row r="3744" spans="1:6" x14ac:dyDescent="0.3">
      <c r="A3744" s="24">
        <v>38622</v>
      </c>
      <c r="B3744" s="66">
        <v>499.08900000000006</v>
      </c>
      <c r="C3744" s="67"/>
      <c r="D3744" s="68">
        <v>0</v>
      </c>
      <c r="E3744" s="110">
        <f t="shared" si="59"/>
        <v>37193</v>
      </c>
      <c r="F3744" s="69">
        <v>9.850252403750594E-3</v>
      </c>
    </row>
    <row r="3745" spans="1:6" x14ac:dyDescent="0.3">
      <c r="A3745" s="24">
        <v>38623</v>
      </c>
      <c r="B3745" s="66">
        <v>499.08900000000006</v>
      </c>
      <c r="C3745" s="67"/>
      <c r="D3745" s="68">
        <v>0</v>
      </c>
      <c r="E3745" s="110">
        <f t="shared" si="59"/>
        <v>37193</v>
      </c>
      <c r="F3745" s="69">
        <v>9.850252403750594E-3</v>
      </c>
    </row>
    <row r="3746" spans="1:6" x14ac:dyDescent="0.3">
      <c r="A3746" s="24">
        <v>38624</v>
      </c>
      <c r="B3746" s="66">
        <v>499.08900000000006</v>
      </c>
      <c r="C3746" s="67"/>
      <c r="D3746" s="68">
        <v>0</v>
      </c>
      <c r="E3746" s="110">
        <f t="shared" si="59"/>
        <v>37193</v>
      </c>
      <c r="F3746" s="69">
        <v>9.6037000199794467E-3</v>
      </c>
    </row>
    <row r="3747" spans="1:6" x14ac:dyDescent="0.3">
      <c r="A3747" s="24">
        <v>38625</v>
      </c>
      <c r="B3747" s="66">
        <v>511.92700000000002</v>
      </c>
      <c r="C3747" s="67"/>
      <c r="D3747" s="68">
        <v>0</v>
      </c>
      <c r="E3747" s="110">
        <f t="shared" si="59"/>
        <v>37193</v>
      </c>
      <c r="F3747" s="69">
        <v>9.6037000199794467E-3</v>
      </c>
    </row>
    <row r="3748" spans="1:6" x14ac:dyDescent="0.3">
      <c r="A3748" s="24">
        <v>38626</v>
      </c>
      <c r="B3748" s="66">
        <v>511.92700000000002</v>
      </c>
      <c r="C3748" s="67"/>
      <c r="D3748" s="68">
        <v>0</v>
      </c>
      <c r="E3748" s="110">
        <f t="shared" si="59"/>
        <v>37193</v>
      </c>
      <c r="F3748" s="69">
        <v>9.6037000199794467E-3</v>
      </c>
    </row>
    <row r="3749" spans="1:6" x14ac:dyDescent="0.3">
      <c r="A3749" s="24">
        <v>38627</v>
      </c>
      <c r="B3749" s="66">
        <v>511.92700000000002</v>
      </c>
      <c r="C3749" s="67"/>
      <c r="D3749" s="68">
        <v>0</v>
      </c>
      <c r="E3749" s="110">
        <f t="shared" si="59"/>
        <v>37193</v>
      </c>
      <c r="F3749" s="69">
        <v>9.6037000199794467E-3</v>
      </c>
    </row>
    <row r="3750" spans="1:6" x14ac:dyDescent="0.3">
      <c r="A3750" s="24">
        <v>38628</v>
      </c>
      <c r="B3750" s="66">
        <v>511.92700000000002</v>
      </c>
      <c r="C3750" s="67"/>
      <c r="D3750" s="68">
        <v>0</v>
      </c>
      <c r="E3750" s="110">
        <f t="shared" si="59"/>
        <v>37193</v>
      </c>
      <c r="F3750" s="69">
        <v>9.6037000199794467E-3</v>
      </c>
    </row>
    <row r="3751" spans="1:6" x14ac:dyDescent="0.3">
      <c r="A3751" s="24">
        <v>38629</v>
      </c>
      <c r="B3751" s="66">
        <v>511.92700000000002</v>
      </c>
      <c r="C3751" s="67"/>
      <c r="D3751" s="68">
        <v>0</v>
      </c>
      <c r="E3751" s="110">
        <f t="shared" si="59"/>
        <v>37193</v>
      </c>
      <c r="F3751" s="69">
        <v>9.6037000199794467E-3</v>
      </c>
    </row>
    <row r="3752" spans="1:6" x14ac:dyDescent="0.3">
      <c r="A3752" s="24">
        <v>38630</v>
      </c>
      <c r="B3752" s="66">
        <v>511.92700000000002</v>
      </c>
      <c r="C3752" s="67"/>
      <c r="D3752" s="68">
        <v>0</v>
      </c>
      <c r="E3752" s="110">
        <f t="shared" si="59"/>
        <v>37193</v>
      </c>
      <c r="F3752" s="69">
        <v>9.6037000199794467E-3</v>
      </c>
    </row>
    <row r="3753" spans="1:6" x14ac:dyDescent="0.3">
      <c r="A3753" s="24">
        <v>38631</v>
      </c>
      <c r="B3753" s="66">
        <v>511.92700000000002</v>
      </c>
      <c r="C3753" s="67"/>
      <c r="D3753" s="68">
        <v>0</v>
      </c>
      <c r="E3753" s="110">
        <f t="shared" si="59"/>
        <v>37193</v>
      </c>
      <c r="F3753" s="69">
        <v>9.6037000199794467E-3</v>
      </c>
    </row>
    <row r="3754" spans="1:6" x14ac:dyDescent="0.3">
      <c r="A3754" s="24">
        <v>38632</v>
      </c>
      <c r="B3754" s="66">
        <v>511.92700000000002</v>
      </c>
      <c r="C3754" s="67"/>
      <c r="D3754" s="68">
        <v>0</v>
      </c>
      <c r="E3754" s="110">
        <f t="shared" si="59"/>
        <v>37193</v>
      </c>
      <c r="F3754" s="69">
        <v>9.6037000199794467E-3</v>
      </c>
    </row>
    <row r="3755" spans="1:6" x14ac:dyDescent="0.3">
      <c r="A3755" s="24">
        <v>38633</v>
      </c>
      <c r="B3755" s="66">
        <v>511.92700000000002</v>
      </c>
      <c r="C3755" s="67"/>
      <c r="D3755" s="68">
        <v>0</v>
      </c>
      <c r="E3755" s="110">
        <f t="shared" si="59"/>
        <v>37193</v>
      </c>
      <c r="F3755" s="69">
        <v>9.6037000199794467E-3</v>
      </c>
    </row>
    <row r="3756" spans="1:6" x14ac:dyDescent="0.3">
      <c r="A3756" s="24">
        <v>38634</v>
      </c>
      <c r="B3756" s="66">
        <v>511.92700000000002</v>
      </c>
      <c r="C3756" s="67"/>
      <c r="D3756" s="68">
        <v>0</v>
      </c>
      <c r="E3756" s="110">
        <f t="shared" si="59"/>
        <v>37193</v>
      </c>
      <c r="F3756" s="69">
        <v>9.6037000199794467E-3</v>
      </c>
    </row>
    <row r="3757" spans="1:6" x14ac:dyDescent="0.3">
      <c r="A3757" s="24">
        <v>38635</v>
      </c>
      <c r="B3757" s="66">
        <v>511.92700000000002</v>
      </c>
      <c r="C3757" s="67"/>
      <c r="D3757" s="68">
        <v>0</v>
      </c>
      <c r="E3757" s="110">
        <f t="shared" si="59"/>
        <v>37193</v>
      </c>
      <c r="F3757" s="69">
        <v>9.6037000199794467E-3</v>
      </c>
    </row>
    <row r="3758" spans="1:6" x14ac:dyDescent="0.3">
      <c r="A3758" s="24">
        <v>38636</v>
      </c>
      <c r="B3758" s="66">
        <v>511.92700000000002</v>
      </c>
      <c r="C3758" s="67"/>
      <c r="D3758" s="68">
        <v>0</v>
      </c>
      <c r="E3758" s="110">
        <f t="shared" si="59"/>
        <v>37193</v>
      </c>
      <c r="F3758" s="69">
        <v>9.6037000199794467E-3</v>
      </c>
    </row>
    <row r="3759" spans="1:6" x14ac:dyDescent="0.3">
      <c r="A3759" s="24">
        <v>38637</v>
      </c>
      <c r="B3759" s="66">
        <v>511.92700000000002</v>
      </c>
      <c r="C3759" s="67"/>
      <c r="D3759" s="68">
        <v>0</v>
      </c>
      <c r="E3759" s="110">
        <f t="shared" si="59"/>
        <v>37193</v>
      </c>
      <c r="F3759" s="69">
        <v>9.6037000199794467E-3</v>
      </c>
    </row>
    <row r="3760" spans="1:6" x14ac:dyDescent="0.3">
      <c r="A3760" s="24">
        <v>38638</v>
      </c>
      <c r="B3760" s="66">
        <v>511.92700000000002</v>
      </c>
      <c r="C3760" s="67"/>
      <c r="D3760" s="68">
        <v>0</v>
      </c>
      <c r="E3760" s="110">
        <f t="shared" si="59"/>
        <v>37193</v>
      </c>
      <c r="F3760" s="69">
        <v>9.6037000199794467E-3</v>
      </c>
    </row>
    <row r="3761" spans="1:6" x14ac:dyDescent="0.3">
      <c r="A3761" s="24">
        <v>38639</v>
      </c>
      <c r="B3761" s="66">
        <v>511.92700000000002</v>
      </c>
      <c r="C3761" s="67"/>
      <c r="D3761" s="68">
        <v>0</v>
      </c>
      <c r="E3761" s="110">
        <f t="shared" si="59"/>
        <v>37193</v>
      </c>
      <c r="F3761" s="69">
        <v>9.6037000199794467E-3</v>
      </c>
    </row>
    <row r="3762" spans="1:6" x14ac:dyDescent="0.3">
      <c r="A3762" s="24">
        <v>38640</v>
      </c>
      <c r="B3762" s="66">
        <v>511.92700000000002</v>
      </c>
      <c r="C3762" s="67"/>
      <c r="D3762" s="68">
        <v>0</v>
      </c>
      <c r="E3762" s="110">
        <f t="shared" si="59"/>
        <v>37193</v>
      </c>
      <c r="F3762" s="69">
        <v>9.6037000199794467E-3</v>
      </c>
    </row>
    <row r="3763" spans="1:6" x14ac:dyDescent="0.3">
      <c r="A3763" s="24">
        <v>38641</v>
      </c>
      <c r="B3763" s="66">
        <v>511.92700000000002</v>
      </c>
      <c r="C3763" s="67"/>
      <c r="D3763" s="68">
        <v>0</v>
      </c>
      <c r="E3763" s="110">
        <f t="shared" si="59"/>
        <v>37193</v>
      </c>
      <c r="F3763" s="69">
        <v>9.6037000199794467E-3</v>
      </c>
    </row>
    <row r="3764" spans="1:6" x14ac:dyDescent="0.3">
      <c r="A3764" s="24">
        <v>38642</v>
      </c>
      <c r="B3764" s="66">
        <v>511.92700000000002</v>
      </c>
      <c r="C3764" s="67"/>
      <c r="D3764" s="68">
        <v>0</v>
      </c>
      <c r="E3764" s="110">
        <f t="shared" si="59"/>
        <v>37193</v>
      </c>
      <c r="F3764" s="69">
        <v>9.6037000199794467E-3</v>
      </c>
    </row>
    <row r="3765" spans="1:6" x14ac:dyDescent="0.3">
      <c r="A3765" s="24">
        <v>38643</v>
      </c>
      <c r="B3765" s="66">
        <v>511.92700000000002</v>
      </c>
      <c r="C3765" s="67"/>
      <c r="D3765" s="68">
        <v>0</v>
      </c>
      <c r="E3765" s="110">
        <f t="shared" si="59"/>
        <v>37193</v>
      </c>
      <c r="F3765" s="69">
        <v>9.6037000199794467E-3</v>
      </c>
    </row>
    <row r="3766" spans="1:6" x14ac:dyDescent="0.3">
      <c r="A3766" s="24">
        <v>38644</v>
      </c>
      <c r="B3766" s="66">
        <v>511.92700000000002</v>
      </c>
      <c r="C3766" s="67"/>
      <c r="D3766" s="68">
        <v>0</v>
      </c>
      <c r="E3766" s="110">
        <f t="shared" si="59"/>
        <v>37193</v>
      </c>
      <c r="F3766" s="69">
        <v>9.6037000199794467E-3</v>
      </c>
    </row>
    <row r="3767" spans="1:6" x14ac:dyDescent="0.3">
      <c r="A3767" s="24">
        <v>38645</v>
      </c>
      <c r="B3767" s="66">
        <v>511.92700000000002</v>
      </c>
      <c r="C3767" s="67"/>
      <c r="D3767" s="68">
        <v>0</v>
      </c>
      <c r="E3767" s="110">
        <f t="shared" si="59"/>
        <v>37193</v>
      </c>
      <c r="F3767" s="69">
        <v>9.6037000199794467E-3</v>
      </c>
    </row>
    <row r="3768" spans="1:6" x14ac:dyDescent="0.3">
      <c r="A3768" s="24">
        <v>38646</v>
      </c>
      <c r="B3768" s="66">
        <v>511.92700000000002</v>
      </c>
      <c r="C3768" s="67"/>
      <c r="D3768" s="68">
        <v>0</v>
      </c>
      <c r="E3768" s="110">
        <f t="shared" si="59"/>
        <v>37193</v>
      </c>
      <c r="F3768" s="69">
        <v>9.6037000199794467E-3</v>
      </c>
    </row>
    <row r="3769" spans="1:6" x14ac:dyDescent="0.3">
      <c r="A3769" s="24">
        <v>38647</v>
      </c>
      <c r="B3769" s="66">
        <v>511.92700000000002</v>
      </c>
      <c r="C3769" s="67"/>
      <c r="D3769" s="68">
        <v>0</v>
      </c>
      <c r="E3769" s="110">
        <f t="shared" si="59"/>
        <v>37193</v>
      </c>
      <c r="F3769" s="69">
        <v>9.6037000199794467E-3</v>
      </c>
    </row>
    <row r="3770" spans="1:6" x14ac:dyDescent="0.3">
      <c r="A3770" s="24">
        <v>38648</v>
      </c>
      <c r="B3770" s="66">
        <v>511.92700000000002</v>
      </c>
      <c r="C3770" s="67"/>
      <c r="D3770" s="68">
        <v>0</v>
      </c>
      <c r="E3770" s="110">
        <f t="shared" si="59"/>
        <v>37193</v>
      </c>
      <c r="F3770" s="69">
        <v>9.6037000199794467E-3</v>
      </c>
    </row>
    <row r="3771" spans="1:6" x14ac:dyDescent="0.3">
      <c r="A3771" s="24">
        <v>38649</v>
      </c>
      <c r="B3771" s="66">
        <v>511.92700000000002</v>
      </c>
      <c r="C3771" s="67"/>
      <c r="D3771" s="68">
        <v>0</v>
      </c>
      <c r="E3771" s="110">
        <f t="shared" si="59"/>
        <v>37193</v>
      </c>
      <c r="F3771" s="69">
        <v>9.6037000199794467E-3</v>
      </c>
    </row>
    <row r="3772" spans="1:6" x14ac:dyDescent="0.3">
      <c r="A3772" s="24">
        <v>38650</v>
      </c>
      <c r="B3772" s="66">
        <v>511.92700000000002</v>
      </c>
      <c r="C3772" s="67"/>
      <c r="D3772" s="68">
        <v>0</v>
      </c>
      <c r="E3772" s="110">
        <f t="shared" si="59"/>
        <v>37193</v>
      </c>
      <c r="F3772" s="69">
        <v>9.6037000199794467E-3</v>
      </c>
    </row>
    <row r="3773" spans="1:6" x14ac:dyDescent="0.3">
      <c r="A3773" s="24">
        <v>38651</v>
      </c>
      <c r="B3773" s="66">
        <v>511.92700000000002</v>
      </c>
      <c r="C3773" s="67"/>
      <c r="D3773" s="68">
        <v>0</v>
      </c>
      <c r="E3773" s="110">
        <f t="shared" si="59"/>
        <v>37193</v>
      </c>
      <c r="F3773" s="69">
        <v>9.6037000199794467E-3</v>
      </c>
    </row>
    <row r="3774" spans="1:6" x14ac:dyDescent="0.3">
      <c r="A3774" s="24">
        <v>38652</v>
      </c>
      <c r="B3774" s="66">
        <v>511.92700000000002</v>
      </c>
      <c r="C3774" s="67"/>
      <c r="D3774" s="68">
        <v>0</v>
      </c>
      <c r="E3774" s="110">
        <f t="shared" si="59"/>
        <v>37193</v>
      </c>
      <c r="F3774" s="69">
        <v>9.6037000199794467E-3</v>
      </c>
    </row>
    <row r="3775" spans="1:6" x14ac:dyDescent="0.3">
      <c r="A3775" s="24">
        <v>38653</v>
      </c>
      <c r="B3775" s="66">
        <v>511.92700000000002</v>
      </c>
      <c r="C3775" s="67"/>
      <c r="D3775" s="68">
        <v>0</v>
      </c>
      <c r="E3775" s="110">
        <f t="shared" si="59"/>
        <v>37193</v>
      </c>
      <c r="F3775" s="69">
        <v>9.6037000199794467E-3</v>
      </c>
    </row>
    <row r="3776" spans="1:6" x14ac:dyDescent="0.3">
      <c r="A3776" s="24">
        <v>38654</v>
      </c>
      <c r="B3776" s="66">
        <v>511.92700000000002</v>
      </c>
      <c r="C3776" s="67"/>
      <c r="D3776" s="68">
        <v>0</v>
      </c>
      <c r="E3776" s="110">
        <f t="shared" si="59"/>
        <v>37193</v>
      </c>
      <c r="F3776" s="69">
        <v>9.6037000199794467E-3</v>
      </c>
    </row>
    <row r="3777" spans="1:6" x14ac:dyDescent="0.3">
      <c r="A3777" s="24">
        <v>38655</v>
      </c>
      <c r="B3777" s="66">
        <v>511.92700000000002</v>
      </c>
      <c r="C3777" s="67"/>
      <c r="D3777" s="68">
        <v>0</v>
      </c>
      <c r="E3777" s="110">
        <f t="shared" si="59"/>
        <v>37193</v>
      </c>
      <c r="F3777" s="69">
        <v>9.6037000199794467E-3</v>
      </c>
    </row>
    <row r="3778" spans="1:6" x14ac:dyDescent="0.3">
      <c r="A3778" s="24">
        <v>38656</v>
      </c>
      <c r="B3778" s="66">
        <v>511.92700000000002</v>
      </c>
      <c r="C3778" s="67"/>
      <c r="D3778" s="68">
        <v>0</v>
      </c>
      <c r="E3778" s="110">
        <f t="shared" si="59"/>
        <v>37193</v>
      </c>
      <c r="F3778" s="69">
        <v>9.6037000199794467E-3</v>
      </c>
    </row>
    <row r="3779" spans="1:6" x14ac:dyDescent="0.3">
      <c r="A3779" s="24">
        <v>38657</v>
      </c>
      <c r="B3779" s="66">
        <v>511.92700000000002</v>
      </c>
      <c r="C3779" s="67"/>
      <c r="D3779" s="68">
        <v>0</v>
      </c>
      <c r="E3779" s="110">
        <f t="shared" si="59"/>
        <v>37193</v>
      </c>
      <c r="F3779" s="69">
        <v>9.6037000199794467E-3</v>
      </c>
    </row>
    <row r="3780" spans="1:6" x14ac:dyDescent="0.3">
      <c r="A3780" s="24">
        <v>38658</v>
      </c>
      <c r="B3780" s="66">
        <v>511.92700000000002</v>
      </c>
      <c r="C3780" s="67"/>
      <c r="D3780" s="68">
        <v>0</v>
      </c>
      <c r="E3780" s="110">
        <f t="shared" si="59"/>
        <v>37193</v>
      </c>
      <c r="F3780" s="69">
        <v>9.6037000199794467E-3</v>
      </c>
    </row>
    <row r="3781" spans="1:6" x14ac:dyDescent="0.3">
      <c r="A3781" s="24">
        <v>38659</v>
      </c>
      <c r="B3781" s="66">
        <v>511.92700000000002</v>
      </c>
      <c r="C3781" s="67"/>
      <c r="D3781" s="68">
        <v>0</v>
      </c>
      <c r="E3781" s="110">
        <f t="shared" si="59"/>
        <v>37193</v>
      </c>
      <c r="F3781" s="69">
        <v>9.6037000199794467E-3</v>
      </c>
    </row>
    <row r="3782" spans="1:6" x14ac:dyDescent="0.3">
      <c r="A3782" s="24">
        <v>38660</v>
      </c>
      <c r="B3782" s="66">
        <v>511.92700000000002</v>
      </c>
      <c r="C3782" s="67"/>
      <c r="D3782" s="68">
        <v>0</v>
      </c>
      <c r="E3782" s="110">
        <f t="shared" si="59"/>
        <v>37193</v>
      </c>
      <c r="F3782" s="69">
        <v>9.6037000199794467E-3</v>
      </c>
    </row>
    <row r="3783" spans="1:6" x14ac:dyDescent="0.3">
      <c r="A3783" s="24">
        <v>38661</v>
      </c>
      <c r="B3783" s="66">
        <v>511.92700000000002</v>
      </c>
      <c r="C3783" s="67"/>
      <c r="D3783" s="68">
        <v>0</v>
      </c>
      <c r="E3783" s="110">
        <f t="shared" si="59"/>
        <v>37193</v>
      </c>
      <c r="F3783" s="69">
        <v>9.6037000199794467E-3</v>
      </c>
    </row>
    <row r="3784" spans="1:6" x14ac:dyDescent="0.3">
      <c r="A3784" s="24">
        <v>38662</v>
      </c>
      <c r="B3784" s="66">
        <v>511.92700000000002</v>
      </c>
      <c r="C3784" s="67"/>
      <c r="D3784" s="68">
        <v>0</v>
      </c>
      <c r="E3784" s="110">
        <f t="shared" si="59"/>
        <v>37193</v>
      </c>
      <c r="F3784" s="69">
        <v>9.6037000199794467E-3</v>
      </c>
    </row>
    <row r="3785" spans="1:6" x14ac:dyDescent="0.3">
      <c r="A3785" s="24">
        <v>38663</v>
      </c>
      <c r="B3785" s="66">
        <v>511.92700000000002</v>
      </c>
      <c r="C3785" s="67"/>
      <c r="D3785" s="68">
        <v>0</v>
      </c>
      <c r="E3785" s="110">
        <f t="shared" si="59"/>
        <v>37193</v>
      </c>
      <c r="F3785" s="69">
        <v>9.6037000199794467E-3</v>
      </c>
    </row>
    <row r="3786" spans="1:6" x14ac:dyDescent="0.3">
      <c r="A3786" s="24">
        <v>38664</v>
      </c>
      <c r="B3786" s="66">
        <v>511.92700000000002</v>
      </c>
      <c r="C3786" s="67"/>
      <c r="D3786" s="68">
        <v>0</v>
      </c>
      <c r="E3786" s="110">
        <f t="shared" si="59"/>
        <v>37193</v>
      </c>
      <c r="F3786" s="69">
        <v>9.6037000199794467E-3</v>
      </c>
    </row>
    <row r="3787" spans="1:6" x14ac:dyDescent="0.3">
      <c r="A3787" s="24">
        <v>38665</v>
      </c>
      <c r="B3787" s="66">
        <v>511.92700000000002</v>
      </c>
      <c r="C3787" s="67"/>
      <c r="D3787" s="68">
        <v>0</v>
      </c>
      <c r="E3787" s="110">
        <f t="shared" si="59"/>
        <v>37193</v>
      </c>
      <c r="F3787" s="69">
        <v>9.6037000199794467E-3</v>
      </c>
    </row>
    <row r="3788" spans="1:6" x14ac:dyDescent="0.3">
      <c r="A3788" s="24">
        <v>38666</v>
      </c>
      <c r="B3788" s="66">
        <v>511.92700000000002</v>
      </c>
      <c r="C3788" s="67"/>
      <c r="D3788" s="68">
        <v>0</v>
      </c>
      <c r="E3788" s="110">
        <f t="shared" si="59"/>
        <v>37193</v>
      </c>
      <c r="F3788" s="69">
        <v>9.6037000199794467E-3</v>
      </c>
    </row>
    <row r="3789" spans="1:6" x14ac:dyDescent="0.3">
      <c r="A3789" s="24">
        <v>38667</v>
      </c>
      <c r="B3789" s="66">
        <v>511.92700000000002</v>
      </c>
      <c r="C3789" s="67"/>
      <c r="D3789" s="68">
        <v>0</v>
      </c>
      <c r="E3789" s="110">
        <f t="shared" si="59"/>
        <v>37193</v>
      </c>
      <c r="F3789" s="69">
        <v>9.6037000199794467E-3</v>
      </c>
    </row>
    <row r="3790" spans="1:6" x14ac:dyDescent="0.3">
      <c r="A3790" s="24">
        <v>38668</v>
      </c>
      <c r="B3790" s="66">
        <v>511.92700000000002</v>
      </c>
      <c r="C3790" s="67"/>
      <c r="D3790" s="68">
        <v>0</v>
      </c>
      <c r="E3790" s="110">
        <f t="shared" si="59"/>
        <v>37193</v>
      </c>
      <c r="F3790" s="69">
        <v>9.6037000199794467E-3</v>
      </c>
    </row>
    <row r="3791" spans="1:6" x14ac:dyDescent="0.3">
      <c r="A3791" s="24">
        <v>38669</v>
      </c>
      <c r="B3791" s="66">
        <v>511.92700000000002</v>
      </c>
      <c r="C3791" s="67"/>
      <c r="D3791" s="68">
        <v>0</v>
      </c>
      <c r="E3791" s="110">
        <f t="shared" si="59"/>
        <v>37193</v>
      </c>
      <c r="F3791" s="69">
        <v>9.6037000199794467E-3</v>
      </c>
    </row>
    <row r="3792" spans="1:6" x14ac:dyDescent="0.3">
      <c r="A3792" s="24">
        <v>38670</v>
      </c>
      <c r="B3792" s="66">
        <v>511.92700000000002</v>
      </c>
      <c r="C3792" s="67"/>
      <c r="D3792" s="68">
        <v>0</v>
      </c>
      <c r="E3792" s="110">
        <f t="shared" si="59"/>
        <v>37193</v>
      </c>
      <c r="F3792" s="69">
        <v>9.6037000199794467E-3</v>
      </c>
    </row>
    <row r="3793" spans="1:6" x14ac:dyDescent="0.3">
      <c r="A3793" s="24">
        <v>38671</v>
      </c>
      <c r="B3793" s="66">
        <v>511.92700000000002</v>
      </c>
      <c r="C3793" s="67"/>
      <c r="D3793" s="68">
        <v>0</v>
      </c>
      <c r="E3793" s="110">
        <f t="shared" si="59"/>
        <v>37193</v>
      </c>
      <c r="F3793" s="69">
        <v>9.6037000199794467E-3</v>
      </c>
    </row>
    <row r="3794" spans="1:6" x14ac:dyDescent="0.3">
      <c r="A3794" s="24">
        <v>38672</v>
      </c>
      <c r="B3794" s="66">
        <v>511.92700000000002</v>
      </c>
      <c r="C3794" s="67"/>
      <c r="D3794" s="68">
        <v>0</v>
      </c>
      <c r="E3794" s="110">
        <f t="shared" ref="E3794:E3857" si="60">+E3793</f>
        <v>37193</v>
      </c>
      <c r="F3794" s="69">
        <v>9.6037000199794467E-3</v>
      </c>
    </row>
    <row r="3795" spans="1:6" x14ac:dyDescent="0.3">
      <c r="A3795" s="24">
        <v>38673</v>
      </c>
      <c r="B3795" s="66">
        <v>511.92700000000002</v>
      </c>
      <c r="C3795" s="67"/>
      <c r="D3795" s="68">
        <v>0</v>
      </c>
      <c r="E3795" s="110">
        <f t="shared" si="60"/>
        <v>37193</v>
      </c>
      <c r="F3795" s="69">
        <v>9.6037000199794467E-3</v>
      </c>
    </row>
    <row r="3796" spans="1:6" x14ac:dyDescent="0.3">
      <c r="A3796" s="24">
        <v>38674</v>
      </c>
      <c r="B3796" s="66">
        <v>511.92700000000002</v>
      </c>
      <c r="C3796" s="67"/>
      <c r="D3796" s="68">
        <v>0</v>
      </c>
      <c r="E3796" s="110">
        <f t="shared" si="60"/>
        <v>37193</v>
      </c>
      <c r="F3796" s="69">
        <v>9.6037000199794467E-3</v>
      </c>
    </row>
    <row r="3797" spans="1:6" x14ac:dyDescent="0.3">
      <c r="A3797" s="24">
        <v>38675</v>
      </c>
      <c r="B3797" s="66">
        <v>511.92700000000002</v>
      </c>
      <c r="C3797" s="67"/>
      <c r="D3797" s="68">
        <v>0</v>
      </c>
      <c r="E3797" s="110">
        <f t="shared" si="60"/>
        <v>37193</v>
      </c>
      <c r="F3797" s="69">
        <v>9.6037000199794467E-3</v>
      </c>
    </row>
    <row r="3798" spans="1:6" x14ac:dyDescent="0.3">
      <c r="A3798" s="24">
        <v>38676</v>
      </c>
      <c r="B3798" s="66">
        <v>511.92700000000002</v>
      </c>
      <c r="C3798" s="67"/>
      <c r="D3798" s="68">
        <v>0</v>
      </c>
      <c r="E3798" s="110">
        <f t="shared" si="60"/>
        <v>37193</v>
      </c>
      <c r="F3798" s="69">
        <v>9.6037000199794467E-3</v>
      </c>
    </row>
    <row r="3799" spans="1:6" x14ac:dyDescent="0.3">
      <c r="A3799" s="24">
        <v>38677</v>
      </c>
      <c r="B3799" s="66">
        <v>511.92700000000002</v>
      </c>
      <c r="C3799" s="67"/>
      <c r="D3799" s="68">
        <v>0</v>
      </c>
      <c r="E3799" s="110">
        <f t="shared" si="60"/>
        <v>37193</v>
      </c>
      <c r="F3799" s="69">
        <v>9.6037000199794467E-3</v>
      </c>
    </row>
    <row r="3800" spans="1:6" x14ac:dyDescent="0.3">
      <c r="A3800" s="24">
        <v>38678</v>
      </c>
      <c r="B3800" s="66">
        <v>511.92700000000002</v>
      </c>
      <c r="C3800" s="67"/>
      <c r="D3800" s="68">
        <v>0</v>
      </c>
      <c r="E3800" s="110">
        <f t="shared" si="60"/>
        <v>37193</v>
      </c>
      <c r="F3800" s="69">
        <v>9.6037000199794467E-3</v>
      </c>
    </row>
    <row r="3801" spans="1:6" x14ac:dyDescent="0.3">
      <c r="A3801" s="24">
        <v>38679</v>
      </c>
      <c r="B3801" s="66">
        <v>511.92700000000002</v>
      </c>
      <c r="C3801" s="67"/>
      <c r="D3801" s="68">
        <v>0</v>
      </c>
      <c r="E3801" s="110">
        <f t="shared" si="60"/>
        <v>37193</v>
      </c>
      <c r="F3801" s="69">
        <v>9.6037000199794467E-3</v>
      </c>
    </row>
    <row r="3802" spans="1:6" x14ac:dyDescent="0.3">
      <c r="A3802" s="24">
        <v>38680</v>
      </c>
      <c r="B3802" s="66">
        <v>511.92700000000002</v>
      </c>
      <c r="C3802" s="67"/>
      <c r="D3802" s="68">
        <v>0</v>
      </c>
      <c r="E3802" s="110">
        <f t="shared" si="60"/>
        <v>37193</v>
      </c>
      <c r="F3802" s="69">
        <v>9.6037000199794467E-3</v>
      </c>
    </row>
    <row r="3803" spans="1:6" x14ac:dyDescent="0.3">
      <c r="A3803" s="24">
        <v>38681</v>
      </c>
      <c r="B3803" s="66">
        <v>511.92700000000002</v>
      </c>
      <c r="C3803" s="67"/>
      <c r="D3803" s="68">
        <v>0</v>
      </c>
      <c r="E3803" s="110">
        <f t="shared" si="60"/>
        <v>37193</v>
      </c>
      <c r="F3803" s="69">
        <v>9.6037000199794467E-3</v>
      </c>
    </row>
    <row r="3804" spans="1:6" x14ac:dyDescent="0.3">
      <c r="A3804" s="24">
        <v>38682</v>
      </c>
      <c r="B3804" s="66">
        <v>511.92700000000002</v>
      </c>
      <c r="C3804" s="67"/>
      <c r="D3804" s="68">
        <v>0</v>
      </c>
      <c r="E3804" s="110">
        <f t="shared" si="60"/>
        <v>37193</v>
      </c>
      <c r="F3804" s="69">
        <v>9.6037000199794467E-3</v>
      </c>
    </row>
    <row r="3805" spans="1:6" x14ac:dyDescent="0.3">
      <c r="A3805" s="24">
        <v>38683</v>
      </c>
      <c r="B3805" s="66">
        <v>511.92700000000002</v>
      </c>
      <c r="C3805" s="67"/>
      <c r="D3805" s="68">
        <v>0</v>
      </c>
      <c r="E3805" s="110">
        <f t="shared" si="60"/>
        <v>37193</v>
      </c>
      <c r="F3805" s="69">
        <v>9.6037000199794467E-3</v>
      </c>
    </row>
    <row r="3806" spans="1:6" x14ac:dyDescent="0.3">
      <c r="A3806" s="24">
        <v>38684</v>
      </c>
      <c r="B3806" s="66">
        <v>511.92700000000002</v>
      </c>
      <c r="C3806" s="67"/>
      <c r="D3806" s="68">
        <v>0</v>
      </c>
      <c r="E3806" s="110">
        <f t="shared" si="60"/>
        <v>37193</v>
      </c>
      <c r="F3806" s="69">
        <v>9.6037000199794467E-3</v>
      </c>
    </row>
    <row r="3807" spans="1:6" x14ac:dyDescent="0.3">
      <c r="A3807" s="24">
        <v>38685</v>
      </c>
      <c r="B3807" s="66">
        <v>511.92700000000002</v>
      </c>
      <c r="C3807" s="67"/>
      <c r="D3807" s="68">
        <v>0</v>
      </c>
      <c r="E3807" s="110">
        <f t="shared" si="60"/>
        <v>37193</v>
      </c>
      <c r="F3807" s="69">
        <v>9.6037000199794467E-3</v>
      </c>
    </row>
    <row r="3808" spans="1:6" x14ac:dyDescent="0.3">
      <c r="A3808" s="24">
        <v>38686</v>
      </c>
      <c r="B3808" s="66">
        <v>511.92700000000002</v>
      </c>
      <c r="C3808" s="67"/>
      <c r="D3808" s="68">
        <v>0</v>
      </c>
      <c r="E3808" s="110">
        <f t="shared" si="60"/>
        <v>37193</v>
      </c>
      <c r="F3808" s="69">
        <v>9.6037000199794467E-3</v>
      </c>
    </row>
    <row r="3809" spans="1:6" x14ac:dyDescent="0.3">
      <c r="A3809" s="24">
        <v>38687</v>
      </c>
      <c r="B3809" s="66">
        <v>511.92700000000002</v>
      </c>
      <c r="C3809" s="67"/>
      <c r="D3809" s="68">
        <v>0</v>
      </c>
      <c r="E3809" s="110">
        <f t="shared" si="60"/>
        <v>37193</v>
      </c>
      <c r="F3809" s="69">
        <v>9.6037000199794467E-3</v>
      </c>
    </row>
    <row r="3810" spans="1:6" x14ac:dyDescent="0.3">
      <c r="A3810" s="24">
        <v>38688</v>
      </c>
      <c r="B3810" s="66">
        <v>511.92700000000002</v>
      </c>
      <c r="C3810" s="67"/>
      <c r="D3810" s="68">
        <v>0</v>
      </c>
      <c r="E3810" s="110">
        <f t="shared" si="60"/>
        <v>37193</v>
      </c>
      <c r="F3810" s="69">
        <v>9.6037000199794467E-3</v>
      </c>
    </row>
    <row r="3811" spans="1:6" x14ac:dyDescent="0.3">
      <c r="A3811" s="24">
        <v>38689</v>
      </c>
      <c r="B3811" s="66">
        <v>511.92700000000002</v>
      </c>
      <c r="C3811" s="67"/>
      <c r="D3811" s="68">
        <v>0</v>
      </c>
      <c r="E3811" s="110">
        <f t="shared" si="60"/>
        <v>37193</v>
      </c>
      <c r="F3811" s="69">
        <v>9.6037000199794467E-3</v>
      </c>
    </row>
    <row r="3812" spans="1:6" x14ac:dyDescent="0.3">
      <c r="A3812" s="24">
        <v>38690</v>
      </c>
      <c r="B3812" s="66">
        <v>511.92700000000002</v>
      </c>
      <c r="C3812" s="67"/>
      <c r="D3812" s="68">
        <v>0</v>
      </c>
      <c r="E3812" s="110">
        <f t="shared" si="60"/>
        <v>37193</v>
      </c>
      <c r="F3812" s="69">
        <v>9.6037000199794467E-3</v>
      </c>
    </row>
    <row r="3813" spans="1:6" x14ac:dyDescent="0.3">
      <c r="A3813" s="24">
        <v>38691</v>
      </c>
      <c r="B3813" s="66">
        <v>511.92700000000002</v>
      </c>
      <c r="C3813" s="67"/>
      <c r="D3813" s="68">
        <v>0</v>
      </c>
      <c r="E3813" s="110">
        <f t="shared" si="60"/>
        <v>37193</v>
      </c>
      <c r="F3813" s="69">
        <v>9.6037000199794467E-3</v>
      </c>
    </row>
    <row r="3814" spans="1:6" x14ac:dyDescent="0.3">
      <c r="A3814" s="24">
        <v>38692</v>
      </c>
      <c r="B3814" s="66">
        <v>511.92700000000002</v>
      </c>
      <c r="C3814" s="67"/>
      <c r="D3814" s="68">
        <v>0</v>
      </c>
      <c r="E3814" s="110">
        <f t="shared" si="60"/>
        <v>37193</v>
      </c>
      <c r="F3814" s="69">
        <v>9.6037000199794467E-3</v>
      </c>
    </row>
    <row r="3815" spans="1:6" x14ac:dyDescent="0.3">
      <c r="A3815" s="24">
        <v>38693</v>
      </c>
      <c r="B3815" s="66">
        <v>511.92700000000002</v>
      </c>
      <c r="C3815" s="67"/>
      <c r="D3815" s="68">
        <v>0</v>
      </c>
      <c r="E3815" s="110">
        <f t="shared" si="60"/>
        <v>37193</v>
      </c>
      <c r="F3815" s="69">
        <v>9.6037000199794467E-3</v>
      </c>
    </row>
    <row r="3816" spans="1:6" x14ac:dyDescent="0.3">
      <c r="A3816" s="24">
        <v>38694</v>
      </c>
      <c r="B3816" s="66">
        <v>511.92700000000002</v>
      </c>
      <c r="C3816" s="67"/>
      <c r="D3816" s="68">
        <v>0</v>
      </c>
      <c r="E3816" s="110">
        <f t="shared" si="60"/>
        <v>37193</v>
      </c>
      <c r="F3816" s="69">
        <v>9.6037000199794467E-3</v>
      </c>
    </row>
    <row r="3817" spans="1:6" x14ac:dyDescent="0.3">
      <c r="A3817" s="24">
        <v>38695</v>
      </c>
      <c r="B3817" s="66">
        <v>511.92700000000002</v>
      </c>
      <c r="C3817" s="67"/>
      <c r="D3817" s="68">
        <v>0</v>
      </c>
      <c r="E3817" s="110">
        <f t="shared" si="60"/>
        <v>37193</v>
      </c>
      <c r="F3817" s="69">
        <v>9.6037000199794467E-3</v>
      </c>
    </row>
    <row r="3818" spans="1:6" x14ac:dyDescent="0.3">
      <c r="A3818" s="24">
        <v>38696</v>
      </c>
      <c r="B3818" s="66">
        <v>511.92700000000002</v>
      </c>
      <c r="C3818" s="67"/>
      <c r="D3818" s="68">
        <v>0</v>
      </c>
      <c r="E3818" s="110">
        <f t="shared" si="60"/>
        <v>37193</v>
      </c>
      <c r="F3818" s="69">
        <v>9.6037000199794467E-3</v>
      </c>
    </row>
    <row r="3819" spans="1:6" x14ac:dyDescent="0.3">
      <c r="A3819" s="24">
        <v>38697</v>
      </c>
      <c r="B3819" s="66">
        <v>511.92700000000002</v>
      </c>
      <c r="C3819" s="67"/>
      <c r="D3819" s="68">
        <v>0</v>
      </c>
      <c r="E3819" s="110">
        <f t="shared" si="60"/>
        <v>37193</v>
      </c>
      <c r="F3819" s="69">
        <v>9.6037000199794467E-3</v>
      </c>
    </row>
    <row r="3820" spans="1:6" x14ac:dyDescent="0.3">
      <c r="A3820" s="24">
        <v>38698</v>
      </c>
      <c r="B3820" s="66">
        <v>511.92700000000002</v>
      </c>
      <c r="C3820" s="67"/>
      <c r="D3820" s="68">
        <v>0</v>
      </c>
      <c r="E3820" s="110">
        <f t="shared" si="60"/>
        <v>37193</v>
      </c>
      <c r="F3820" s="69">
        <v>9.6037000199794467E-3</v>
      </c>
    </row>
    <row r="3821" spans="1:6" x14ac:dyDescent="0.3">
      <c r="A3821" s="24">
        <v>38699</v>
      </c>
      <c r="B3821" s="66">
        <v>511.92700000000002</v>
      </c>
      <c r="C3821" s="67"/>
      <c r="D3821" s="68">
        <v>0</v>
      </c>
      <c r="E3821" s="110">
        <f t="shared" si="60"/>
        <v>37193</v>
      </c>
      <c r="F3821" s="69">
        <v>9.6037000199794467E-3</v>
      </c>
    </row>
    <row r="3822" spans="1:6" x14ac:dyDescent="0.3">
      <c r="A3822" s="24">
        <v>38700</v>
      </c>
      <c r="B3822" s="66">
        <v>511.92700000000002</v>
      </c>
      <c r="C3822" s="67"/>
      <c r="D3822" s="68">
        <v>0</v>
      </c>
      <c r="E3822" s="110">
        <f t="shared" si="60"/>
        <v>37193</v>
      </c>
      <c r="F3822" s="69">
        <v>9.6037000199794467E-3</v>
      </c>
    </row>
    <row r="3823" spans="1:6" x14ac:dyDescent="0.3">
      <c r="A3823" s="24">
        <v>38701</v>
      </c>
      <c r="B3823" s="66">
        <v>511.92700000000002</v>
      </c>
      <c r="C3823" s="67"/>
      <c r="D3823" s="68">
        <v>0</v>
      </c>
      <c r="E3823" s="110">
        <f t="shared" si="60"/>
        <v>37193</v>
      </c>
      <c r="F3823" s="69">
        <v>9.6037000199794467E-3</v>
      </c>
    </row>
    <row r="3824" spans="1:6" x14ac:dyDescent="0.3">
      <c r="A3824" s="24">
        <v>38702</v>
      </c>
      <c r="B3824" s="66">
        <v>511.92700000000002</v>
      </c>
      <c r="C3824" s="67"/>
      <c r="D3824" s="68">
        <v>0</v>
      </c>
      <c r="E3824" s="110">
        <f t="shared" si="60"/>
        <v>37193</v>
      </c>
      <c r="F3824" s="69">
        <v>9.6037000199794467E-3</v>
      </c>
    </row>
    <row r="3825" spans="1:6" x14ac:dyDescent="0.3">
      <c r="A3825" s="24">
        <v>38703</v>
      </c>
      <c r="B3825" s="66">
        <v>511.92700000000002</v>
      </c>
      <c r="C3825" s="67"/>
      <c r="D3825" s="68">
        <v>0</v>
      </c>
      <c r="E3825" s="110">
        <f t="shared" si="60"/>
        <v>37193</v>
      </c>
      <c r="F3825" s="69">
        <v>9.6037000199794467E-3</v>
      </c>
    </row>
    <row r="3826" spans="1:6" x14ac:dyDescent="0.3">
      <c r="A3826" s="24">
        <v>38704</v>
      </c>
      <c r="B3826" s="66">
        <v>511.92700000000002</v>
      </c>
      <c r="C3826" s="67"/>
      <c r="D3826" s="68">
        <v>0</v>
      </c>
      <c r="E3826" s="110">
        <f t="shared" si="60"/>
        <v>37193</v>
      </c>
      <c r="F3826" s="69">
        <v>9.6037000199794467E-3</v>
      </c>
    </row>
    <row r="3827" spans="1:6" x14ac:dyDescent="0.3">
      <c r="A3827" s="24">
        <v>38705</v>
      </c>
      <c r="B3827" s="66">
        <v>511.92700000000002</v>
      </c>
      <c r="C3827" s="67"/>
      <c r="D3827" s="68">
        <v>0</v>
      </c>
      <c r="E3827" s="110">
        <f t="shared" si="60"/>
        <v>37193</v>
      </c>
      <c r="F3827" s="69">
        <v>9.6037000199794467E-3</v>
      </c>
    </row>
    <row r="3828" spans="1:6" x14ac:dyDescent="0.3">
      <c r="A3828" s="24">
        <v>38706</v>
      </c>
      <c r="B3828" s="66">
        <v>511.92700000000002</v>
      </c>
      <c r="C3828" s="67"/>
      <c r="D3828" s="68">
        <v>0</v>
      </c>
      <c r="E3828" s="110">
        <f t="shared" si="60"/>
        <v>37193</v>
      </c>
      <c r="F3828" s="69">
        <v>9.6037000199794467E-3</v>
      </c>
    </row>
    <row r="3829" spans="1:6" x14ac:dyDescent="0.3">
      <c r="A3829" s="24">
        <v>38707</v>
      </c>
      <c r="B3829" s="66">
        <v>511.92700000000002</v>
      </c>
      <c r="C3829" s="67"/>
      <c r="D3829" s="68">
        <v>0</v>
      </c>
      <c r="E3829" s="110">
        <f t="shared" si="60"/>
        <v>37193</v>
      </c>
      <c r="F3829" s="69">
        <v>9.6037000199794467E-3</v>
      </c>
    </row>
    <row r="3830" spans="1:6" x14ac:dyDescent="0.3">
      <c r="A3830" s="24">
        <v>38708</v>
      </c>
      <c r="B3830" s="66">
        <v>511.92700000000002</v>
      </c>
      <c r="C3830" s="67"/>
      <c r="D3830" s="68">
        <v>0</v>
      </c>
      <c r="E3830" s="110">
        <f t="shared" si="60"/>
        <v>37193</v>
      </c>
      <c r="F3830" s="69">
        <v>9.6037000199794467E-3</v>
      </c>
    </row>
    <row r="3831" spans="1:6" x14ac:dyDescent="0.3">
      <c r="A3831" s="24">
        <v>38709</v>
      </c>
      <c r="B3831" s="66">
        <v>511.92700000000002</v>
      </c>
      <c r="C3831" s="67"/>
      <c r="D3831" s="68">
        <v>0</v>
      </c>
      <c r="E3831" s="110">
        <f t="shared" si="60"/>
        <v>37193</v>
      </c>
      <c r="F3831" s="69">
        <v>9.6037000199794467E-3</v>
      </c>
    </row>
    <row r="3832" spans="1:6" x14ac:dyDescent="0.3">
      <c r="A3832" s="24">
        <v>38710</v>
      </c>
      <c r="B3832" s="66">
        <v>511.92700000000002</v>
      </c>
      <c r="C3832" s="67"/>
      <c r="D3832" s="68">
        <v>0</v>
      </c>
      <c r="E3832" s="110">
        <f t="shared" si="60"/>
        <v>37193</v>
      </c>
      <c r="F3832" s="69">
        <v>9.6037000199794467E-3</v>
      </c>
    </row>
    <row r="3833" spans="1:6" x14ac:dyDescent="0.3">
      <c r="A3833" s="24">
        <v>38711</v>
      </c>
      <c r="B3833" s="66">
        <v>511.92700000000002</v>
      </c>
      <c r="C3833" s="67"/>
      <c r="D3833" s="68">
        <v>0</v>
      </c>
      <c r="E3833" s="110">
        <f t="shared" si="60"/>
        <v>37193</v>
      </c>
      <c r="F3833" s="69">
        <v>9.6037000199794467E-3</v>
      </c>
    </row>
    <row r="3834" spans="1:6" x14ac:dyDescent="0.3">
      <c r="A3834" s="24">
        <v>38712</v>
      </c>
      <c r="B3834" s="66">
        <v>511.92700000000002</v>
      </c>
      <c r="C3834" s="67"/>
      <c r="D3834" s="68">
        <v>0</v>
      </c>
      <c r="E3834" s="110">
        <f t="shared" si="60"/>
        <v>37193</v>
      </c>
      <c r="F3834" s="69">
        <v>9.6037000199794467E-3</v>
      </c>
    </row>
    <row r="3835" spans="1:6" x14ac:dyDescent="0.3">
      <c r="A3835" s="24">
        <v>38713</v>
      </c>
      <c r="B3835" s="66">
        <v>511.92700000000002</v>
      </c>
      <c r="C3835" s="67"/>
      <c r="D3835" s="68">
        <v>0</v>
      </c>
      <c r="E3835" s="110">
        <f t="shared" si="60"/>
        <v>37193</v>
      </c>
      <c r="F3835" s="69">
        <v>9.6037000199794467E-3</v>
      </c>
    </row>
    <row r="3836" spans="1:6" x14ac:dyDescent="0.3">
      <c r="A3836" s="24">
        <v>38714</v>
      </c>
      <c r="B3836" s="66">
        <v>511.92700000000002</v>
      </c>
      <c r="C3836" s="67"/>
      <c r="D3836" s="68">
        <v>0</v>
      </c>
      <c r="E3836" s="110">
        <f t="shared" si="60"/>
        <v>37193</v>
      </c>
      <c r="F3836" s="69">
        <v>9.6037000199794467E-3</v>
      </c>
    </row>
    <row r="3837" spans="1:6" x14ac:dyDescent="0.3">
      <c r="A3837" s="24">
        <v>38715</v>
      </c>
      <c r="B3837" s="66">
        <v>511.92700000000002</v>
      </c>
      <c r="C3837" s="67"/>
      <c r="D3837" s="68">
        <v>0</v>
      </c>
      <c r="E3837" s="110">
        <f t="shared" si="60"/>
        <v>37193</v>
      </c>
      <c r="F3837" s="69">
        <v>9.6037000199794467E-3</v>
      </c>
    </row>
    <row r="3838" spans="1:6" x14ac:dyDescent="0.3">
      <c r="A3838" s="24">
        <v>38716</v>
      </c>
      <c r="B3838" s="66">
        <v>511.92700000000002</v>
      </c>
      <c r="C3838" s="67"/>
      <c r="D3838" s="68">
        <v>0</v>
      </c>
      <c r="E3838" s="110">
        <f t="shared" si="60"/>
        <v>37193</v>
      </c>
      <c r="F3838" s="69">
        <v>9.4281877180605236E-3</v>
      </c>
    </row>
    <row r="3839" spans="1:6" x14ac:dyDescent="0.3">
      <c r="A3839" s="24">
        <v>38717</v>
      </c>
      <c r="B3839" s="66">
        <v>525.01368628124283</v>
      </c>
      <c r="C3839" s="67"/>
      <c r="D3839" s="68">
        <v>0</v>
      </c>
      <c r="E3839" s="110">
        <f t="shared" si="60"/>
        <v>37193</v>
      </c>
      <c r="F3839" s="69">
        <v>9.4281877180605236E-3</v>
      </c>
    </row>
    <row r="3840" spans="1:6" x14ac:dyDescent="0.3">
      <c r="A3840" s="24">
        <v>38718</v>
      </c>
      <c r="B3840" s="66">
        <v>525.01368628124283</v>
      </c>
      <c r="C3840" s="67"/>
      <c r="D3840" s="68">
        <v>0</v>
      </c>
      <c r="E3840" s="110">
        <f t="shared" si="60"/>
        <v>37193</v>
      </c>
      <c r="F3840" s="69">
        <v>9.4281877180605236E-3</v>
      </c>
    </row>
    <row r="3841" spans="1:6" x14ac:dyDescent="0.3">
      <c r="A3841" s="24">
        <v>38719</v>
      </c>
      <c r="B3841" s="66">
        <v>525.01368628124283</v>
      </c>
      <c r="C3841" s="67"/>
      <c r="D3841" s="68">
        <v>0</v>
      </c>
      <c r="E3841" s="110">
        <f t="shared" si="60"/>
        <v>37193</v>
      </c>
      <c r="F3841" s="69">
        <v>9.4281877180605236E-3</v>
      </c>
    </row>
    <row r="3842" spans="1:6" x14ac:dyDescent="0.3">
      <c r="A3842" s="24">
        <v>38720</v>
      </c>
      <c r="B3842" s="66">
        <v>525.01368628124283</v>
      </c>
      <c r="C3842" s="67"/>
      <c r="D3842" s="68">
        <v>0</v>
      </c>
      <c r="E3842" s="110">
        <f t="shared" si="60"/>
        <v>37193</v>
      </c>
      <c r="F3842" s="69">
        <v>9.4281877180605236E-3</v>
      </c>
    </row>
    <row r="3843" spans="1:6" x14ac:dyDescent="0.3">
      <c r="A3843" s="24">
        <v>38721</v>
      </c>
      <c r="B3843" s="66">
        <v>525.01368628124283</v>
      </c>
      <c r="C3843" s="67"/>
      <c r="D3843" s="68">
        <v>0</v>
      </c>
      <c r="E3843" s="110">
        <f t="shared" si="60"/>
        <v>37193</v>
      </c>
      <c r="F3843" s="69">
        <v>9.4281877180605236E-3</v>
      </c>
    </row>
    <row r="3844" spans="1:6" x14ac:dyDescent="0.3">
      <c r="A3844" s="24">
        <v>38722</v>
      </c>
      <c r="B3844" s="66">
        <v>525.01368628124283</v>
      </c>
      <c r="C3844" s="67"/>
      <c r="D3844" s="68">
        <v>0</v>
      </c>
      <c r="E3844" s="110">
        <f t="shared" si="60"/>
        <v>37193</v>
      </c>
      <c r="F3844" s="69">
        <v>9.4281877180605236E-3</v>
      </c>
    </row>
    <row r="3845" spans="1:6" x14ac:dyDescent="0.3">
      <c r="A3845" s="24">
        <v>38723</v>
      </c>
      <c r="B3845" s="66">
        <v>525.01368628124283</v>
      </c>
      <c r="C3845" s="67"/>
      <c r="D3845" s="68">
        <v>0</v>
      </c>
      <c r="E3845" s="110">
        <f t="shared" si="60"/>
        <v>37193</v>
      </c>
      <c r="F3845" s="69">
        <v>9.4281877180605236E-3</v>
      </c>
    </row>
    <row r="3846" spans="1:6" x14ac:dyDescent="0.3">
      <c r="A3846" s="24">
        <v>38724</v>
      </c>
      <c r="B3846" s="66">
        <v>525.01368628124283</v>
      </c>
      <c r="C3846" s="67"/>
      <c r="D3846" s="68">
        <v>0</v>
      </c>
      <c r="E3846" s="110">
        <f t="shared" si="60"/>
        <v>37193</v>
      </c>
      <c r="F3846" s="69">
        <v>9.4281877180605236E-3</v>
      </c>
    </row>
    <row r="3847" spans="1:6" x14ac:dyDescent="0.3">
      <c r="A3847" s="24">
        <v>38725</v>
      </c>
      <c r="B3847" s="66">
        <v>525.01368628124283</v>
      </c>
      <c r="C3847" s="67"/>
      <c r="D3847" s="68">
        <v>0</v>
      </c>
      <c r="E3847" s="110">
        <f t="shared" si="60"/>
        <v>37193</v>
      </c>
      <c r="F3847" s="69">
        <v>9.4281877180605236E-3</v>
      </c>
    </row>
    <row r="3848" spans="1:6" x14ac:dyDescent="0.3">
      <c r="A3848" s="24">
        <v>38726</v>
      </c>
      <c r="B3848" s="66">
        <v>525.01368628124283</v>
      </c>
      <c r="C3848" s="67"/>
      <c r="D3848" s="68">
        <v>0</v>
      </c>
      <c r="E3848" s="110">
        <f t="shared" si="60"/>
        <v>37193</v>
      </c>
      <c r="F3848" s="69">
        <v>9.4281877180605236E-3</v>
      </c>
    </row>
    <row r="3849" spans="1:6" x14ac:dyDescent="0.3">
      <c r="A3849" s="24">
        <v>38727</v>
      </c>
      <c r="B3849" s="66">
        <v>525.01368628124283</v>
      </c>
      <c r="C3849" s="67"/>
      <c r="D3849" s="68">
        <v>0</v>
      </c>
      <c r="E3849" s="110">
        <f t="shared" si="60"/>
        <v>37193</v>
      </c>
      <c r="F3849" s="69">
        <v>9.4281877180605236E-3</v>
      </c>
    </row>
    <row r="3850" spans="1:6" x14ac:dyDescent="0.3">
      <c r="A3850" s="24">
        <v>38728</v>
      </c>
      <c r="B3850" s="66">
        <v>525.01368628124283</v>
      </c>
      <c r="C3850" s="67"/>
      <c r="D3850" s="68">
        <v>0</v>
      </c>
      <c r="E3850" s="110">
        <f t="shared" si="60"/>
        <v>37193</v>
      </c>
      <c r="F3850" s="69">
        <v>9.4281877180605236E-3</v>
      </c>
    </row>
    <row r="3851" spans="1:6" x14ac:dyDescent="0.3">
      <c r="A3851" s="24">
        <v>38729</v>
      </c>
      <c r="B3851" s="66">
        <v>525.01368628124283</v>
      </c>
      <c r="C3851" s="67"/>
      <c r="D3851" s="68">
        <v>0</v>
      </c>
      <c r="E3851" s="110">
        <f t="shared" si="60"/>
        <v>37193</v>
      </c>
      <c r="F3851" s="69">
        <v>9.4281877180605236E-3</v>
      </c>
    </row>
    <row r="3852" spans="1:6" x14ac:dyDescent="0.3">
      <c r="A3852" s="24">
        <v>38730</v>
      </c>
      <c r="B3852" s="66">
        <v>525.01368628124283</v>
      </c>
      <c r="C3852" s="67"/>
      <c r="D3852" s="68">
        <v>0</v>
      </c>
      <c r="E3852" s="110">
        <f t="shared" si="60"/>
        <v>37193</v>
      </c>
      <c r="F3852" s="69">
        <v>9.4281877180605236E-3</v>
      </c>
    </row>
    <row r="3853" spans="1:6" x14ac:dyDescent="0.3">
      <c r="A3853" s="24">
        <v>38731</v>
      </c>
      <c r="B3853" s="66">
        <v>525.01368628124283</v>
      </c>
      <c r="C3853" s="67"/>
      <c r="D3853" s="68">
        <v>0</v>
      </c>
      <c r="E3853" s="110">
        <f t="shared" si="60"/>
        <v>37193</v>
      </c>
      <c r="F3853" s="69">
        <v>9.4281877180605236E-3</v>
      </c>
    </row>
    <row r="3854" spans="1:6" x14ac:dyDescent="0.3">
      <c r="A3854" s="24">
        <v>38732</v>
      </c>
      <c r="B3854" s="66">
        <v>525.01368628124283</v>
      </c>
      <c r="C3854" s="67"/>
      <c r="D3854" s="68">
        <v>0</v>
      </c>
      <c r="E3854" s="110">
        <f t="shared" si="60"/>
        <v>37193</v>
      </c>
      <c r="F3854" s="69">
        <v>9.4281877180605236E-3</v>
      </c>
    </row>
    <row r="3855" spans="1:6" x14ac:dyDescent="0.3">
      <c r="A3855" s="24">
        <v>38733</v>
      </c>
      <c r="B3855" s="66">
        <v>525.01368628124283</v>
      </c>
      <c r="C3855" s="67"/>
      <c r="D3855" s="68">
        <v>0</v>
      </c>
      <c r="E3855" s="110">
        <f t="shared" si="60"/>
        <v>37193</v>
      </c>
      <c r="F3855" s="69">
        <v>9.4281877180605236E-3</v>
      </c>
    </row>
    <row r="3856" spans="1:6" x14ac:dyDescent="0.3">
      <c r="A3856" s="24">
        <v>38734</v>
      </c>
      <c r="B3856" s="66">
        <v>525.01368628124283</v>
      </c>
      <c r="C3856" s="67"/>
      <c r="D3856" s="68">
        <v>0</v>
      </c>
      <c r="E3856" s="110">
        <f t="shared" si="60"/>
        <v>37193</v>
      </c>
      <c r="F3856" s="69">
        <v>9.4281877180605236E-3</v>
      </c>
    </row>
    <row r="3857" spans="1:6" x14ac:dyDescent="0.3">
      <c r="A3857" s="24">
        <v>38735</v>
      </c>
      <c r="B3857" s="66">
        <v>525.01368628124283</v>
      </c>
      <c r="C3857" s="67"/>
      <c r="D3857" s="68">
        <v>0</v>
      </c>
      <c r="E3857" s="110">
        <f t="shared" si="60"/>
        <v>37193</v>
      </c>
      <c r="F3857" s="69">
        <v>9.4281877180605236E-3</v>
      </c>
    </row>
    <row r="3858" spans="1:6" x14ac:dyDescent="0.3">
      <c r="A3858" s="24">
        <v>38736</v>
      </c>
      <c r="B3858" s="66">
        <v>525.01368628124283</v>
      </c>
      <c r="C3858" s="67"/>
      <c r="D3858" s="68">
        <v>0</v>
      </c>
      <c r="E3858" s="110">
        <f t="shared" ref="E3858:E3921" si="61">+E3857</f>
        <v>37193</v>
      </c>
      <c r="F3858" s="69">
        <v>9.4281877180605236E-3</v>
      </c>
    </row>
    <row r="3859" spans="1:6" x14ac:dyDescent="0.3">
      <c r="A3859" s="24">
        <v>38737</v>
      </c>
      <c r="B3859" s="66">
        <v>525.01368628124283</v>
      </c>
      <c r="C3859" s="67"/>
      <c r="D3859" s="68">
        <v>0</v>
      </c>
      <c r="E3859" s="110">
        <f t="shared" si="61"/>
        <v>37193</v>
      </c>
      <c r="F3859" s="69">
        <v>9.4281877180605236E-3</v>
      </c>
    </row>
    <row r="3860" spans="1:6" x14ac:dyDescent="0.3">
      <c r="A3860" s="24">
        <v>38738</v>
      </c>
      <c r="B3860" s="66">
        <v>525.01368628124283</v>
      </c>
      <c r="C3860" s="67"/>
      <c r="D3860" s="68">
        <v>0</v>
      </c>
      <c r="E3860" s="110">
        <f t="shared" si="61"/>
        <v>37193</v>
      </c>
      <c r="F3860" s="69">
        <v>9.4281877180605236E-3</v>
      </c>
    </row>
    <row r="3861" spans="1:6" x14ac:dyDescent="0.3">
      <c r="A3861" s="24">
        <v>38739</v>
      </c>
      <c r="B3861" s="66">
        <v>525.01368628124283</v>
      </c>
      <c r="C3861" s="67"/>
      <c r="D3861" s="68">
        <v>0</v>
      </c>
      <c r="E3861" s="110">
        <f t="shared" si="61"/>
        <v>37193</v>
      </c>
      <c r="F3861" s="69">
        <v>9.4281877180605236E-3</v>
      </c>
    </row>
    <row r="3862" spans="1:6" x14ac:dyDescent="0.3">
      <c r="A3862" s="24">
        <v>38740</v>
      </c>
      <c r="B3862" s="66">
        <v>525.01368628124283</v>
      </c>
      <c r="C3862" s="67"/>
      <c r="D3862" s="68">
        <v>0</v>
      </c>
      <c r="E3862" s="110">
        <f t="shared" si="61"/>
        <v>37193</v>
      </c>
      <c r="F3862" s="69">
        <v>9.4281877180605236E-3</v>
      </c>
    </row>
    <row r="3863" spans="1:6" x14ac:dyDescent="0.3">
      <c r="A3863" s="24">
        <v>38741</v>
      </c>
      <c r="B3863" s="66">
        <v>525.01368628124283</v>
      </c>
      <c r="C3863" s="67"/>
      <c r="D3863" s="68">
        <v>0</v>
      </c>
      <c r="E3863" s="110">
        <f t="shared" si="61"/>
        <v>37193</v>
      </c>
      <c r="F3863" s="69">
        <v>9.4281877180605236E-3</v>
      </c>
    </row>
    <row r="3864" spans="1:6" x14ac:dyDescent="0.3">
      <c r="A3864" s="24">
        <v>38742</v>
      </c>
      <c r="B3864" s="66">
        <v>525.01368628124283</v>
      </c>
      <c r="C3864" s="67"/>
      <c r="D3864" s="68">
        <v>0</v>
      </c>
      <c r="E3864" s="110">
        <f t="shared" si="61"/>
        <v>37193</v>
      </c>
      <c r="F3864" s="69">
        <v>9.4281877180605236E-3</v>
      </c>
    </row>
    <row r="3865" spans="1:6" x14ac:dyDescent="0.3">
      <c r="A3865" s="24">
        <v>38743</v>
      </c>
      <c r="B3865" s="66">
        <v>525.01368628124283</v>
      </c>
      <c r="C3865" s="67"/>
      <c r="D3865" s="68">
        <v>0</v>
      </c>
      <c r="E3865" s="110">
        <f t="shared" si="61"/>
        <v>37193</v>
      </c>
      <c r="F3865" s="69">
        <v>9.4281877180605236E-3</v>
      </c>
    </row>
    <row r="3866" spans="1:6" x14ac:dyDescent="0.3">
      <c r="A3866" s="24">
        <v>38744</v>
      </c>
      <c r="B3866" s="66">
        <v>525.01368628124283</v>
      </c>
      <c r="C3866" s="67"/>
      <c r="D3866" s="68">
        <v>0</v>
      </c>
      <c r="E3866" s="110">
        <f t="shared" si="61"/>
        <v>37193</v>
      </c>
      <c r="F3866" s="69">
        <v>9.4281877180605236E-3</v>
      </c>
    </row>
    <row r="3867" spans="1:6" x14ac:dyDescent="0.3">
      <c r="A3867" s="24">
        <v>38745</v>
      </c>
      <c r="B3867" s="66">
        <v>525.01368628124283</v>
      </c>
      <c r="C3867" s="67"/>
      <c r="D3867" s="68">
        <v>0</v>
      </c>
      <c r="E3867" s="110">
        <f t="shared" si="61"/>
        <v>37193</v>
      </c>
      <c r="F3867" s="69">
        <v>9.4281877180605236E-3</v>
      </c>
    </row>
    <row r="3868" spans="1:6" x14ac:dyDescent="0.3">
      <c r="A3868" s="24">
        <v>38746</v>
      </c>
      <c r="B3868" s="66">
        <v>525.01368628124283</v>
      </c>
      <c r="C3868" s="67"/>
      <c r="D3868" s="68">
        <v>0</v>
      </c>
      <c r="E3868" s="110">
        <f t="shared" si="61"/>
        <v>37193</v>
      </c>
      <c r="F3868" s="69">
        <v>9.4281877180605236E-3</v>
      </c>
    </row>
    <row r="3869" spans="1:6" x14ac:dyDescent="0.3">
      <c r="A3869" s="24">
        <v>38747</v>
      </c>
      <c r="B3869" s="66">
        <v>525.01368628124283</v>
      </c>
      <c r="C3869" s="67"/>
      <c r="D3869" s="68">
        <v>0</v>
      </c>
      <c r="E3869" s="110">
        <f t="shared" si="61"/>
        <v>37193</v>
      </c>
      <c r="F3869" s="69">
        <v>9.4281877180605236E-3</v>
      </c>
    </row>
    <row r="3870" spans="1:6" x14ac:dyDescent="0.3">
      <c r="A3870" s="24">
        <v>38748</v>
      </c>
      <c r="B3870" s="66">
        <v>525.01368628124283</v>
      </c>
      <c r="C3870" s="67"/>
      <c r="D3870" s="68">
        <v>0</v>
      </c>
      <c r="E3870" s="110">
        <f t="shared" si="61"/>
        <v>37193</v>
      </c>
      <c r="F3870" s="69">
        <v>9.4281877180605236E-3</v>
      </c>
    </row>
    <row r="3871" spans="1:6" x14ac:dyDescent="0.3">
      <c r="A3871" s="24">
        <v>38749</v>
      </c>
      <c r="B3871" s="66">
        <v>525.01368628124283</v>
      </c>
      <c r="C3871" s="67"/>
      <c r="D3871" s="68">
        <v>0</v>
      </c>
      <c r="E3871" s="110">
        <f t="shared" si="61"/>
        <v>37193</v>
      </c>
      <c r="F3871" s="69">
        <v>9.4281877180605236E-3</v>
      </c>
    </row>
    <row r="3872" spans="1:6" x14ac:dyDescent="0.3">
      <c r="A3872" s="24">
        <v>38750</v>
      </c>
      <c r="B3872" s="66">
        <v>525.01368628124283</v>
      </c>
      <c r="C3872" s="67"/>
      <c r="D3872" s="68">
        <v>0</v>
      </c>
      <c r="E3872" s="110">
        <f t="shared" si="61"/>
        <v>37193</v>
      </c>
      <c r="F3872" s="69">
        <v>9.4281877180605236E-3</v>
      </c>
    </row>
    <row r="3873" spans="1:6" x14ac:dyDescent="0.3">
      <c r="A3873" s="24">
        <v>38751</v>
      </c>
      <c r="B3873" s="66">
        <v>525.01368628124283</v>
      </c>
      <c r="C3873" s="67"/>
      <c r="D3873" s="68">
        <v>0</v>
      </c>
      <c r="E3873" s="110">
        <f t="shared" si="61"/>
        <v>37193</v>
      </c>
      <c r="F3873" s="69">
        <v>9.4281877180605236E-3</v>
      </c>
    </row>
    <row r="3874" spans="1:6" x14ac:dyDescent="0.3">
      <c r="A3874" s="24">
        <v>38752</v>
      </c>
      <c r="B3874" s="66">
        <v>525.01368628124283</v>
      </c>
      <c r="C3874" s="67"/>
      <c r="D3874" s="68">
        <v>0</v>
      </c>
      <c r="E3874" s="110">
        <f t="shared" si="61"/>
        <v>37193</v>
      </c>
      <c r="F3874" s="69">
        <v>9.4281877180605236E-3</v>
      </c>
    </row>
    <row r="3875" spans="1:6" x14ac:dyDescent="0.3">
      <c r="A3875" s="24">
        <v>38753</v>
      </c>
      <c r="B3875" s="66">
        <v>525.01368628124283</v>
      </c>
      <c r="C3875" s="67"/>
      <c r="D3875" s="68">
        <v>0</v>
      </c>
      <c r="E3875" s="110">
        <f t="shared" si="61"/>
        <v>37193</v>
      </c>
      <c r="F3875" s="69">
        <v>9.4281877180605236E-3</v>
      </c>
    </row>
    <row r="3876" spans="1:6" x14ac:dyDescent="0.3">
      <c r="A3876" s="24">
        <v>38754</v>
      </c>
      <c r="B3876" s="66">
        <v>525.01368628124283</v>
      </c>
      <c r="C3876" s="67"/>
      <c r="D3876" s="68">
        <v>0</v>
      </c>
      <c r="E3876" s="110">
        <f t="shared" si="61"/>
        <v>37193</v>
      </c>
      <c r="F3876" s="69">
        <v>9.4281877180605236E-3</v>
      </c>
    </row>
    <row r="3877" spans="1:6" x14ac:dyDescent="0.3">
      <c r="A3877" s="24">
        <v>38755</v>
      </c>
      <c r="B3877" s="66">
        <v>525.01368628124283</v>
      </c>
      <c r="C3877" s="67"/>
      <c r="D3877" s="68">
        <v>0</v>
      </c>
      <c r="E3877" s="110">
        <f t="shared" si="61"/>
        <v>37193</v>
      </c>
      <c r="F3877" s="69">
        <v>9.4281877180605236E-3</v>
      </c>
    </row>
    <row r="3878" spans="1:6" x14ac:dyDescent="0.3">
      <c r="A3878" s="24">
        <v>38756</v>
      </c>
      <c r="B3878" s="66">
        <v>525.01368628124283</v>
      </c>
      <c r="C3878" s="67"/>
      <c r="D3878" s="68">
        <v>0</v>
      </c>
      <c r="E3878" s="110">
        <f t="shared" si="61"/>
        <v>37193</v>
      </c>
      <c r="F3878" s="69">
        <v>9.4281877180605236E-3</v>
      </c>
    </row>
    <row r="3879" spans="1:6" x14ac:dyDescent="0.3">
      <c r="A3879" s="24">
        <v>38757</v>
      </c>
      <c r="B3879" s="66">
        <v>525.01368628124283</v>
      </c>
      <c r="C3879" s="67"/>
      <c r="D3879" s="68">
        <v>0</v>
      </c>
      <c r="E3879" s="110">
        <f t="shared" si="61"/>
        <v>37193</v>
      </c>
      <c r="F3879" s="69">
        <v>9.4281877180605236E-3</v>
      </c>
    </row>
    <row r="3880" spans="1:6" x14ac:dyDescent="0.3">
      <c r="A3880" s="24">
        <v>38758</v>
      </c>
      <c r="B3880" s="66">
        <v>525.01368628124283</v>
      </c>
      <c r="C3880" s="67"/>
      <c r="D3880" s="68">
        <v>0</v>
      </c>
      <c r="E3880" s="110">
        <f t="shared" si="61"/>
        <v>37193</v>
      </c>
      <c r="F3880" s="69">
        <v>9.4281877180605236E-3</v>
      </c>
    </row>
    <row r="3881" spans="1:6" x14ac:dyDescent="0.3">
      <c r="A3881" s="24">
        <v>38759</v>
      </c>
      <c r="B3881" s="66">
        <v>525.01368628124283</v>
      </c>
      <c r="C3881" s="67"/>
      <c r="D3881" s="68">
        <v>0</v>
      </c>
      <c r="E3881" s="110">
        <f t="shared" si="61"/>
        <v>37193</v>
      </c>
      <c r="F3881" s="69">
        <v>9.4281877180605236E-3</v>
      </c>
    </row>
    <row r="3882" spans="1:6" x14ac:dyDescent="0.3">
      <c r="A3882" s="24">
        <v>38760</v>
      </c>
      <c r="B3882" s="66">
        <v>525.01368628124283</v>
      </c>
      <c r="C3882" s="67"/>
      <c r="D3882" s="68">
        <v>0</v>
      </c>
      <c r="E3882" s="110">
        <f t="shared" si="61"/>
        <v>37193</v>
      </c>
      <c r="F3882" s="69">
        <v>9.4281877180605236E-3</v>
      </c>
    </row>
    <row r="3883" spans="1:6" x14ac:dyDescent="0.3">
      <c r="A3883" s="24">
        <v>38761</v>
      </c>
      <c r="B3883" s="66">
        <v>525.01368628124283</v>
      </c>
      <c r="C3883" s="67"/>
      <c r="D3883" s="68">
        <v>0</v>
      </c>
      <c r="E3883" s="110">
        <f t="shared" si="61"/>
        <v>37193</v>
      </c>
      <c r="F3883" s="69">
        <v>9.4281877180605236E-3</v>
      </c>
    </row>
    <row r="3884" spans="1:6" x14ac:dyDescent="0.3">
      <c r="A3884" s="24">
        <v>38762</v>
      </c>
      <c r="B3884" s="66">
        <v>525.01368628124283</v>
      </c>
      <c r="C3884" s="67"/>
      <c r="D3884" s="68">
        <v>0</v>
      </c>
      <c r="E3884" s="110">
        <f t="shared" si="61"/>
        <v>37193</v>
      </c>
      <c r="F3884" s="69">
        <v>9.4281877180605236E-3</v>
      </c>
    </row>
    <row r="3885" spans="1:6" x14ac:dyDescent="0.3">
      <c r="A3885" s="24">
        <v>38763</v>
      </c>
      <c r="B3885" s="66">
        <v>525.01368628124283</v>
      </c>
      <c r="C3885" s="67"/>
      <c r="D3885" s="68">
        <v>0</v>
      </c>
      <c r="E3885" s="110">
        <f t="shared" si="61"/>
        <v>37193</v>
      </c>
      <c r="F3885" s="69">
        <v>9.4281877180605236E-3</v>
      </c>
    </row>
    <row r="3886" spans="1:6" x14ac:dyDescent="0.3">
      <c r="A3886" s="24">
        <v>38764</v>
      </c>
      <c r="B3886" s="66">
        <v>525.01368628124283</v>
      </c>
      <c r="C3886" s="67"/>
      <c r="D3886" s="68">
        <v>0</v>
      </c>
      <c r="E3886" s="110">
        <f t="shared" si="61"/>
        <v>37193</v>
      </c>
      <c r="F3886" s="69">
        <v>9.4281877180605236E-3</v>
      </c>
    </row>
    <row r="3887" spans="1:6" x14ac:dyDescent="0.3">
      <c r="A3887" s="24">
        <v>38765</v>
      </c>
      <c r="B3887" s="66">
        <v>525.01368628124283</v>
      </c>
      <c r="C3887" s="67"/>
      <c r="D3887" s="68">
        <v>0</v>
      </c>
      <c r="E3887" s="110">
        <f t="shared" si="61"/>
        <v>37193</v>
      </c>
      <c r="F3887" s="69">
        <v>9.4281877180605236E-3</v>
      </c>
    </row>
    <row r="3888" spans="1:6" x14ac:dyDescent="0.3">
      <c r="A3888" s="24">
        <v>38766</v>
      </c>
      <c r="B3888" s="66">
        <v>525.01368628124283</v>
      </c>
      <c r="C3888" s="67"/>
      <c r="D3888" s="68">
        <v>0</v>
      </c>
      <c r="E3888" s="110">
        <f t="shared" si="61"/>
        <v>37193</v>
      </c>
      <c r="F3888" s="69">
        <v>9.4281877180605236E-3</v>
      </c>
    </row>
    <row r="3889" spans="1:6" x14ac:dyDescent="0.3">
      <c r="A3889" s="24">
        <v>38767</v>
      </c>
      <c r="B3889" s="66">
        <v>525.01368628124283</v>
      </c>
      <c r="C3889" s="67"/>
      <c r="D3889" s="68">
        <v>0</v>
      </c>
      <c r="E3889" s="110">
        <f t="shared" si="61"/>
        <v>37193</v>
      </c>
      <c r="F3889" s="69">
        <v>9.4281877180605236E-3</v>
      </c>
    </row>
    <row r="3890" spans="1:6" x14ac:dyDescent="0.3">
      <c r="A3890" s="24">
        <v>38768</v>
      </c>
      <c r="B3890" s="66">
        <v>525.01368628124283</v>
      </c>
      <c r="C3890" s="67"/>
      <c r="D3890" s="68">
        <v>0</v>
      </c>
      <c r="E3890" s="110">
        <f t="shared" si="61"/>
        <v>37193</v>
      </c>
      <c r="F3890" s="69">
        <v>9.4281877180605236E-3</v>
      </c>
    </row>
    <row r="3891" spans="1:6" x14ac:dyDescent="0.3">
      <c r="A3891" s="24">
        <v>38769</v>
      </c>
      <c r="B3891" s="66">
        <v>525.01368628124283</v>
      </c>
      <c r="C3891" s="67"/>
      <c r="D3891" s="68">
        <v>0</v>
      </c>
      <c r="E3891" s="110">
        <f t="shared" si="61"/>
        <v>37193</v>
      </c>
      <c r="F3891" s="69">
        <v>9.4281877180605236E-3</v>
      </c>
    </row>
    <row r="3892" spans="1:6" x14ac:dyDescent="0.3">
      <c r="A3892" s="24">
        <v>38770</v>
      </c>
      <c r="B3892" s="66">
        <v>525.01368628124283</v>
      </c>
      <c r="C3892" s="67"/>
      <c r="D3892" s="68">
        <v>0</v>
      </c>
      <c r="E3892" s="110">
        <f t="shared" si="61"/>
        <v>37193</v>
      </c>
      <c r="F3892" s="69">
        <v>9.4281877180605236E-3</v>
      </c>
    </row>
    <row r="3893" spans="1:6" x14ac:dyDescent="0.3">
      <c r="A3893" s="24">
        <v>38771</v>
      </c>
      <c r="B3893" s="66">
        <v>525.01368628124283</v>
      </c>
      <c r="C3893" s="67"/>
      <c r="D3893" s="68">
        <v>0</v>
      </c>
      <c r="E3893" s="110">
        <f t="shared" si="61"/>
        <v>37193</v>
      </c>
      <c r="F3893" s="69">
        <v>9.4281877180605236E-3</v>
      </c>
    </row>
    <row r="3894" spans="1:6" x14ac:dyDescent="0.3">
      <c r="A3894" s="24">
        <v>38772</v>
      </c>
      <c r="B3894" s="66">
        <v>525.01368628124283</v>
      </c>
      <c r="C3894" s="67"/>
      <c r="D3894" s="68">
        <v>0</v>
      </c>
      <c r="E3894" s="110">
        <f t="shared" si="61"/>
        <v>37193</v>
      </c>
      <c r="F3894" s="69">
        <v>9.4281877180605236E-3</v>
      </c>
    </row>
    <row r="3895" spans="1:6" x14ac:dyDescent="0.3">
      <c r="A3895" s="24">
        <v>38773</v>
      </c>
      <c r="B3895" s="66">
        <v>525.01368628124283</v>
      </c>
      <c r="C3895" s="67"/>
      <c r="D3895" s="68">
        <v>0</v>
      </c>
      <c r="E3895" s="110">
        <f t="shared" si="61"/>
        <v>37193</v>
      </c>
      <c r="F3895" s="69">
        <v>9.4281877180605236E-3</v>
      </c>
    </row>
    <row r="3896" spans="1:6" x14ac:dyDescent="0.3">
      <c r="A3896" s="24">
        <v>38774</v>
      </c>
      <c r="B3896" s="66">
        <v>525.01368628124283</v>
      </c>
      <c r="C3896" s="67"/>
      <c r="D3896" s="68">
        <v>0</v>
      </c>
      <c r="E3896" s="110">
        <f t="shared" si="61"/>
        <v>37193</v>
      </c>
      <c r="F3896" s="69">
        <v>9.4281877180605236E-3</v>
      </c>
    </row>
    <row r="3897" spans="1:6" x14ac:dyDescent="0.3">
      <c r="A3897" s="24">
        <v>38775</v>
      </c>
      <c r="B3897" s="66">
        <v>525.01368628124283</v>
      </c>
      <c r="C3897" s="67"/>
      <c r="D3897" s="68">
        <v>0</v>
      </c>
      <c r="E3897" s="110">
        <f t="shared" si="61"/>
        <v>37193</v>
      </c>
      <c r="F3897" s="69">
        <v>9.4281877180605236E-3</v>
      </c>
    </row>
    <row r="3898" spans="1:6" x14ac:dyDescent="0.3">
      <c r="A3898" s="24">
        <v>38776</v>
      </c>
      <c r="B3898" s="66">
        <v>525.01368628124283</v>
      </c>
      <c r="C3898" s="67"/>
      <c r="D3898" s="68">
        <v>0</v>
      </c>
      <c r="E3898" s="110">
        <f t="shared" si="61"/>
        <v>37193</v>
      </c>
      <c r="F3898" s="69">
        <v>9.4281877180605236E-3</v>
      </c>
    </row>
    <row r="3899" spans="1:6" x14ac:dyDescent="0.3">
      <c r="A3899" s="24">
        <v>38777</v>
      </c>
      <c r="B3899" s="66">
        <v>525.01368628124283</v>
      </c>
      <c r="C3899" s="67"/>
      <c r="D3899" s="68">
        <v>0</v>
      </c>
      <c r="E3899" s="110">
        <f t="shared" si="61"/>
        <v>37193</v>
      </c>
      <c r="F3899" s="69">
        <v>9.4281877180605236E-3</v>
      </c>
    </row>
    <row r="3900" spans="1:6" x14ac:dyDescent="0.3">
      <c r="A3900" s="24">
        <v>38778</v>
      </c>
      <c r="B3900" s="66">
        <v>525.01368628124283</v>
      </c>
      <c r="C3900" s="67"/>
      <c r="D3900" s="68">
        <v>0</v>
      </c>
      <c r="E3900" s="110">
        <f t="shared" si="61"/>
        <v>37193</v>
      </c>
      <c r="F3900" s="69">
        <v>9.4281877180605236E-3</v>
      </c>
    </row>
    <row r="3901" spans="1:6" x14ac:dyDescent="0.3">
      <c r="A3901" s="24">
        <v>38779</v>
      </c>
      <c r="B3901" s="66">
        <v>525.01368628124283</v>
      </c>
      <c r="C3901" s="67"/>
      <c r="D3901" s="68">
        <v>0</v>
      </c>
      <c r="E3901" s="110">
        <f t="shared" si="61"/>
        <v>37193</v>
      </c>
      <c r="F3901" s="69">
        <v>9.4281877180605236E-3</v>
      </c>
    </row>
    <row r="3902" spans="1:6" x14ac:dyDescent="0.3">
      <c r="A3902" s="24">
        <v>38780</v>
      </c>
      <c r="B3902" s="66">
        <v>525.01368628124283</v>
      </c>
      <c r="C3902" s="67"/>
      <c r="D3902" s="68">
        <v>0</v>
      </c>
      <c r="E3902" s="110">
        <f t="shared" si="61"/>
        <v>37193</v>
      </c>
      <c r="F3902" s="69">
        <v>9.4281877180605236E-3</v>
      </c>
    </row>
    <row r="3903" spans="1:6" x14ac:dyDescent="0.3">
      <c r="A3903" s="24">
        <v>38781</v>
      </c>
      <c r="B3903" s="66">
        <v>525.01368628124283</v>
      </c>
      <c r="C3903" s="67"/>
      <c r="D3903" s="68">
        <v>0</v>
      </c>
      <c r="E3903" s="110">
        <f t="shared" si="61"/>
        <v>37193</v>
      </c>
      <c r="F3903" s="69">
        <v>9.4281877180605236E-3</v>
      </c>
    </row>
    <row r="3904" spans="1:6" x14ac:dyDescent="0.3">
      <c r="A3904" s="24">
        <v>38782</v>
      </c>
      <c r="B3904" s="66">
        <v>525.01368628124283</v>
      </c>
      <c r="C3904" s="67"/>
      <c r="D3904" s="68">
        <v>0</v>
      </c>
      <c r="E3904" s="110">
        <f t="shared" si="61"/>
        <v>37193</v>
      </c>
      <c r="F3904" s="69">
        <v>9.4281877180605236E-3</v>
      </c>
    </row>
    <row r="3905" spans="1:6" x14ac:dyDescent="0.3">
      <c r="A3905" s="24">
        <v>38783</v>
      </c>
      <c r="B3905" s="66">
        <v>525.01368628124283</v>
      </c>
      <c r="C3905" s="67"/>
      <c r="D3905" s="68">
        <v>0</v>
      </c>
      <c r="E3905" s="110">
        <f t="shared" si="61"/>
        <v>37193</v>
      </c>
      <c r="F3905" s="69">
        <v>9.4281877180605236E-3</v>
      </c>
    </row>
    <row r="3906" spans="1:6" x14ac:dyDescent="0.3">
      <c r="A3906" s="24">
        <v>38784</v>
      </c>
      <c r="B3906" s="66">
        <v>525.01368628124283</v>
      </c>
      <c r="C3906" s="67"/>
      <c r="D3906" s="68">
        <v>0</v>
      </c>
      <c r="E3906" s="110">
        <f t="shared" si="61"/>
        <v>37193</v>
      </c>
      <c r="F3906" s="69">
        <v>9.4281877180605236E-3</v>
      </c>
    </row>
    <row r="3907" spans="1:6" x14ac:dyDescent="0.3">
      <c r="A3907" s="24">
        <v>38785</v>
      </c>
      <c r="B3907" s="66">
        <v>525.01368628124283</v>
      </c>
      <c r="C3907" s="67"/>
      <c r="D3907" s="68">
        <v>0</v>
      </c>
      <c r="E3907" s="110">
        <f t="shared" si="61"/>
        <v>37193</v>
      </c>
      <c r="F3907" s="69">
        <v>9.4281877180605236E-3</v>
      </c>
    </row>
    <row r="3908" spans="1:6" x14ac:dyDescent="0.3">
      <c r="A3908" s="24">
        <v>38786</v>
      </c>
      <c r="B3908" s="66">
        <v>525.01368628124283</v>
      </c>
      <c r="C3908" s="67"/>
      <c r="D3908" s="68">
        <v>0</v>
      </c>
      <c r="E3908" s="110">
        <f t="shared" si="61"/>
        <v>37193</v>
      </c>
      <c r="F3908" s="69">
        <v>9.4281877180605236E-3</v>
      </c>
    </row>
    <row r="3909" spans="1:6" x14ac:dyDescent="0.3">
      <c r="A3909" s="24">
        <v>38787</v>
      </c>
      <c r="B3909" s="66">
        <v>525.01368628124283</v>
      </c>
      <c r="C3909" s="67"/>
      <c r="D3909" s="68">
        <v>0</v>
      </c>
      <c r="E3909" s="110">
        <f t="shared" si="61"/>
        <v>37193</v>
      </c>
      <c r="F3909" s="69">
        <v>9.4281877180605236E-3</v>
      </c>
    </row>
    <row r="3910" spans="1:6" x14ac:dyDescent="0.3">
      <c r="A3910" s="24">
        <v>38788</v>
      </c>
      <c r="B3910" s="66">
        <v>525.01368628124283</v>
      </c>
      <c r="C3910" s="67"/>
      <c r="D3910" s="68">
        <v>0</v>
      </c>
      <c r="E3910" s="110">
        <f t="shared" si="61"/>
        <v>37193</v>
      </c>
      <c r="F3910" s="69">
        <v>9.4281877180605236E-3</v>
      </c>
    </row>
    <row r="3911" spans="1:6" x14ac:dyDescent="0.3">
      <c r="A3911" s="24">
        <v>38789</v>
      </c>
      <c r="B3911" s="66">
        <v>525.01368628124283</v>
      </c>
      <c r="C3911" s="67"/>
      <c r="D3911" s="68">
        <v>0</v>
      </c>
      <c r="E3911" s="110">
        <f t="shared" si="61"/>
        <v>37193</v>
      </c>
      <c r="F3911" s="69">
        <v>9.4281877180605236E-3</v>
      </c>
    </row>
    <row r="3912" spans="1:6" x14ac:dyDescent="0.3">
      <c r="A3912" s="24">
        <v>38790</v>
      </c>
      <c r="B3912" s="66">
        <v>525.01368628124283</v>
      </c>
      <c r="C3912" s="67"/>
      <c r="D3912" s="68">
        <v>0</v>
      </c>
      <c r="E3912" s="110">
        <f t="shared" si="61"/>
        <v>37193</v>
      </c>
      <c r="F3912" s="69">
        <v>9.4281877180605236E-3</v>
      </c>
    </row>
    <row r="3913" spans="1:6" x14ac:dyDescent="0.3">
      <c r="A3913" s="24">
        <v>38791</v>
      </c>
      <c r="B3913" s="66">
        <v>525.01368628124283</v>
      </c>
      <c r="C3913" s="67"/>
      <c r="D3913" s="68">
        <v>0</v>
      </c>
      <c r="E3913" s="110">
        <f t="shared" si="61"/>
        <v>37193</v>
      </c>
      <c r="F3913" s="69">
        <v>9.4281877180605236E-3</v>
      </c>
    </row>
    <row r="3914" spans="1:6" x14ac:dyDescent="0.3">
      <c r="A3914" s="24">
        <v>38792</v>
      </c>
      <c r="B3914" s="66">
        <v>525.01368628124283</v>
      </c>
      <c r="C3914" s="67"/>
      <c r="D3914" s="68">
        <v>0</v>
      </c>
      <c r="E3914" s="110">
        <f t="shared" si="61"/>
        <v>37193</v>
      </c>
      <c r="F3914" s="69">
        <v>9.4281877180605236E-3</v>
      </c>
    </row>
    <row r="3915" spans="1:6" x14ac:dyDescent="0.3">
      <c r="A3915" s="24">
        <v>38793</v>
      </c>
      <c r="B3915" s="66">
        <v>525.01368628124283</v>
      </c>
      <c r="C3915" s="67"/>
      <c r="D3915" s="68">
        <v>0</v>
      </c>
      <c r="E3915" s="110">
        <f t="shared" si="61"/>
        <v>37193</v>
      </c>
      <c r="F3915" s="69">
        <v>9.4281877180605236E-3</v>
      </c>
    </row>
    <row r="3916" spans="1:6" x14ac:dyDescent="0.3">
      <c r="A3916" s="24">
        <v>38794</v>
      </c>
      <c r="B3916" s="66">
        <v>525.01368628124283</v>
      </c>
      <c r="C3916" s="67"/>
      <c r="D3916" s="68">
        <v>0</v>
      </c>
      <c r="E3916" s="110">
        <f t="shared" si="61"/>
        <v>37193</v>
      </c>
      <c r="F3916" s="69">
        <v>9.4281877180605236E-3</v>
      </c>
    </row>
    <row r="3917" spans="1:6" x14ac:dyDescent="0.3">
      <c r="A3917" s="24">
        <v>38795</v>
      </c>
      <c r="B3917" s="66">
        <v>525.01368628124283</v>
      </c>
      <c r="C3917" s="67"/>
      <c r="D3917" s="68">
        <v>0</v>
      </c>
      <c r="E3917" s="110">
        <f t="shared" si="61"/>
        <v>37193</v>
      </c>
      <c r="F3917" s="69">
        <v>9.4281877180605236E-3</v>
      </c>
    </row>
    <row r="3918" spans="1:6" x14ac:dyDescent="0.3">
      <c r="A3918" s="24">
        <v>38796</v>
      </c>
      <c r="B3918" s="66">
        <v>525.01368628124283</v>
      </c>
      <c r="C3918" s="67"/>
      <c r="D3918" s="68">
        <v>0</v>
      </c>
      <c r="E3918" s="110">
        <f t="shared" si="61"/>
        <v>37193</v>
      </c>
      <c r="F3918" s="69">
        <v>9.4281877180605236E-3</v>
      </c>
    </row>
    <row r="3919" spans="1:6" x14ac:dyDescent="0.3">
      <c r="A3919" s="24">
        <v>38797</v>
      </c>
      <c r="B3919" s="66">
        <v>525.01368628124283</v>
      </c>
      <c r="C3919" s="67"/>
      <c r="D3919" s="68">
        <v>0</v>
      </c>
      <c r="E3919" s="110">
        <f t="shared" si="61"/>
        <v>37193</v>
      </c>
      <c r="F3919" s="69">
        <v>9.4281877180605236E-3</v>
      </c>
    </row>
    <row r="3920" spans="1:6" x14ac:dyDescent="0.3">
      <c r="A3920" s="24">
        <v>38798</v>
      </c>
      <c r="B3920" s="66">
        <v>525.01368628124283</v>
      </c>
      <c r="C3920" s="67"/>
      <c r="D3920" s="68">
        <v>0</v>
      </c>
      <c r="E3920" s="110">
        <f t="shared" si="61"/>
        <v>37193</v>
      </c>
      <c r="F3920" s="69">
        <v>9.4281877180605236E-3</v>
      </c>
    </row>
    <row r="3921" spans="1:6" x14ac:dyDescent="0.3">
      <c r="A3921" s="24">
        <v>38799</v>
      </c>
      <c r="B3921" s="66">
        <v>525.01368628124283</v>
      </c>
      <c r="C3921" s="67"/>
      <c r="D3921" s="68">
        <v>0</v>
      </c>
      <c r="E3921" s="110">
        <f t="shared" si="61"/>
        <v>37193</v>
      </c>
      <c r="F3921" s="69">
        <v>9.4281877180605236E-3</v>
      </c>
    </row>
    <row r="3922" spans="1:6" x14ac:dyDescent="0.3">
      <c r="A3922" s="24">
        <v>38800</v>
      </c>
      <c r="B3922" s="66">
        <v>525.01368628124283</v>
      </c>
      <c r="C3922" s="67"/>
      <c r="D3922" s="68">
        <v>0</v>
      </c>
      <c r="E3922" s="110">
        <f t="shared" ref="E3922:E3985" si="62">+E3921</f>
        <v>37193</v>
      </c>
      <c r="F3922" s="69">
        <v>9.4281877180605236E-3</v>
      </c>
    </row>
    <row r="3923" spans="1:6" x14ac:dyDescent="0.3">
      <c r="A3923" s="24">
        <v>38801</v>
      </c>
      <c r="B3923" s="66">
        <v>525.01368628124283</v>
      </c>
      <c r="C3923" s="67"/>
      <c r="D3923" s="68">
        <v>0</v>
      </c>
      <c r="E3923" s="110">
        <f t="shared" si="62"/>
        <v>37193</v>
      </c>
      <c r="F3923" s="69">
        <v>9.4281877180605236E-3</v>
      </c>
    </row>
    <row r="3924" spans="1:6" x14ac:dyDescent="0.3">
      <c r="A3924" s="24">
        <v>38802</v>
      </c>
      <c r="B3924" s="66">
        <v>525.01368628124283</v>
      </c>
      <c r="C3924" s="67"/>
      <c r="D3924" s="68">
        <v>0</v>
      </c>
      <c r="E3924" s="110">
        <f t="shared" si="62"/>
        <v>37193</v>
      </c>
      <c r="F3924" s="69">
        <v>9.4281877180605236E-3</v>
      </c>
    </row>
    <row r="3925" spans="1:6" x14ac:dyDescent="0.3">
      <c r="A3925" s="24">
        <v>38803</v>
      </c>
      <c r="B3925" s="66">
        <v>525.01368628124283</v>
      </c>
      <c r="C3925" s="67"/>
      <c r="D3925" s="68">
        <v>0</v>
      </c>
      <c r="E3925" s="110">
        <f t="shared" si="62"/>
        <v>37193</v>
      </c>
      <c r="F3925" s="69">
        <v>9.4281877180605236E-3</v>
      </c>
    </row>
    <row r="3926" spans="1:6" x14ac:dyDescent="0.3">
      <c r="A3926" s="24">
        <v>38804</v>
      </c>
      <c r="B3926" s="66">
        <v>525.01368628124283</v>
      </c>
      <c r="C3926" s="67"/>
      <c r="D3926" s="68">
        <v>0</v>
      </c>
      <c r="E3926" s="110">
        <f t="shared" si="62"/>
        <v>37193</v>
      </c>
      <c r="F3926" s="69">
        <v>9.4281877180605236E-3</v>
      </c>
    </row>
    <row r="3927" spans="1:6" x14ac:dyDescent="0.3">
      <c r="A3927" s="24">
        <v>38805</v>
      </c>
      <c r="B3927" s="66">
        <v>525.01368628124283</v>
      </c>
      <c r="C3927" s="67"/>
      <c r="D3927" s="68">
        <v>0</v>
      </c>
      <c r="E3927" s="110">
        <f t="shared" si="62"/>
        <v>37193</v>
      </c>
      <c r="F3927" s="69">
        <v>9.4281877180605236E-3</v>
      </c>
    </row>
    <row r="3928" spans="1:6" x14ac:dyDescent="0.3">
      <c r="A3928" s="24">
        <v>38806</v>
      </c>
      <c r="B3928" s="66">
        <v>525.01368628124283</v>
      </c>
      <c r="C3928" s="67"/>
      <c r="D3928" s="68">
        <v>0</v>
      </c>
      <c r="E3928" s="110">
        <f t="shared" si="62"/>
        <v>37193</v>
      </c>
      <c r="F3928" s="69">
        <v>9.3765015444947468E-3</v>
      </c>
    </row>
    <row r="3929" spans="1:6" x14ac:dyDescent="0.3">
      <c r="A3929" s="24">
        <v>38807</v>
      </c>
      <c r="B3929" s="66">
        <v>532.48500000000001</v>
      </c>
      <c r="C3929" s="67"/>
      <c r="D3929" s="68">
        <v>0</v>
      </c>
      <c r="E3929" s="110">
        <f t="shared" si="62"/>
        <v>37193</v>
      </c>
      <c r="F3929" s="69">
        <v>9.3765015444947468E-3</v>
      </c>
    </row>
    <row r="3930" spans="1:6" x14ac:dyDescent="0.3">
      <c r="A3930" s="24">
        <v>38808</v>
      </c>
      <c r="B3930" s="66">
        <v>532.48500000000001</v>
      </c>
      <c r="C3930" s="67"/>
      <c r="D3930" s="68">
        <v>0</v>
      </c>
      <c r="E3930" s="110">
        <f t="shared" si="62"/>
        <v>37193</v>
      </c>
      <c r="F3930" s="69">
        <v>9.3765015444947468E-3</v>
      </c>
    </row>
    <row r="3931" spans="1:6" x14ac:dyDescent="0.3">
      <c r="A3931" s="24">
        <v>38809</v>
      </c>
      <c r="B3931" s="66">
        <v>532.48500000000001</v>
      </c>
      <c r="C3931" s="67"/>
      <c r="D3931" s="68">
        <v>0</v>
      </c>
      <c r="E3931" s="110">
        <f t="shared" si="62"/>
        <v>37193</v>
      </c>
      <c r="F3931" s="69">
        <v>9.3765015444947468E-3</v>
      </c>
    </row>
    <row r="3932" spans="1:6" x14ac:dyDescent="0.3">
      <c r="A3932" s="24">
        <v>38810</v>
      </c>
      <c r="B3932" s="66">
        <v>532.48500000000001</v>
      </c>
      <c r="C3932" s="67"/>
      <c r="D3932" s="68">
        <v>0</v>
      </c>
      <c r="E3932" s="110">
        <f t="shared" si="62"/>
        <v>37193</v>
      </c>
      <c r="F3932" s="69">
        <v>9.3765015444947468E-3</v>
      </c>
    </row>
    <row r="3933" spans="1:6" x14ac:dyDescent="0.3">
      <c r="A3933" s="24">
        <v>38811</v>
      </c>
      <c r="B3933" s="66">
        <v>532.48500000000001</v>
      </c>
      <c r="C3933" s="67"/>
      <c r="D3933" s="68">
        <v>0</v>
      </c>
      <c r="E3933" s="110">
        <f t="shared" si="62"/>
        <v>37193</v>
      </c>
      <c r="F3933" s="69">
        <v>9.3765015444947468E-3</v>
      </c>
    </row>
    <row r="3934" spans="1:6" x14ac:dyDescent="0.3">
      <c r="A3934" s="24">
        <v>38812</v>
      </c>
      <c r="B3934" s="66">
        <v>532.48500000000001</v>
      </c>
      <c r="C3934" s="67"/>
      <c r="D3934" s="68">
        <v>0</v>
      </c>
      <c r="E3934" s="110">
        <f t="shared" si="62"/>
        <v>37193</v>
      </c>
      <c r="F3934" s="69">
        <v>9.3765015444947468E-3</v>
      </c>
    </row>
    <row r="3935" spans="1:6" x14ac:dyDescent="0.3">
      <c r="A3935" s="24">
        <v>38813</v>
      </c>
      <c r="B3935" s="66">
        <v>532.48500000000001</v>
      </c>
      <c r="C3935" s="67"/>
      <c r="D3935" s="68">
        <v>0</v>
      </c>
      <c r="E3935" s="110">
        <f t="shared" si="62"/>
        <v>37193</v>
      </c>
      <c r="F3935" s="69">
        <v>9.3765015444947468E-3</v>
      </c>
    </row>
    <row r="3936" spans="1:6" x14ac:dyDescent="0.3">
      <c r="A3936" s="24">
        <v>38814</v>
      </c>
      <c r="B3936" s="66">
        <v>532.48500000000001</v>
      </c>
      <c r="C3936" s="67"/>
      <c r="D3936" s="68">
        <v>0</v>
      </c>
      <c r="E3936" s="110">
        <f t="shared" si="62"/>
        <v>37193</v>
      </c>
      <c r="F3936" s="69">
        <v>9.3765015444947468E-3</v>
      </c>
    </row>
    <row r="3937" spans="1:6" x14ac:dyDescent="0.3">
      <c r="A3937" s="24">
        <v>38815</v>
      </c>
      <c r="B3937" s="66">
        <v>532.48500000000001</v>
      </c>
      <c r="C3937" s="67"/>
      <c r="D3937" s="68">
        <v>0</v>
      </c>
      <c r="E3937" s="110">
        <f t="shared" si="62"/>
        <v>37193</v>
      </c>
      <c r="F3937" s="69">
        <v>9.3765015444947468E-3</v>
      </c>
    </row>
    <row r="3938" spans="1:6" x14ac:dyDescent="0.3">
      <c r="A3938" s="24">
        <v>38816</v>
      </c>
      <c r="B3938" s="66">
        <v>532.48500000000001</v>
      </c>
      <c r="C3938" s="67"/>
      <c r="D3938" s="68">
        <v>0</v>
      </c>
      <c r="E3938" s="110">
        <f t="shared" si="62"/>
        <v>37193</v>
      </c>
      <c r="F3938" s="69">
        <v>9.3765015444947468E-3</v>
      </c>
    </row>
    <row r="3939" spans="1:6" x14ac:dyDescent="0.3">
      <c r="A3939" s="24">
        <v>38817</v>
      </c>
      <c r="B3939" s="66">
        <v>532.48500000000001</v>
      </c>
      <c r="C3939" s="67"/>
      <c r="D3939" s="68">
        <v>0</v>
      </c>
      <c r="E3939" s="110">
        <f t="shared" si="62"/>
        <v>37193</v>
      </c>
      <c r="F3939" s="69">
        <v>9.3765015444947468E-3</v>
      </c>
    </row>
    <row r="3940" spans="1:6" x14ac:dyDescent="0.3">
      <c r="A3940" s="24">
        <v>38818</v>
      </c>
      <c r="B3940" s="66">
        <v>532.48500000000001</v>
      </c>
      <c r="C3940" s="67"/>
      <c r="D3940" s="68">
        <v>0</v>
      </c>
      <c r="E3940" s="110">
        <f t="shared" si="62"/>
        <v>37193</v>
      </c>
      <c r="F3940" s="69">
        <v>9.3765015444947468E-3</v>
      </c>
    </row>
    <row r="3941" spans="1:6" x14ac:dyDescent="0.3">
      <c r="A3941" s="24">
        <v>38819</v>
      </c>
      <c r="B3941" s="66">
        <v>532.48500000000001</v>
      </c>
      <c r="C3941" s="67"/>
      <c r="D3941" s="68">
        <v>0</v>
      </c>
      <c r="E3941" s="110">
        <f t="shared" si="62"/>
        <v>37193</v>
      </c>
      <c r="F3941" s="69">
        <v>9.3765015444947468E-3</v>
      </c>
    </row>
    <row r="3942" spans="1:6" x14ac:dyDescent="0.3">
      <c r="A3942" s="24">
        <v>38820</v>
      </c>
      <c r="B3942" s="66">
        <v>532.48500000000001</v>
      </c>
      <c r="C3942" s="67"/>
      <c r="D3942" s="68">
        <v>0</v>
      </c>
      <c r="E3942" s="110">
        <f t="shared" si="62"/>
        <v>37193</v>
      </c>
      <c r="F3942" s="69">
        <v>9.3765015444947468E-3</v>
      </c>
    </row>
    <row r="3943" spans="1:6" x14ac:dyDescent="0.3">
      <c r="A3943" s="24">
        <v>38821</v>
      </c>
      <c r="B3943" s="66">
        <v>532.48500000000001</v>
      </c>
      <c r="C3943" s="67"/>
      <c r="D3943" s="68">
        <v>0</v>
      </c>
      <c r="E3943" s="110">
        <f t="shared" si="62"/>
        <v>37193</v>
      </c>
      <c r="F3943" s="69">
        <v>9.3765015444947468E-3</v>
      </c>
    </row>
    <row r="3944" spans="1:6" x14ac:dyDescent="0.3">
      <c r="A3944" s="24">
        <v>38822</v>
      </c>
      <c r="B3944" s="66">
        <v>532.48500000000001</v>
      </c>
      <c r="C3944" s="67"/>
      <c r="D3944" s="68">
        <v>0</v>
      </c>
      <c r="E3944" s="110">
        <f t="shared" si="62"/>
        <v>37193</v>
      </c>
      <c r="F3944" s="69">
        <v>9.3765015444947468E-3</v>
      </c>
    </row>
    <row r="3945" spans="1:6" x14ac:dyDescent="0.3">
      <c r="A3945" s="24">
        <v>38823</v>
      </c>
      <c r="B3945" s="66">
        <v>532.48500000000001</v>
      </c>
      <c r="C3945" s="67"/>
      <c r="D3945" s="68">
        <v>0</v>
      </c>
      <c r="E3945" s="110">
        <f t="shared" si="62"/>
        <v>37193</v>
      </c>
      <c r="F3945" s="69">
        <v>9.3765015444947468E-3</v>
      </c>
    </row>
    <row r="3946" spans="1:6" x14ac:dyDescent="0.3">
      <c r="A3946" s="24">
        <v>38824</v>
      </c>
      <c r="B3946" s="66">
        <v>532.48500000000001</v>
      </c>
      <c r="C3946" s="67"/>
      <c r="D3946" s="68">
        <v>0</v>
      </c>
      <c r="E3946" s="110">
        <f t="shared" si="62"/>
        <v>37193</v>
      </c>
      <c r="F3946" s="69">
        <v>9.3765015444947468E-3</v>
      </c>
    </row>
    <row r="3947" spans="1:6" x14ac:dyDescent="0.3">
      <c r="A3947" s="24">
        <v>38825</v>
      </c>
      <c r="B3947" s="66">
        <v>532.48500000000001</v>
      </c>
      <c r="C3947" s="67"/>
      <c r="D3947" s="68">
        <v>0</v>
      </c>
      <c r="E3947" s="110">
        <f t="shared" si="62"/>
        <v>37193</v>
      </c>
      <c r="F3947" s="69">
        <v>9.3765015444947468E-3</v>
      </c>
    </row>
    <row r="3948" spans="1:6" x14ac:dyDescent="0.3">
      <c r="A3948" s="24">
        <v>38826</v>
      </c>
      <c r="B3948" s="66">
        <v>532.48500000000001</v>
      </c>
      <c r="C3948" s="67"/>
      <c r="D3948" s="68">
        <v>0</v>
      </c>
      <c r="E3948" s="110">
        <f t="shared" si="62"/>
        <v>37193</v>
      </c>
      <c r="F3948" s="69">
        <v>9.3765015444947468E-3</v>
      </c>
    </row>
    <row r="3949" spans="1:6" x14ac:dyDescent="0.3">
      <c r="A3949" s="24">
        <v>38827</v>
      </c>
      <c r="B3949" s="66">
        <v>532.48500000000001</v>
      </c>
      <c r="C3949" s="67"/>
      <c r="D3949" s="68">
        <v>0</v>
      </c>
      <c r="E3949" s="110">
        <f t="shared" si="62"/>
        <v>37193</v>
      </c>
      <c r="F3949" s="69">
        <v>9.3765015444947468E-3</v>
      </c>
    </row>
    <row r="3950" spans="1:6" x14ac:dyDescent="0.3">
      <c r="A3950" s="24">
        <v>38828</v>
      </c>
      <c r="B3950" s="66">
        <v>532.48500000000001</v>
      </c>
      <c r="C3950" s="67"/>
      <c r="D3950" s="68">
        <v>0</v>
      </c>
      <c r="E3950" s="110">
        <f t="shared" si="62"/>
        <v>37193</v>
      </c>
      <c r="F3950" s="69">
        <v>9.3765015444947468E-3</v>
      </c>
    </row>
    <row r="3951" spans="1:6" x14ac:dyDescent="0.3">
      <c r="A3951" s="24">
        <v>38829</v>
      </c>
      <c r="B3951" s="66">
        <v>532.48500000000001</v>
      </c>
      <c r="C3951" s="67"/>
      <c r="D3951" s="68">
        <v>0</v>
      </c>
      <c r="E3951" s="110">
        <f t="shared" si="62"/>
        <v>37193</v>
      </c>
      <c r="F3951" s="69">
        <v>9.3765015444947468E-3</v>
      </c>
    </row>
    <row r="3952" spans="1:6" x14ac:dyDescent="0.3">
      <c r="A3952" s="24">
        <v>38830</v>
      </c>
      <c r="B3952" s="66">
        <v>532.48500000000001</v>
      </c>
      <c r="C3952" s="67"/>
      <c r="D3952" s="68">
        <v>0</v>
      </c>
      <c r="E3952" s="110">
        <f t="shared" si="62"/>
        <v>37193</v>
      </c>
      <c r="F3952" s="69">
        <v>9.3765015444947468E-3</v>
      </c>
    </row>
    <row r="3953" spans="1:6" x14ac:dyDescent="0.3">
      <c r="A3953" s="24">
        <v>38831</v>
      </c>
      <c r="B3953" s="66">
        <v>532.48500000000001</v>
      </c>
      <c r="C3953" s="67"/>
      <c r="D3953" s="68">
        <v>0</v>
      </c>
      <c r="E3953" s="110">
        <f t="shared" si="62"/>
        <v>37193</v>
      </c>
      <c r="F3953" s="69">
        <v>9.3765015444947468E-3</v>
      </c>
    </row>
    <row r="3954" spans="1:6" x14ac:dyDescent="0.3">
      <c r="A3954" s="24">
        <v>38832</v>
      </c>
      <c r="B3954" s="66">
        <v>532.48500000000001</v>
      </c>
      <c r="C3954" s="67"/>
      <c r="D3954" s="68">
        <v>0</v>
      </c>
      <c r="E3954" s="110">
        <f t="shared" si="62"/>
        <v>37193</v>
      </c>
      <c r="F3954" s="69">
        <v>9.3765015444947468E-3</v>
      </c>
    </row>
    <row r="3955" spans="1:6" x14ac:dyDescent="0.3">
      <c r="A3955" s="24">
        <v>38833</v>
      </c>
      <c r="B3955" s="66">
        <v>532.48500000000001</v>
      </c>
      <c r="C3955" s="67"/>
      <c r="D3955" s="68">
        <v>0</v>
      </c>
      <c r="E3955" s="110">
        <f t="shared" si="62"/>
        <v>37193</v>
      </c>
      <c r="F3955" s="69">
        <v>9.3765015444947468E-3</v>
      </c>
    </row>
    <row r="3956" spans="1:6" x14ac:dyDescent="0.3">
      <c r="A3956" s="24">
        <v>38834</v>
      </c>
      <c r="B3956" s="66">
        <v>532.48500000000001</v>
      </c>
      <c r="C3956" s="67"/>
      <c r="D3956" s="68">
        <v>0</v>
      </c>
      <c r="E3956" s="110">
        <f t="shared" si="62"/>
        <v>37193</v>
      </c>
      <c r="F3956" s="69">
        <v>9.3765015444947468E-3</v>
      </c>
    </row>
    <row r="3957" spans="1:6" x14ac:dyDescent="0.3">
      <c r="A3957" s="24">
        <v>38835</v>
      </c>
      <c r="B3957" s="66">
        <v>532.48500000000001</v>
      </c>
      <c r="C3957" s="67"/>
      <c r="D3957" s="68">
        <v>0</v>
      </c>
      <c r="E3957" s="110">
        <f t="shared" si="62"/>
        <v>37193</v>
      </c>
      <c r="F3957" s="69">
        <v>9.3765015444947468E-3</v>
      </c>
    </row>
    <row r="3958" spans="1:6" x14ac:dyDescent="0.3">
      <c r="A3958" s="24">
        <v>38836</v>
      </c>
      <c r="B3958" s="66">
        <v>532.48500000000001</v>
      </c>
      <c r="C3958" s="67"/>
      <c r="D3958" s="68">
        <v>0</v>
      </c>
      <c r="E3958" s="110">
        <f t="shared" si="62"/>
        <v>37193</v>
      </c>
      <c r="F3958" s="69">
        <v>9.3765015444947468E-3</v>
      </c>
    </row>
    <row r="3959" spans="1:6" x14ac:dyDescent="0.3">
      <c r="A3959" s="24">
        <v>38837</v>
      </c>
      <c r="B3959" s="66">
        <v>532.48500000000001</v>
      </c>
      <c r="C3959" s="67"/>
      <c r="D3959" s="68">
        <v>0</v>
      </c>
      <c r="E3959" s="110">
        <f t="shared" si="62"/>
        <v>37193</v>
      </c>
      <c r="F3959" s="69">
        <v>9.3765015444947468E-3</v>
      </c>
    </row>
    <row r="3960" spans="1:6" x14ac:dyDescent="0.3">
      <c r="A3960" s="24">
        <v>38838</v>
      </c>
      <c r="B3960" s="66">
        <v>532.48500000000001</v>
      </c>
      <c r="C3960" s="67"/>
      <c r="D3960" s="68">
        <v>0</v>
      </c>
      <c r="E3960" s="110">
        <f t="shared" si="62"/>
        <v>37193</v>
      </c>
      <c r="F3960" s="69">
        <v>9.3765015444947468E-3</v>
      </c>
    </row>
    <row r="3961" spans="1:6" x14ac:dyDescent="0.3">
      <c r="A3961" s="24">
        <v>38839</v>
      </c>
      <c r="B3961" s="66">
        <v>532.48500000000001</v>
      </c>
      <c r="C3961" s="67"/>
      <c r="D3961" s="68">
        <v>0</v>
      </c>
      <c r="E3961" s="110">
        <f t="shared" si="62"/>
        <v>37193</v>
      </c>
      <c r="F3961" s="69">
        <v>9.3765015444947468E-3</v>
      </c>
    </row>
    <row r="3962" spans="1:6" x14ac:dyDescent="0.3">
      <c r="A3962" s="24">
        <v>38840</v>
      </c>
      <c r="B3962" s="66">
        <v>532.48500000000001</v>
      </c>
      <c r="C3962" s="67"/>
      <c r="D3962" s="68">
        <v>0</v>
      </c>
      <c r="E3962" s="110">
        <f t="shared" si="62"/>
        <v>37193</v>
      </c>
      <c r="F3962" s="69">
        <v>9.3765015444947468E-3</v>
      </c>
    </row>
    <row r="3963" spans="1:6" x14ac:dyDescent="0.3">
      <c r="A3963" s="24">
        <v>38841</v>
      </c>
      <c r="B3963" s="66">
        <v>532.48500000000001</v>
      </c>
      <c r="C3963" s="67"/>
      <c r="D3963" s="68">
        <v>0</v>
      </c>
      <c r="E3963" s="110">
        <f t="shared" si="62"/>
        <v>37193</v>
      </c>
      <c r="F3963" s="69">
        <v>9.3765015444947468E-3</v>
      </c>
    </row>
    <row r="3964" spans="1:6" x14ac:dyDescent="0.3">
      <c r="A3964" s="24">
        <v>38842</v>
      </c>
      <c r="B3964" s="66">
        <v>532.48500000000001</v>
      </c>
      <c r="C3964" s="67"/>
      <c r="D3964" s="68">
        <v>0</v>
      </c>
      <c r="E3964" s="110">
        <f t="shared" si="62"/>
        <v>37193</v>
      </c>
      <c r="F3964" s="69">
        <v>9.3765015444947468E-3</v>
      </c>
    </row>
    <row r="3965" spans="1:6" x14ac:dyDescent="0.3">
      <c r="A3965" s="24">
        <v>38843</v>
      </c>
      <c r="B3965" s="66">
        <v>532.48500000000001</v>
      </c>
      <c r="C3965" s="67"/>
      <c r="D3965" s="68">
        <v>0</v>
      </c>
      <c r="E3965" s="110">
        <f t="shared" si="62"/>
        <v>37193</v>
      </c>
      <c r="F3965" s="69">
        <v>9.3765015444947468E-3</v>
      </c>
    </row>
    <row r="3966" spans="1:6" x14ac:dyDescent="0.3">
      <c r="A3966" s="24">
        <v>38844</v>
      </c>
      <c r="B3966" s="66">
        <v>532.48500000000001</v>
      </c>
      <c r="C3966" s="67"/>
      <c r="D3966" s="68">
        <v>0</v>
      </c>
      <c r="E3966" s="110">
        <f t="shared" si="62"/>
        <v>37193</v>
      </c>
      <c r="F3966" s="69">
        <v>9.3765015444947468E-3</v>
      </c>
    </row>
    <row r="3967" spans="1:6" x14ac:dyDescent="0.3">
      <c r="A3967" s="24">
        <v>38845</v>
      </c>
      <c r="B3967" s="66">
        <v>532.48500000000001</v>
      </c>
      <c r="C3967" s="67"/>
      <c r="D3967" s="68">
        <v>0</v>
      </c>
      <c r="E3967" s="110">
        <f t="shared" si="62"/>
        <v>37193</v>
      </c>
      <c r="F3967" s="69">
        <v>9.3765015444947468E-3</v>
      </c>
    </row>
    <row r="3968" spans="1:6" x14ac:dyDescent="0.3">
      <c r="A3968" s="24">
        <v>38846</v>
      </c>
      <c r="B3968" s="66">
        <v>532.48500000000001</v>
      </c>
      <c r="C3968" s="67"/>
      <c r="D3968" s="68">
        <v>0</v>
      </c>
      <c r="E3968" s="110">
        <f t="shared" si="62"/>
        <v>37193</v>
      </c>
      <c r="F3968" s="69">
        <v>9.3765015444947468E-3</v>
      </c>
    </row>
    <row r="3969" spans="1:6" x14ac:dyDescent="0.3">
      <c r="A3969" s="24">
        <v>38847</v>
      </c>
      <c r="B3969" s="66">
        <v>532.48500000000001</v>
      </c>
      <c r="C3969" s="67"/>
      <c r="D3969" s="68">
        <v>0</v>
      </c>
      <c r="E3969" s="110">
        <f t="shared" si="62"/>
        <v>37193</v>
      </c>
      <c r="F3969" s="69">
        <v>9.3765015444947468E-3</v>
      </c>
    </row>
    <row r="3970" spans="1:6" x14ac:dyDescent="0.3">
      <c r="A3970" s="24">
        <v>38848</v>
      </c>
      <c r="B3970" s="66">
        <v>532.48500000000001</v>
      </c>
      <c r="C3970" s="67"/>
      <c r="D3970" s="68">
        <v>0</v>
      </c>
      <c r="E3970" s="110">
        <f t="shared" si="62"/>
        <v>37193</v>
      </c>
      <c r="F3970" s="69">
        <v>9.3765015444947468E-3</v>
      </c>
    </row>
    <row r="3971" spans="1:6" x14ac:dyDescent="0.3">
      <c r="A3971" s="24">
        <v>38849</v>
      </c>
      <c r="B3971" s="66">
        <v>532.48500000000001</v>
      </c>
      <c r="C3971" s="67"/>
      <c r="D3971" s="68">
        <v>0</v>
      </c>
      <c r="E3971" s="110">
        <f t="shared" si="62"/>
        <v>37193</v>
      </c>
      <c r="F3971" s="69">
        <v>9.3765015444947468E-3</v>
      </c>
    </row>
    <row r="3972" spans="1:6" x14ac:dyDescent="0.3">
      <c r="A3972" s="24">
        <v>38850</v>
      </c>
      <c r="B3972" s="66">
        <v>532.48500000000001</v>
      </c>
      <c r="C3972" s="67"/>
      <c r="D3972" s="68">
        <v>0</v>
      </c>
      <c r="E3972" s="110">
        <f t="shared" si="62"/>
        <v>37193</v>
      </c>
      <c r="F3972" s="69">
        <v>9.3765015444947468E-3</v>
      </c>
    </row>
    <row r="3973" spans="1:6" x14ac:dyDescent="0.3">
      <c r="A3973" s="24">
        <v>38851</v>
      </c>
      <c r="B3973" s="66">
        <v>532.48500000000001</v>
      </c>
      <c r="C3973" s="67"/>
      <c r="D3973" s="68">
        <v>0</v>
      </c>
      <c r="E3973" s="110">
        <f t="shared" si="62"/>
        <v>37193</v>
      </c>
      <c r="F3973" s="69">
        <v>9.3765015444947468E-3</v>
      </c>
    </row>
    <row r="3974" spans="1:6" x14ac:dyDescent="0.3">
      <c r="A3974" s="24">
        <v>38852</v>
      </c>
      <c r="B3974" s="66">
        <v>532.48500000000001</v>
      </c>
      <c r="C3974" s="67"/>
      <c r="D3974" s="68">
        <v>0</v>
      </c>
      <c r="E3974" s="110">
        <f t="shared" si="62"/>
        <v>37193</v>
      </c>
      <c r="F3974" s="69">
        <v>9.3765015444947468E-3</v>
      </c>
    </row>
    <row r="3975" spans="1:6" x14ac:dyDescent="0.3">
      <c r="A3975" s="24">
        <v>38853</v>
      </c>
      <c r="B3975" s="66">
        <v>532.48500000000001</v>
      </c>
      <c r="C3975" s="67"/>
      <c r="D3975" s="68">
        <v>0</v>
      </c>
      <c r="E3975" s="110">
        <f t="shared" si="62"/>
        <v>37193</v>
      </c>
      <c r="F3975" s="69">
        <v>9.3765015444947468E-3</v>
      </c>
    </row>
    <row r="3976" spans="1:6" x14ac:dyDescent="0.3">
      <c r="A3976" s="24">
        <v>38854</v>
      </c>
      <c r="B3976" s="66">
        <v>532.48500000000001</v>
      </c>
      <c r="C3976" s="67"/>
      <c r="D3976" s="68">
        <v>0</v>
      </c>
      <c r="E3976" s="110">
        <f t="shared" si="62"/>
        <v>37193</v>
      </c>
      <c r="F3976" s="69">
        <v>9.3765015444947468E-3</v>
      </c>
    </row>
    <row r="3977" spans="1:6" x14ac:dyDescent="0.3">
      <c r="A3977" s="24">
        <v>38855</v>
      </c>
      <c r="B3977" s="66">
        <v>532.48500000000001</v>
      </c>
      <c r="C3977" s="67"/>
      <c r="D3977" s="68">
        <v>0</v>
      </c>
      <c r="E3977" s="110">
        <f t="shared" si="62"/>
        <v>37193</v>
      </c>
      <c r="F3977" s="69">
        <v>9.3765015444947468E-3</v>
      </c>
    </row>
    <row r="3978" spans="1:6" x14ac:dyDescent="0.3">
      <c r="A3978" s="24">
        <v>38856</v>
      </c>
      <c r="B3978" s="66">
        <v>532.48500000000001</v>
      </c>
      <c r="C3978" s="67"/>
      <c r="D3978" s="68">
        <v>5.4659989969376461</v>
      </c>
      <c r="E3978" s="110">
        <f t="shared" si="62"/>
        <v>37193</v>
      </c>
      <c r="F3978" s="69">
        <v>1.1197719886788788E-2</v>
      </c>
    </row>
    <row r="3979" spans="1:6" x14ac:dyDescent="0.3">
      <c r="A3979" s="24">
        <v>38857</v>
      </c>
      <c r="B3979" s="66">
        <v>532.48500000000001</v>
      </c>
      <c r="C3979" s="67"/>
      <c r="D3979" s="68">
        <v>0</v>
      </c>
      <c r="E3979" s="110">
        <f t="shared" si="62"/>
        <v>37193</v>
      </c>
      <c r="F3979" s="69">
        <v>1.1197719886788788E-2</v>
      </c>
    </row>
    <row r="3980" spans="1:6" x14ac:dyDescent="0.3">
      <c r="A3980" s="24">
        <v>38858</v>
      </c>
      <c r="B3980" s="66">
        <v>532.48500000000001</v>
      </c>
      <c r="C3980" s="67"/>
      <c r="D3980" s="68">
        <v>0</v>
      </c>
      <c r="E3980" s="110">
        <f t="shared" si="62"/>
        <v>37193</v>
      </c>
      <c r="F3980" s="69">
        <v>1.1197719886788788E-2</v>
      </c>
    </row>
    <row r="3981" spans="1:6" x14ac:dyDescent="0.3">
      <c r="A3981" s="24">
        <v>38859</v>
      </c>
      <c r="B3981" s="66">
        <v>532.48500000000001</v>
      </c>
      <c r="C3981" s="67"/>
      <c r="D3981" s="68">
        <v>0</v>
      </c>
      <c r="E3981" s="110">
        <f t="shared" si="62"/>
        <v>37193</v>
      </c>
      <c r="F3981" s="69">
        <v>1.1197719886788788E-2</v>
      </c>
    </row>
    <row r="3982" spans="1:6" x14ac:dyDescent="0.3">
      <c r="A3982" s="24">
        <v>38860</v>
      </c>
      <c r="B3982" s="66">
        <v>532.48500000000001</v>
      </c>
      <c r="C3982" s="67"/>
      <c r="D3982" s="68">
        <v>0</v>
      </c>
      <c r="E3982" s="110">
        <f t="shared" si="62"/>
        <v>37193</v>
      </c>
      <c r="F3982" s="69">
        <v>1.1197719886788788E-2</v>
      </c>
    </row>
    <row r="3983" spans="1:6" x14ac:dyDescent="0.3">
      <c r="A3983" s="24">
        <v>38861</v>
      </c>
      <c r="B3983" s="66">
        <v>532.48500000000001</v>
      </c>
      <c r="C3983" s="67"/>
      <c r="D3983" s="68">
        <v>0</v>
      </c>
      <c r="E3983" s="110">
        <f t="shared" si="62"/>
        <v>37193</v>
      </c>
      <c r="F3983" s="69">
        <v>1.1197719886788788E-2</v>
      </c>
    </row>
    <row r="3984" spans="1:6" x14ac:dyDescent="0.3">
      <c r="A3984" s="24">
        <v>38862</v>
      </c>
      <c r="B3984" s="66">
        <v>532.48500000000001</v>
      </c>
      <c r="C3984" s="67"/>
      <c r="D3984" s="68">
        <v>0</v>
      </c>
      <c r="E3984" s="110">
        <f t="shared" si="62"/>
        <v>37193</v>
      </c>
      <c r="F3984" s="69">
        <v>1.1197719886788788E-2</v>
      </c>
    </row>
    <row r="3985" spans="1:6" x14ac:dyDescent="0.3">
      <c r="A3985" s="24">
        <v>38863</v>
      </c>
      <c r="B3985" s="66">
        <v>532.48500000000001</v>
      </c>
      <c r="C3985" s="67"/>
      <c r="D3985" s="68">
        <v>0</v>
      </c>
      <c r="E3985" s="110">
        <f t="shared" si="62"/>
        <v>37193</v>
      </c>
      <c r="F3985" s="69">
        <v>1.1197719886788788E-2</v>
      </c>
    </row>
    <row r="3986" spans="1:6" x14ac:dyDescent="0.3">
      <c r="A3986" s="24">
        <v>38864</v>
      </c>
      <c r="B3986" s="66">
        <v>532.48500000000001</v>
      </c>
      <c r="C3986" s="67"/>
      <c r="D3986" s="68">
        <v>0</v>
      </c>
      <c r="E3986" s="110">
        <f t="shared" ref="E3986:E4049" si="63">+E3985</f>
        <v>37193</v>
      </c>
      <c r="F3986" s="69">
        <v>1.1197719886788788E-2</v>
      </c>
    </row>
    <row r="3987" spans="1:6" x14ac:dyDescent="0.3">
      <c r="A3987" s="24">
        <v>38865</v>
      </c>
      <c r="B3987" s="66">
        <v>532.48500000000001</v>
      </c>
      <c r="C3987" s="67"/>
      <c r="D3987" s="68">
        <v>0</v>
      </c>
      <c r="E3987" s="110">
        <f t="shared" si="63"/>
        <v>37193</v>
      </c>
      <c r="F3987" s="69">
        <v>1.1197719886788788E-2</v>
      </c>
    </row>
    <row r="3988" spans="1:6" x14ac:dyDescent="0.3">
      <c r="A3988" s="24">
        <v>38866</v>
      </c>
      <c r="B3988" s="66">
        <v>532.48500000000001</v>
      </c>
      <c r="C3988" s="67"/>
      <c r="D3988" s="68">
        <v>0</v>
      </c>
      <c r="E3988" s="110">
        <f t="shared" si="63"/>
        <v>37193</v>
      </c>
      <c r="F3988" s="69">
        <v>1.1197719886788788E-2</v>
      </c>
    </row>
    <row r="3989" spans="1:6" x14ac:dyDescent="0.3">
      <c r="A3989" s="24">
        <v>38867</v>
      </c>
      <c r="B3989" s="66">
        <v>532.48500000000001</v>
      </c>
      <c r="C3989" s="67"/>
      <c r="D3989" s="68">
        <v>0</v>
      </c>
      <c r="E3989" s="110">
        <f t="shared" si="63"/>
        <v>37193</v>
      </c>
      <c r="F3989" s="69">
        <v>1.1197719886788788E-2</v>
      </c>
    </row>
    <row r="3990" spans="1:6" x14ac:dyDescent="0.3">
      <c r="A3990" s="24">
        <v>38868</v>
      </c>
      <c r="B3990" s="66">
        <v>532.48500000000001</v>
      </c>
      <c r="C3990" s="67"/>
      <c r="D3990" s="68">
        <v>0</v>
      </c>
      <c r="E3990" s="110">
        <f t="shared" si="63"/>
        <v>37193</v>
      </c>
      <c r="F3990" s="69">
        <v>1.1197719886788788E-2</v>
      </c>
    </row>
    <row r="3991" spans="1:6" x14ac:dyDescent="0.3">
      <c r="A3991" s="24">
        <v>38869</v>
      </c>
      <c r="B3991" s="66">
        <v>532.48500000000001</v>
      </c>
      <c r="C3991" s="67"/>
      <c r="D3991" s="68">
        <v>0</v>
      </c>
      <c r="E3991" s="110">
        <f t="shared" si="63"/>
        <v>37193</v>
      </c>
      <c r="F3991" s="69">
        <v>1.1197719886788788E-2</v>
      </c>
    </row>
    <row r="3992" spans="1:6" x14ac:dyDescent="0.3">
      <c r="A3992" s="24">
        <v>38870</v>
      </c>
      <c r="B3992" s="66">
        <v>532.48500000000001</v>
      </c>
      <c r="C3992" s="67"/>
      <c r="D3992" s="68">
        <v>0</v>
      </c>
      <c r="E3992" s="110">
        <f t="shared" si="63"/>
        <v>37193</v>
      </c>
      <c r="F3992" s="69">
        <v>1.1197719886788788E-2</v>
      </c>
    </row>
    <row r="3993" spans="1:6" x14ac:dyDescent="0.3">
      <c r="A3993" s="24">
        <v>38871</v>
      </c>
      <c r="B3993" s="66">
        <v>532.48500000000001</v>
      </c>
      <c r="C3993" s="67"/>
      <c r="D3993" s="68">
        <v>0</v>
      </c>
      <c r="E3993" s="110">
        <f t="shared" si="63"/>
        <v>37193</v>
      </c>
      <c r="F3993" s="69">
        <v>1.1197719886788788E-2</v>
      </c>
    </row>
    <row r="3994" spans="1:6" x14ac:dyDescent="0.3">
      <c r="A3994" s="24">
        <v>38872</v>
      </c>
      <c r="B3994" s="66">
        <v>532.48500000000001</v>
      </c>
      <c r="C3994" s="67"/>
      <c r="D3994" s="68">
        <v>0</v>
      </c>
      <c r="E3994" s="110">
        <f t="shared" si="63"/>
        <v>37193</v>
      </c>
      <c r="F3994" s="69">
        <v>1.1197719886788788E-2</v>
      </c>
    </row>
    <row r="3995" spans="1:6" x14ac:dyDescent="0.3">
      <c r="A3995" s="24">
        <v>38873</v>
      </c>
      <c r="B3995" s="66">
        <v>532.48500000000001</v>
      </c>
      <c r="C3995" s="67"/>
      <c r="D3995" s="68">
        <v>0</v>
      </c>
      <c r="E3995" s="110">
        <f t="shared" si="63"/>
        <v>37193</v>
      </c>
      <c r="F3995" s="69">
        <v>1.1197719886788788E-2</v>
      </c>
    </row>
    <row r="3996" spans="1:6" x14ac:dyDescent="0.3">
      <c r="A3996" s="24">
        <v>38874</v>
      </c>
      <c r="B3996" s="66">
        <v>532.48500000000001</v>
      </c>
      <c r="C3996" s="67"/>
      <c r="D3996" s="68">
        <v>0</v>
      </c>
      <c r="E3996" s="110">
        <f t="shared" si="63"/>
        <v>37193</v>
      </c>
      <c r="F3996" s="69">
        <v>1.1197719886788788E-2</v>
      </c>
    </row>
    <row r="3997" spans="1:6" x14ac:dyDescent="0.3">
      <c r="A3997" s="24">
        <v>38875</v>
      </c>
      <c r="B3997" s="66">
        <v>532.48500000000001</v>
      </c>
      <c r="C3997" s="67"/>
      <c r="D3997" s="68">
        <v>0</v>
      </c>
      <c r="E3997" s="110">
        <f t="shared" si="63"/>
        <v>37193</v>
      </c>
      <c r="F3997" s="69">
        <v>1.1197719886788788E-2</v>
      </c>
    </row>
    <row r="3998" spans="1:6" x14ac:dyDescent="0.3">
      <c r="A3998" s="24">
        <v>38876</v>
      </c>
      <c r="B3998" s="66">
        <v>532.48500000000001</v>
      </c>
      <c r="C3998" s="67"/>
      <c r="D3998" s="68">
        <v>0</v>
      </c>
      <c r="E3998" s="110">
        <f t="shared" si="63"/>
        <v>37193</v>
      </c>
      <c r="F3998" s="69">
        <v>1.1197719886788788E-2</v>
      </c>
    </row>
    <row r="3999" spans="1:6" x14ac:dyDescent="0.3">
      <c r="A3999" s="24">
        <v>38877</v>
      </c>
      <c r="B3999" s="66">
        <v>532.48500000000001</v>
      </c>
      <c r="C3999" s="67"/>
      <c r="D3999" s="68">
        <v>0</v>
      </c>
      <c r="E3999" s="110">
        <f t="shared" si="63"/>
        <v>37193</v>
      </c>
      <c r="F3999" s="69">
        <v>1.1197719886788788E-2</v>
      </c>
    </row>
    <row r="4000" spans="1:6" x14ac:dyDescent="0.3">
      <c r="A4000" s="24">
        <v>38878</v>
      </c>
      <c r="B4000" s="66">
        <v>532.48500000000001</v>
      </c>
      <c r="C4000" s="67"/>
      <c r="D4000" s="68">
        <v>0</v>
      </c>
      <c r="E4000" s="110">
        <f t="shared" si="63"/>
        <v>37193</v>
      </c>
      <c r="F4000" s="69">
        <v>1.1197719886788788E-2</v>
      </c>
    </row>
    <row r="4001" spans="1:6" x14ac:dyDescent="0.3">
      <c r="A4001" s="24">
        <v>38879</v>
      </c>
      <c r="B4001" s="66">
        <v>532.48500000000001</v>
      </c>
      <c r="C4001" s="67"/>
      <c r="D4001" s="68">
        <v>0</v>
      </c>
      <c r="E4001" s="110">
        <f t="shared" si="63"/>
        <v>37193</v>
      </c>
      <c r="F4001" s="69">
        <v>1.1197719886788788E-2</v>
      </c>
    </row>
    <row r="4002" spans="1:6" x14ac:dyDescent="0.3">
      <c r="A4002" s="24">
        <v>38880</v>
      </c>
      <c r="B4002" s="66">
        <v>532.48500000000001</v>
      </c>
      <c r="C4002" s="67"/>
      <c r="D4002" s="68">
        <v>0</v>
      </c>
      <c r="E4002" s="110">
        <f t="shared" si="63"/>
        <v>37193</v>
      </c>
      <c r="F4002" s="69">
        <v>1.1197719886788788E-2</v>
      </c>
    </row>
    <row r="4003" spans="1:6" x14ac:dyDescent="0.3">
      <c r="A4003" s="24">
        <v>38881</v>
      </c>
      <c r="B4003" s="66">
        <v>532.48500000000001</v>
      </c>
      <c r="C4003" s="67"/>
      <c r="D4003" s="68">
        <v>0</v>
      </c>
      <c r="E4003" s="110">
        <f t="shared" si="63"/>
        <v>37193</v>
      </c>
      <c r="F4003" s="69">
        <v>1.1197719886788788E-2</v>
      </c>
    </row>
    <row r="4004" spans="1:6" x14ac:dyDescent="0.3">
      <c r="A4004" s="24">
        <v>38882</v>
      </c>
      <c r="B4004" s="66">
        <v>532.48500000000001</v>
      </c>
      <c r="C4004" s="67"/>
      <c r="D4004" s="68">
        <v>0</v>
      </c>
      <c r="E4004" s="110">
        <f t="shared" si="63"/>
        <v>37193</v>
      </c>
      <c r="F4004" s="69">
        <v>1.1197719886788788E-2</v>
      </c>
    </row>
    <row r="4005" spans="1:6" x14ac:dyDescent="0.3">
      <c r="A4005" s="24">
        <v>38883</v>
      </c>
      <c r="B4005" s="66">
        <v>532.48500000000001</v>
      </c>
      <c r="C4005" s="67"/>
      <c r="D4005" s="68">
        <v>0</v>
      </c>
      <c r="E4005" s="110">
        <f t="shared" si="63"/>
        <v>37193</v>
      </c>
      <c r="F4005" s="69">
        <v>1.1197719886788788E-2</v>
      </c>
    </row>
    <row r="4006" spans="1:6" x14ac:dyDescent="0.3">
      <c r="A4006" s="24">
        <v>38884</v>
      </c>
      <c r="B4006" s="66">
        <v>532.48500000000001</v>
      </c>
      <c r="C4006" s="67"/>
      <c r="D4006" s="68">
        <v>0</v>
      </c>
      <c r="E4006" s="110">
        <f t="shared" si="63"/>
        <v>37193</v>
      </c>
      <c r="F4006" s="69">
        <v>1.1197719886788788E-2</v>
      </c>
    </row>
    <row r="4007" spans="1:6" x14ac:dyDescent="0.3">
      <c r="A4007" s="24">
        <v>38885</v>
      </c>
      <c r="B4007" s="66">
        <v>532.48500000000001</v>
      </c>
      <c r="C4007" s="67"/>
      <c r="D4007" s="68">
        <v>0</v>
      </c>
      <c r="E4007" s="110">
        <f t="shared" si="63"/>
        <v>37193</v>
      </c>
      <c r="F4007" s="69">
        <v>1.1197719886788788E-2</v>
      </c>
    </row>
    <row r="4008" spans="1:6" x14ac:dyDescent="0.3">
      <c r="A4008" s="24">
        <v>38886</v>
      </c>
      <c r="B4008" s="66">
        <v>532.48500000000001</v>
      </c>
      <c r="C4008" s="67"/>
      <c r="D4008" s="68">
        <v>0</v>
      </c>
      <c r="E4008" s="110">
        <f t="shared" si="63"/>
        <v>37193</v>
      </c>
      <c r="F4008" s="69">
        <v>1.1197719886788788E-2</v>
      </c>
    </row>
    <row r="4009" spans="1:6" x14ac:dyDescent="0.3">
      <c r="A4009" s="24">
        <v>38887</v>
      </c>
      <c r="B4009" s="66">
        <v>532.48500000000001</v>
      </c>
      <c r="C4009" s="67"/>
      <c r="D4009" s="68">
        <v>0</v>
      </c>
      <c r="E4009" s="110">
        <f t="shared" si="63"/>
        <v>37193</v>
      </c>
      <c r="F4009" s="69">
        <v>1.1197719886788788E-2</v>
      </c>
    </row>
    <row r="4010" spans="1:6" x14ac:dyDescent="0.3">
      <c r="A4010" s="24">
        <v>38888</v>
      </c>
      <c r="B4010" s="66">
        <v>532.48500000000001</v>
      </c>
      <c r="C4010" s="67"/>
      <c r="D4010" s="68">
        <v>0</v>
      </c>
      <c r="E4010" s="110">
        <f t="shared" si="63"/>
        <v>37193</v>
      </c>
      <c r="F4010" s="69">
        <v>1.1197719886788788E-2</v>
      </c>
    </row>
    <row r="4011" spans="1:6" x14ac:dyDescent="0.3">
      <c r="A4011" s="24">
        <v>38889</v>
      </c>
      <c r="B4011" s="66">
        <v>532.48500000000001</v>
      </c>
      <c r="C4011" s="67"/>
      <c r="D4011" s="68">
        <v>0</v>
      </c>
      <c r="E4011" s="110">
        <f t="shared" si="63"/>
        <v>37193</v>
      </c>
      <c r="F4011" s="69">
        <v>1.1197719886788788E-2</v>
      </c>
    </row>
    <row r="4012" spans="1:6" x14ac:dyDescent="0.3">
      <c r="A4012" s="24">
        <v>38890</v>
      </c>
      <c r="B4012" s="66">
        <v>532.48500000000001</v>
      </c>
      <c r="C4012" s="67"/>
      <c r="D4012" s="68">
        <v>0</v>
      </c>
      <c r="E4012" s="110">
        <f t="shared" si="63"/>
        <v>37193</v>
      </c>
      <c r="F4012" s="69">
        <v>1.1197719886788788E-2</v>
      </c>
    </row>
    <row r="4013" spans="1:6" x14ac:dyDescent="0.3">
      <c r="A4013" s="24">
        <v>38891</v>
      </c>
      <c r="B4013" s="66">
        <v>532.48500000000001</v>
      </c>
      <c r="C4013" s="67"/>
      <c r="D4013" s="68">
        <v>0</v>
      </c>
      <c r="E4013" s="110">
        <f t="shared" si="63"/>
        <v>37193</v>
      </c>
      <c r="F4013" s="69">
        <v>1.1197719886788788E-2</v>
      </c>
    </row>
    <row r="4014" spans="1:6" x14ac:dyDescent="0.3">
      <c r="A4014" s="24">
        <v>38892</v>
      </c>
      <c r="B4014" s="66">
        <v>532.48500000000001</v>
      </c>
      <c r="C4014" s="67"/>
      <c r="D4014" s="68">
        <v>0</v>
      </c>
      <c r="E4014" s="110">
        <f t="shared" si="63"/>
        <v>37193</v>
      </c>
      <c r="F4014" s="69">
        <v>1.1197719886788788E-2</v>
      </c>
    </row>
    <row r="4015" spans="1:6" x14ac:dyDescent="0.3">
      <c r="A4015" s="24">
        <v>38893</v>
      </c>
      <c r="B4015" s="66">
        <v>532.48500000000001</v>
      </c>
      <c r="C4015" s="67"/>
      <c r="D4015" s="68">
        <v>0</v>
      </c>
      <c r="E4015" s="110">
        <f t="shared" si="63"/>
        <v>37193</v>
      </c>
      <c r="F4015" s="69">
        <v>1.1197719886788788E-2</v>
      </c>
    </row>
    <row r="4016" spans="1:6" x14ac:dyDescent="0.3">
      <c r="A4016" s="24">
        <v>38894</v>
      </c>
      <c r="B4016" s="66">
        <v>532.48500000000001</v>
      </c>
      <c r="C4016" s="67"/>
      <c r="D4016" s="68">
        <v>0</v>
      </c>
      <c r="E4016" s="110">
        <f t="shared" si="63"/>
        <v>37193</v>
      </c>
      <c r="F4016" s="69">
        <v>1.1197719886788788E-2</v>
      </c>
    </row>
    <row r="4017" spans="1:6" x14ac:dyDescent="0.3">
      <c r="A4017" s="24">
        <v>38895</v>
      </c>
      <c r="B4017" s="66">
        <v>532.48500000000001</v>
      </c>
      <c r="C4017" s="67"/>
      <c r="D4017" s="68">
        <v>0</v>
      </c>
      <c r="E4017" s="110">
        <f t="shared" si="63"/>
        <v>37193</v>
      </c>
      <c r="F4017" s="69">
        <v>1.1197719886788788E-2</v>
      </c>
    </row>
    <row r="4018" spans="1:6" x14ac:dyDescent="0.3">
      <c r="A4018" s="24">
        <v>38896</v>
      </c>
      <c r="B4018" s="66">
        <v>532.48500000000001</v>
      </c>
      <c r="C4018" s="67"/>
      <c r="D4018" s="68">
        <v>0</v>
      </c>
      <c r="E4018" s="110">
        <f t="shared" si="63"/>
        <v>37193</v>
      </c>
      <c r="F4018" s="69">
        <v>1.1197719886788788E-2</v>
      </c>
    </row>
    <row r="4019" spans="1:6" x14ac:dyDescent="0.3">
      <c r="A4019" s="24">
        <v>38897</v>
      </c>
      <c r="B4019" s="66">
        <v>532.48500000000001</v>
      </c>
      <c r="C4019" s="67"/>
      <c r="D4019" s="68">
        <v>0</v>
      </c>
      <c r="E4019" s="110">
        <f t="shared" si="63"/>
        <v>37193</v>
      </c>
      <c r="F4019" s="69">
        <v>1.0951952451241453E-2</v>
      </c>
    </row>
    <row r="4020" spans="1:6" x14ac:dyDescent="0.3">
      <c r="A4020" s="24">
        <v>38898</v>
      </c>
      <c r="B4020" s="66">
        <v>550.89400000000001</v>
      </c>
      <c r="C4020" s="67"/>
      <c r="D4020" s="68">
        <v>0</v>
      </c>
      <c r="E4020" s="110">
        <f t="shared" si="63"/>
        <v>37193</v>
      </c>
      <c r="F4020" s="69">
        <v>1.0951952451241453E-2</v>
      </c>
    </row>
    <row r="4021" spans="1:6" x14ac:dyDescent="0.3">
      <c r="A4021" s="24">
        <v>38899</v>
      </c>
      <c r="B4021" s="66">
        <v>550.89400000000001</v>
      </c>
      <c r="C4021" s="67"/>
      <c r="D4021" s="68">
        <v>0</v>
      </c>
      <c r="E4021" s="110">
        <f t="shared" si="63"/>
        <v>37193</v>
      </c>
      <c r="F4021" s="69">
        <v>1.0951952451241453E-2</v>
      </c>
    </row>
    <row r="4022" spans="1:6" x14ac:dyDescent="0.3">
      <c r="A4022" s="24">
        <v>38900</v>
      </c>
      <c r="B4022" s="66">
        <v>550.89400000000001</v>
      </c>
      <c r="C4022" s="67"/>
      <c r="D4022" s="68">
        <v>0</v>
      </c>
      <c r="E4022" s="110">
        <f t="shared" si="63"/>
        <v>37193</v>
      </c>
      <c r="F4022" s="69">
        <v>1.0951952451241453E-2</v>
      </c>
    </row>
    <row r="4023" spans="1:6" x14ac:dyDescent="0.3">
      <c r="A4023" s="24">
        <v>38901</v>
      </c>
      <c r="B4023" s="66">
        <v>550.89400000000001</v>
      </c>
      <c r="C4023" s="67"/>
      <c r="D4023" s="68">
        <v>0</v>
      </c>
      <c r="E4023" s="110">
        <f t="shared" si="63"/>
        <v>37193</v>
      </c>
      <c r="F4023" s="69">
        <v>1.0951952451241453E-2</v>
      </c>
    </row>
    <row r="4024" spans="1:6" x14ac:dyDescent="0.3">
      <c r="A4024" s="24">
        <v>38902</v>
      </c>
      <c r="B4024" s="66">
        <v>550.89400000000001</v>
      </c>
      <c r="C4024" s="67"/>
      <c r="D4024" s="68">
        <v>0</v>
      </c>
      <c r="E4024" s="110">
        <f t="shared" si="63"/>
        <v>37193</v>
      </c>
      <c r="F4024" s="69">
        <v>1.0951952451241453E-2</v>
      </c>
    </row>
    <row r="4025" spans="1:6" x14ac:dyDescent="0.3">
      <c r="A4025" s="24">
        <v>38903</v>
      </c>
      <c r="B4025" s="66">
        <v>550.89400000000001</v>
      </c>
      <c r="C4025" s="67"/>
      <c r="D4025" s="68">
        <v>0</v>
      </c>
      <c r="E4025" s="110">
        <f t="shared" si="63"/>
        <v>37193</v>
      </c>
      <c r="F4025" s="69">
        <v>1.0951952451241453E-2</v>
      </c>
    </row>
    <row r="4026" spans="1:6" x14ac:dyDescent="0.3">
      <c r="A4026" s="24">
        <v>38904</v>
      </c>
      <c r="B4026" s="66">
        <v>550.89400000000001</v>
      </c>
      <c r="C4026" s="67"/>
      <c r="D4026" s="68">
        <v>0</v>
      </c>
      <c r="E4026" s="110">
        <f t="shared" si="63"/>
        <v>37193</v>
      </c>
      <c r="F4026" s="69">
        <v>1.0951952451241453E-2</v>
      </c>
    </row>
    <row r="4027" spans="1:6" x14ac:dyDescent="0.3">
      <c r="A4027" s="24">
        <v>38905</v>
      </c>
      <c r="B4027" s="66">
        <v>550.89400000000001</v>
      </c>
      <c r="C4027" s="67"/>
      <c r="D4027" s="68">
        <v>0</v>
      </c>
      <c r="E4027" s="110">
        <f t="shared" si="63"/>
        <v>37193</v>
      </c>
      <c r="F4027" s="69">
        <v>1.0951952451241453E-2</v>
      </c>
    </row>
    <row r="4028" spans="1:6" x14ac:dyDescent="0.3">
      <c r="A4028" s="24">
        <v>38906</v>
      </c>
      <c r="B4028" s="66">
        <v>550.89400000000001</v>
      </c>
      <c r="C4028" s="67"/>
      <c r="D4028" s="68">
        <v>0</v>
      </c>
      <c r="E4028" s="110">
        <f t="shared" si="63"/>
        <v>37193</v>
      </c>
      <c r="F4028" s="69">
        <v>1.0951952451241453E-2</v>
      </c>
    </row>
    <row r="4029" spans="1:6" x14ac:dyDescent="0.3">
      <c r="A4029" s="24">
        <v>38907</v>
      </c>
      <c r="B4029" s="66">
        <v>550.89400000000001</v>
      </c>
      <c r="C4029" s="67"/>
      <c r="D4029" s="68">
        <v>0</v>
      </c>
      <c r="E4029" s="110">
        <f t="shared" si="63"/>
        <v>37193</v>
      </c>
      <c r="F4029" s="69">
        <v>1.0951952451241453E-2</v>
      </c>
    </row>
    <row r="4030" spans="1:6" x14ac:dyDescent="0.3">
      <c r="A4030" s="24">
        <v>38908</v>
      </c>
      <c r="B4030" s="66">
        <v>550.89400000000001</v>
      </c>
      <c r="C4030" s="67"/>
      <c r="D4030" s="68">
        <v>0</v>
      </c>
      <c r="E4030" s="110">
        <f t="shared" si="63"/>
        <v>37193</v>
      </c>
      <c r="F4030" s="69">
        <v>1.0951952451241453E-2</v>
      </c>
    </row>
    <row r="4031" spans="1:6" x14ac:dyDescent="0.3">
      <c r="A4031" s="24">
        <v>38909</v>
      </c>
      <c r="B4031" s="66">
        <v>550.89400000000001</v>
      </c>
      <c r="C4031" s="67"/>
      <c r="D4031" s="68">
        <v>0</v>
      </c>
      <c r="E4031" s="110">
        <f t="shared" si="63"/>
        <v>37193</v>
      </c>
      <c r="F4031" s="69">
        <v>1.0951952451241453E-2</v>
      </c>
    </row>
    <row r="4032" spans="1:6" x14ac:dyDescent="0.3">
      <c r="A4032" s="24">
        <v>38910</v>
      </c>
      <c r="B4032" s="66">
        <v>550.89400000000001</v>
      </c>
      <c r="C4032" s="67"/>
      <c r="D4032" s="68">
        <v>0</v>
      </c>
      <c r="E4032" s="110">
        <f t="shared" si="63"/>
        <v>37193</v>
      </c>
      <c r="F4032" s="69">
        <v>1.0951952451241453E-2</v>
      </c>
    </row>
    <row r="4033" spans="1:6" x14ac:dyDescent="0.3">
      <c r="A4033" s="24">
        <v>38911</v>
      </c>
      <c r="B4033" s="66">
        <v>550.89400000000001</v>
      </c>
      <c r="C4033" s="67"/>
      <c r="D4033" s="68">
        <v>0</v>
      </c>
      <c r="E4033" s="110">
        <f t="shared" si="63"/>
        <v>37193</v>
      </c>
      <c r="F4033" s="69">
        <v>1.0951952451241453E-2</v>
      </c>
    </row>
    <row r="4034" spans="1:6" x14ac:dyDescent="0.3">
      <c r="A4034" s="24">
        <v>38912</v>
      </c>
      <c r="B4034" s="66">
        <v>550.89400000000001</v>
      </c>
      <c r="C4034" s="67"/>
      <c r="D4034" s="68">
        <v>0</v>
      </c>
      <c r="E4034" s="110">
        <f t="shared" si="63"/>
        <v>37193</v>
      </c>
      <c r="F4034" s="69">
        <v>1.0951952451241453E-2</v>
      </c>
    </row>
    <row r="4035" spans="1:6" x14ac:dyDescent="0.3">
      <c r="A4035" s="24">
        <v>38913</v>
      </c>
      <c r="B4035" s="66">
        <v>550.89400000000001</v>
      </c>
      <c r="C4035" s="67"/>
      <c r="D4035" s="68">
        <v>0</v>
      </c>
      <c r="E4035" s="110">
        <f t="shared" si="63"/>
        <v>37193</v>
      </c>
      <c r="F4035" s="69">
        <v>1.0951952451241453E-2</v>
      </c>
    </row>
    <row r="4036" spans="1:6" x14ac:dyDescent="0.3">
      <c r="A4036" s="24">
        <v>38914</v>
      </c>
      <c r="B4036" s="66">
        <v>550.89400000000001</v>
      </c>
      <c r="C4036" s="67"/>
      <c r="D4036" s="68">
        <v>0</v>
      </c>
      <c r="E4036" s="110">
        <f t="shared" si="63"/>
        <v>37193</v>
      </c>
      <c r="F4036" s="69">
        <v>1.0951952451241453E-2</v>
      </c>
    </row>
    <row r="4037" spans="1:6" x14ac:dyDescent="0.3">
      <c r="A4037" s="24">
        <v>38915</v>
      </c>
      <c r="B4037" s="66">
        <v>550.89400000000001</v>
      </c>
      <c r="C4037" s="67"/>
      <c r="D4037" s="68">
        <v>0</v>
      </c>
      <c r="E4037" s="110">
        <f t="shared" si="63"/>
        <v>37193</v>
      </c>
      <c r="F4037" s="69">
        <v>1.0951952451241453E-2</v>
      </c>
    </row>
    <row r="4038" spans="1:6" x14ac:dyDescent="0.3">
      <c r="A4038" s="24">
        <v>38916</v>
      </c>
      <c r="B4038" s="66">
        <v>550.89400000000001</v>
      </c>
      <c r="C4038" s="67"/>
      <c r="D4038" s="68">
        <v>0</v>
      </c>
      <c r="E4038" s="110">
        <f t="shared" si="63"/>
        <v>37193</v>
      </c>
      <c r="F4038" s="69">
        <v>1.0951952451241453E-2</v>
      </c>
    </row>
    <row r="4039" spans="1:6" x14ac:dyDescent="0.3">
      <c r="A4039" s="24">
        <v>38917</v>
      </c>
      <c r="B4039" s="66">
        <v>550.89400000000001</v>
      </c>
      <c r="C4039" s="67"/>
      <c r="D4039" s="68">
        <v>0</v>
      </c>
      <c r="E4039" s="110">
        <f t="shared" si="63"/>
        <v>37193</v>
      </c>
      <c r="F4039" s="69">
        <v>1.0951952451241453E-2</v>
      </c>
    </row>
    <row r="4040" spans="1:6" x14ac:dyDescent="0.3">
      <c r="A4040" s="24">
        <v>38918</v>
      </c>
      <c r="B4040" s="66">
        <v>550.89400000000001</v>
      </c>
      <c r="C4040" s="67"/>
      <c r="D4040" s="68">
        <v>0</v>
      </c>
      <c r="E4040" s="110">
        <f t="shared" si="63"/>
        <v>37193</v>
      </c>
      <c r="F4040" s="69">
        <v>1.0951952451241453E-2</v>
      </c>
    </row>
    <row r="4041" spans="1:6" x14ac:dyDescent="0.3">
      <c r="A4041" s="24">
        <v>38919</v>
      </c>
      <c r="B4041" s="66">
        <v>550.89400000000001</v>
      </c>
      <c r="C4041" s="67"/>
      <c r="D4041" s="68">
        <v>0</v>
      </c>
      <c r="E4041" s="110">
        <f t="shared" si="63"/>
        <v>37193</v>
      </c>
      <c r="F4041" s="69">
        <v>1.0951952451241453E-2</v>
      </c>
    </row>
    <row r="4042" spans="1:6" x14ac:dyDescent="0.3">
      <c r="A4042" s="24">
        <v>38920</v>
      </c>
      <c r="B4042" s="66">
        <v>550.89400000000001</v>
      </c>
      <c r="C4042" s="67"/>
      <c r="D4042" s="68">
        <v>0</v>
      </c>
      <c r="E4042" s="110">
        <f t="shared" si="63"/>
        <v>37193</v>
      </c>
      <c r="F4042" s="69">
        <v>1.0951952451241453E-2</v>
      </c>
    </row>
    <row r="4043" spans="1:6" x14ac:dyDescent="0.3">
      <c r="A4043" s="24">
        <v>38921</v>
      </c>
      <c r="B4043" s="66">
        <v>550.89400000000001</v>
      </c>
      <c r="C4043" s="67"/>
      <c r="D4043" s="68">
        <v>0</v>
      </c>
      <c r="E4043" s="110">
        <f t="shared" si="63"/>
        <v>37193</v>
      </c>
      <c r="F4043" s="69">
        <v>1.0951952451241453E-2</v>
      </c>
    </row>
    <row r="4044" spans="1:6" x14ac:dyDescent="0.3">
      <c r="A4044" s="24">
        <v>38922</v>
      </c>
      <c r="B4044" s="66">
        <v>550.89400000000001</v>
      </c>
      <c r="C4044" s="67"/>
      <c r="D4044" s="68">
        <v>0</v>
      </c>
      <c r="E4044" s="110">
        <f t="shared" si="63"/>
        <v>37193</v>
      </c>
      <c r="F4044" s="69">
        <v>1.0951952451241453E-2</v>
      </c>
    </row>
    <row r="4045" spans="1:6" x14ac:dyDescent="0.3">
      <c r="A4045" s="24">
        <v>38923</v>
      </c>
      <c r="B4045" s="66">
        <v>550.89400000000001</v>
      </c>
      <c r="C4045" s="67"/>
      <c r="D4045" s="68">
        <v>0</v>
      </c>
      <c r="E4045" s="110">
        <f t="shared" si="63"/>
        <v>37193</v>
      </c>
      <c r="F4045" s="69">
        <v>1.0951952451241453E-2</v>
      </c>
    </row>
    <row r="4046" spans="1:6" x14ac:dyDescent="0.3">
      <c r="A4046" s="24">
        <v>38924</v>
      </c>
      <c r="B4046" s="66">
        <v>550.89400000000001</v>
      </c>
      <c r="C4046" s="67"/>
      <c r="D4046" s="68">
        <v>0</v>
      </c>
      <c r="E4046" s="110">
        <f t="shared" si="63"/>
        <v>37193</v>
      </c>
      <c r="F4046" s="69">
        <v>1.0951952451241453E-2</v>
      </c>
    </row>
    <row r="4047" spans="1:6" x14ac:dyDescent="0.3">
      <c r="A4047" s="24">
        <v>38925</v>
      </c>
      <c r="B4047" s="66">
        <v>550.89400000000001</v>
      </c>
      <c r="C4047" s="67"/>
      <c r="D4047" s="68">
        <v>0</v>
      </c>
      <c r="E4047" s="110">
        <f t="shared" si="63"/>
        <v>37193</v>
      </c>
      <c r="F4047" s="69">
        <v>1.0951952451241453E-2</v>
      </c>
    </row>
    <row r="4048" spans="1:6" x14ac:dyDescent="0.3">
      <c r="A4048" s="24">
        <v>38926</v>
      </c>
      <c r="B4048" s="66">
        <v>550.89400000000001</v>
      </c>
      <c r="C4048" s="67"/>
      <c r="D4048" s="68">
        <v>0</v>
      </c>
      <c r="E4048" s="110">
        <f t="shared" si="63"/>
        <v>37193</v>
      </c>
      <c r="F4048" s="69">
        <v>1.0951952451241453E-2</v>
      </c>
    </row>
    <row r="4049" spans="1:6" x14ac:dyDescent="0.3">
      <c r="A4049" s="24">
        <v>38927</v>
      </c>
      <c r="B4049" s="66">
        <v>550.89400000000001</v>
      </c>
      <c r="C4049" s="67"/>
      <c r="D4049" s="68">
        <v>0</v>
      </c>
      <c r="E4049" s="110">
        <f t="shared" si="63"/>
        <v>37193</v>
      </c>
      <c r="F4049" s="69">
        <v>1.0951952451241453E-2</v>
      </c>
    </row>
    <row r="4050" spans="1:6" x14ac:dyDescent="0.3">
      <c r="A4050" s="24">
        <v>38928</v>
      </c>
      <c r="B4050" s="66">
        <v>550.89400000000001</v>
      </c>
      <c r="C4050" s="67"/>
      <c r="D4050" s="68">
        <v>0</v>
      </c>
      <c r="E4050" s="110">
        <f t="shared" ref="E4050:E4113" si="64">+E4049</f>
        <v>37193</v>
      </c>
      <c r="F4050" s="69">
        <v>1.0951952451241453E-2</v>
      </c>
    </row>
    <row r="4051" spans="1:6" x14ac:dyDescent="0.3">
      <c r="A4051" s="24">
        <v>38929</v>
      </c>
      <c r="B4051" s="66">
        <v>550.89400000000001</v>
      </c>
      <c r="C4051" s="67"/>
      <c r="D4051" s="68">
        <v>0</v>
      </c>
      <c r="E4051" s="110">
        <f t="shared" si="64"/>
        <v>37193</v>
      </c>
      <c r="F4051" s="69">
        <v>1.0951952451241453E-2</v>
      </c>
    </row>
    <row r="4052" spans="1:6" x14ac:dyDescent="0.3">
      <c r="A4052" s="24">
        <v>38930</v>
      </c>
      <c r="B4052" s="66">
        <v>550.89400000000001</v>
      </c>
      <c r="C4052" s="67"/>
      <c r="D4052" s="68">
        <v>0</v>
      </c>
      <c r="E4052" s="110">
        <f t="shared" si="64"/>
        <v>37193</v>
      </c>
      <c r="F4052" s="69">
        <v>1.0951952451241453E-2</v>
      </c>
    </row>
    <row r="4053" spans="1:6" x14ac:dyDescent="0.3">
      <c r="A4053" s="24">
        <v>38931</v>
      </c>
      <c r="B4053" s="66">
        <v>550.89400000000001</v>
      </c>
      <c r="C4053" s="67"/>
      <c r="D4053" s="68">
        <v>0</v>
      </c>
      <c r="E4053" s="110">
        <f t="shared" si="64"/>
        <v>37193</v>
      </c>
      <c r="F4053" s="69">
        <v>1.0951952451241453E-2</v>
      </c>
    </row>
    <row r="4054" spans="1:6" x14ac:dyDescent="0.3">
      <c r="A4054" s="24">
        <v>38932</v>
      </c>
      <c r="B4054" s="66">
        <v>550.89400000000001</v>
      </c>
      <c r="C4054" s="67"/>
      <c r="D4054" s="68">
        <v>0</v>
      </c>
      <c r="E4054" s="110">
        <f t="shared" si="64"/>
        <v>37193</v>
      </c>
      <c r="F4054" s="69">
        <v>1.0951952451241453E-2</v>
      </c>
    </row>
    <row r="4055" spans="1:6" x14ac:dyDescent="0.3">
      <c r="A4055" s="24">
        <v>38933</v>
      </c>
      <c r="B4055" s="66">
        <v>550.89400000000001</v>
      </c>
      <c r="C4055" s="67"/>
      <c r="D4055" s="68">
        <v>0</v>
      </c>
      <c r="E4055" s="110">
        <f t="shared" si="64"/>
        <v>37193</v>
      </c>
      <c r="F4055" s="69">
        <v>1.0951952451241453E-2</v>
      </c>
    </row>
    <row r="4056" spans="1:6" x14ac:dyDescent="0.3">
      <c r="A4056" s="24">
        <v>38934</v>
      </c>
      <c r="B4056" s="66">
        <v>550.89400000000001</v>
      </c>
      <c r="C4056" s="67"/>
      <c r="D4056" s="68">
        <v>0</v>
      </c>
      <c r="E4056" s="110">
        <f t="shared" si="64"/>
        <v>37193</v>
      </c>
      <c r="F4056" s="69">
        <v>1.0951952451241453E-2</v>
      </c>
    </row>
    <row r="4057" spans="1:6" x14ac:dyDescent="0.3">
      <c r="A4057" s="24">
        <v>38935</v>
      </c>
      <c r="B4057" s="66">
        <v>550.89400000000001</v>
      </c>
      <c r="C4057" s="67"/>
      <c r="D4057" s="68">
        <v>0</v>
      </c>
      <c r="E4057" s="110">
        <f t="shared" si="64"/>
        <v>37193</v>
      </c>
      <c r="F4057" s="69">
        <v>1.0951952451241453E-2</v>
      </c>
    </row>
    <row r="4058" spans="1:6" x14ac:dyDescent="0.3">
      <c r="A4058" s="24">
        <v>38936</v>
      </c>
      <c r="B4058" s="66">
        <v>550.89400000000001</v>
      </c>
      <c r="C4058" s="67"/>
      <c r="D4058" s="68">
        <v>0</v>
      </c>
      <c r="E4058" s="110">
        <f t="shared" si="64"/>
        <v>37193</v>
      </c>
      <c r="F4058" s="69">
        <v>1.0951952451241453E-2</v>
      </c>
    </row>
    <row r="4059" spans="1:6" x14ac:dyDescent="0.3">
      <c r="A4059" s="24">
        <v>38937</v>
      </c>
      <c r="B4059" s="66">
        <v>550.89400000000001</v>
      </c>
      <c r="C4059" s="67"/>
      <c r="D4059" s="68">
        <v>0</v>
      </c>
      <c r="E4059" s="110">
        <f t="shared" si="64"/>
        <v>37193</v>
      </c>
      <c r="F4059" s="69">
        <v>1.0951952451241453E-2</v>
      </c>
    </row>
    <row r="4060" spans="1:6" x14ac:dyDescent="0.3">
      <c r="A4060" s="24">
        <v>38938</v>
      </c>
      <c r="B4060" s="66">
        <v>550.89400000000001</v>
      </c>
      <c r="C4060" s="67"/>
      <c r="D4060" s="68">
        <v>0</v>
      </c>
      <c r="E4060" s="110">
        <f t="shared" si="64"/>
        <v>37193</v>
      </c>
      <c r="F4060" s="69">
        <v>1.0951952451241453E-2</v>
      </c>
    </row>
    <row r="4061" spans="1:6" x14ac:dyDescent="0.3">
      <c r="A4061" s="24">
        <v>38939</v>
      </c>
      <c r="B4061" s="66">
        <v>550.89400000000001</v>
      </c>
      <c r="C4061" s="67"/>
      <c r="D4061" s="68">
        <v>0</v>
      </c>
      <c r="E4061" s="110">
        <f t="shared" si="64"/>
        <v>37193</v>
      </c>
      <c r="F4061" s="69">
        <v>1.0951952451241453E-2</v>
      </c>
    </row>
    <row r="4062" spans="1:6" x14ac:dyDescent="0.3">
      <c r="A4062" s="24">
        <v>38940</v>
      </c>
      <c r="B4062" s="66">
        <v>550.89400000000001</v>
      </c>
      <c r="C4062" s="67"/>
      <c r="D4062" s="68">
        <v>0</v>
      </c>
      <c r="E4062" s="110">
        <f t="shared" si="64"/>
        <v>37193</v>
      </c>
      <c r="F4062" s="69">
        <v>1.0951952451241453E-2</v>
      </c>
    </row>
    <row r="4063" spans="1:6" x14ac:dyDescent="0.3">
      <c r="A4063" s="24">
        <v>38941</v>
      </c>
      <c r="B4063" s="66">
        <v>550.89400000000001</v>
      </c>
      <c r="C4063" s="67"/>
      <c r="D4063" s="68">
        <v>0</v>
      </c>
      <c r="E4063" s="110">
        <f t="shared" si="64"/>
        <v>37193</v>
      </c>
      <c r="F4063" s="69">
        <v>1.0951952451241453E-2</v>
      </c>
    </row>
    <row r="4064" spans="1:6" x14ac:dyDescent="0.3">
      <c r="A4064" s="24">
        <v>38942</v>
      </c>
      <c r="B4064" s="66">
        <v>550.89400000000001</v>
      </c>
      <c r="C4064" s="67"/>
      <c r="D4064" s="68">
        <v>0</v>
      </c>
      <c r="E4064" s="110">
        <f t="shared" si="64"/>
        <v>37193</v>
      </c>
      <c r="F4064" s="69">
        <v>1.0951952451241453E-2</v>
      </c>
    </row>
    <row r="4065" spans="1:6" x14ac:dyDescent="0.3">
      <c r="A4065" s="24">
        <v>38943</v>
      </c>
      <c r="B4065" s="66">
        <v>550.89400000000001</v>
      </c>
      <c r="C4065" s="67"/>
      <c r="D4065" s="68">
        <v>0</v>
      </c>
      <c r="E4065" s="110">
        <f t="shared" si="64"/>
        <v>37193</v>
      </c>
      <c r="F4065" s="69">
        <v>1.0951952451241453E-2</v>
      </c>
    </row>
    <row r="4066" spans="1:6" x14ac:dyDescent="0.3">
      <c r="A4066" s="24">
        <v>38944</v>
      </c>
      <c r="B4066" s="66">
        <v>550.89400000000001</v>
      </c>
      <c r="C4066" s="67"/>
      <c r="D4066" s="68">
        <v>0</v>
      </c>
      <c r="E4066" s="110">
        <f t="shared" si="64"/>
        <v>37193</v>
      </c>
      <c r="F4066" s="69">
        <v>1.0951952451241453E-2</v>
      </c>
    </row>
    <row r="4067" spans="1:6" x14ac:dyDescent="0.3">
      <c r="A4067" s="24">
        <v>38945</v>
      </c>
      <c r="B4067" s="66">
        <v>550.89400000000001</v>
      </c>
      <c r="C4067" s="67"/>
      <c r="D4067" s="68">
        <v>0</v>
      </c>
      <c r="E4067" s="110">
        <f t="shared" si="64"/>
        <v>37193</v>
      </c>
      <c r="F4067" s="69">
        <v>1.0951952451241453E-2</v>
      </c>
    </row>
    <row r="4068" spans="1:6" x14ac:dyDescent="0.3">
      <c r="A4068" s="24">
        <v>38946</v>
      </c>
      <c r="B4068" s="66">
        <v>550.89400000000001</v>
      </c>
      <c r="C4068" s="67"/>
      <c r="D4068" s="68">
        <v>0</v>
      </c>
      <c r="E4068" s="110">
        <f t="shared" si="64"/>
        <v>37193</v>
      </c>
      <c r="F4068" s="69">
        <v>1.0951952451241453E-2</v>
      </c>
    </row>
    <row r="4069" spans="1:6" x14ac:dyDescent="0.3">
      <c r="A4069" s="24">
        <v>38947</v>
      </c>
      <c r="B4069" s="66">
        <v>550.89400000000001</v>
      </c>
      <c r="C4069" s="67"/>
      <c r="D4069" s="68">
        <v>0</v>
      </c>
      <c r="E4069" s="110">
        <f t="shared" si="64"/>
        <v>37193</v>
      </c>
      <c r="F4069" s="69">
        <v>1.0951952451241453E-2</v>
      </c>
    </row>
    <row r="4070" spans="1:6" x14ac:dyDescent="0.3">
      <c r="A4070" s="24">
        <v>38948</v>
      </c>
      <c r="B4070" s="66">
        <v>550.89400000000001</v>
      </c>
      <c r="C4070" s="67"/>
      <c r="D4070" s="68">
        <v>0</v>
      </c>
      <c r="E4070" s="110">
        <f t="shared" si="64"/>
        <v>37193</v>
      </c>
      <c r="F4070" s="69">
        <v>1.0951952451241453E-2</v>
      </c>
    </row>
    <row r="4071" spans="1:6" x14ac:dyDescent="0.3">
      <c r="A4071" s="24">
        <v>38949</v>
      </c>
      <c r="B4071" s="66">
        <v>550.89400000000001</v>
      </c>
      <c r="C4071" s="67"/>
      <c r="D4071" s="68">
        <v>0</v>
      </c>
      <c r="E4071" s="110">
        <f t="shared" si="64"/>
        <v>37193</v>
      </c>
      <c r="F4071" s="69">
        <v>1.0951952451241453E-2</v>
      </c>
    </row>
    <row r="4072" spans="1:6" x14ac:dyDescent="0.3">
      <c r="A4072" s="24">
        <v>38950</v>
      </c>
      <c r="B4072" s="66">
        <v>550.89400000000001</v>
      </c>
      <c r="C4072" s="67"/>
      <c r="D4072" s="68">
        <v>0</v>
      </c>
      <c r="E4072" s="110">
        <f t="shared" si="64"/>
        <v>37193</v>
      </c>
      <c r="F4072" s="69">
        <v>1.0951952451241453E-2</v>
      </c>
    </row>
    <row r="4073" spans="1:6" x14ac:dyDescent="0.3">
      <c r="A4073" s="24">
        <v>38951</v>
      </c>
      <c r="B4073" s="66">
        <v>550.89400000000001</v>
      </c>
      <c r="C4073" s="67"/>
      <c r="D4073" s="68">
        <v>0</v>
      </c>
      <c r="E4073" s="110">
        <f t="shared" si="64"/>
        <v>37193</v>
      </c>
      <c r="F4073" s="69">
        <v>1.0951952451241453E-2</v>
      </c>
    </row>
    <row r="4074" spans="1:6" x14ac:dyDescent="0.3">
      <c r="A4074" s="24">
        <v>38952</v>
      </c>
      <c r="B4074" s="66">
        <v>550.89400000000001</v>
      </c>
      <c r="C4074" s="67"/>
      <c r="D4074" s="68">
        <v>0</v>
      </c>
      <c r="E4074" s="110">
        <f t="shared" si="64"/>
        <v>37193</v>
      </c>
      <c r="F4074" s="69">
        <v>1.0951952451241453E-2</v>
      </c>
    </row>
    <row r="4075" spans="1:6" x14ac:dyDescent="0.3">
      <c r="A4075" s="24">
        <v>38953</v>
      </c>
      <c r="B4075" s="66">
        <v>550.89400000000001</v>
      </c>
      <c r="C4075" s="67"/>
      <c r="D4075" s="68">
        <v>0</v>
      </c>
      <c r="E4075" s="110">
        <f t="shared" si="64"/>
        <v>37193</v>
      </c>
      <c r="F4075" s="69">
        <v>1.0951952451241453E-2</v>
      </c>
    </row>
    <row r="4076" spans="1:6" x14ac:dyDescent="0.3">
      <c r="A4076" s="24">
        <v>38954</v>
      </c>
      <c r="B4076" s="66">
        <v>550.89400000000001</v>
      </c>
      <c r="C4076" s="67"/>
      <c r="D4076" s="68">
        <v>0</v>
      </c>
      <c r="E4076" s="110">
        <f t="shared" si="64"/>
        <v>37193</v>
      </c>
      <c r="F4076" s="69">
        <v>1.0951952451241453E-2</v>
      </c>
    </row>
    <row r="4077" spans="1:6" x14ac:dyDescent="0.3">
      <c r="A4077" s="24">
        <v>38955</v>
      </c>
      <c r="B4077" s="66">
        <v>550.89400000000001</v>
      </c>
      <c r="C4077" s="67"/>
      <c r="D4077" s="68">
        <v>0</v>
      </c>
      <c r="E4077" s="110">
        <f t="shared" si="64"/>
        <v>37193</v>
      </c>
      <c r="F4077" s="69">
        <v>1.0951952451241453E-2</v>
      </c>
    </row>
    <row r="4078" spans="1:6" x14ac:dyDescent="0.3">
      <c r="A4078" s="24">
        <v>38956</v>
      </c>
      <c r="B4078" s="66">
        <v>550.89400000000001</v>
      </c>
      <c r="C4078" s="67"/>
      <c r="D4078" s="68">
        <v>0</v>
      </c>
      <c r="E4078" s="110">
        <f t="shared" si="64"/>
        <v>37193</v>
      </c>
      <c r="F4078" s="69">
        <v>1.0951952451241453E-2</v>
      </c>
    </row>
    <row r="4079" spans="1:6" x14ac:dyDescent="0.3">
      <c r="A4079" s="24">
        <v>38957</v>
      </c>
      <c r="B4079" s="66">
        <v>550.89400000000001</v>
      </c>
      <c r="C4079" s="67"/>
      <c r="D4079" s="68">
        <v>0</v>
      </c>
      <c r="E4079" s="110">
        <f t="shared" si="64"/>
        <v>37193</v>
      </c>
      <c r="F4079" s="69">
        <v>1.0951952451241453E-2</v>
      </c>
    </row>
    <row r="4080" spans="1:6" x14ac:dyDescent="0.3">
      <c r="A4080" s="24">
        <v>38958</v>
      </c>
      <c r="B4080" s="66">
        <v>550.89400000000001</v>
      </c>
      <c r="C4080" s="67"/>
      <c r="D4080" s="68">
        <v>0</v>
      </c>
      <c r="E4080" s="110">
        <f t="shared" si="64"/>
        <v>37193</v>
      </c>
      <c r="F4080" s="69">
        <v>1.0951952451241453E-2</v>
      </c>
    </row>
    <row r="4081" spans="1:6" x14ac:dyDescent="0.3">
      <c r="A4081" s="24">
        <v>38959</v>
      </c>
      <c r="B4081" s="66">
        <v>550.89400000000001</v>
      </c>
      <c r="C4081" s="67"/>
      <c r="D4081" s="68">
        <v>0</v>
      </c>
      <c r="E4081" s="110">
        <f t="shared" si="64"/>
        <v>37193</v>
      </c>
      <c r="F4081" s="69">
        <v>1.0951952451241453E-2</v>
      </c>
    </row>
    <row r="4082" spans="1:6" x14ac:dyDescent="0.3">
      <c r="A4082" s="24">
        <v>38960</v>
      </c>
      <c r="B4082" s="66">
        <v>550.89400000000001</v>
      </c>
      <c r="C4082" s="67"/>
      <c r="D4082" s="68">
        <v>0</v>
      </c>
      <c r="E4082" s="110">
        <f t="shared" si="64"/>
        <v>37193</v>
      </c>
      <c r="F4082" s="69">
        <v>1.0951952451241453E-2</v>
      </c>
    </row>
    <row r="4083" spans="1:6" x14ac:dyDescent="0.3">
      <c r="A4083" s="24">
        <v>38961</v>
      </c>
      <c r="B4083" s="66">
        <v>550.89400000000001</v>
      </c>
      <c r="C4083" s="67"/>
      <c r="D4083" s="68">
        <v>0</v>
      </c>
      <c r="E4083" s="110">
        <f t="shared" si="64"/>
        <v>37193</v>
      </c>
      <c r="F4083" s="69">
        <v>1.0951952451241453E-2</v>
      </c>
    </row>
    <row r="4084" spans="1:6" x14ac:dyDescent="0.3">
      <c r="A4084" s="24">
        <v>38962</v>
      </c>
      <c r="B4084" s="66">
        <v>550.89400000000001</v>
      </c>
      <c r="C4084" s="67"/>
      <c r="D4084" s="68">
        <v>0</v>
      </c>
      <c r="E4084" s="110">
        <f t="shared" si="64"/>
        <v>37193</v>
      </c>
      <c r="F4084" s="69">
        <v>1.0951952451241453E-2</v>
      </c>
    </row>
    <row r="4085" spans="1:6" x14ac:dyDescent="0.3">
      <c r="A4085" s="24">
        <v>38963</v>
      </c>
      <c r="B4085" s="66">
        <v>550.89400000000001</v>
      </c>
      <c r="C4085" s="67"/>
      <c r="D4085" s="68">
        <v>0</v>
      </c>
      <c r="E4085" s="110">
        <f t="shared" si="64"/>
        <v>37193</v>
      </c>
      <c r="F4085" s="69">
        <v>1.0951952451241453E-2</v>
      </c>
    </row>
    <row r="4086" spans="1:6" x14ac:dyDescent="0.3">
      <c r="A4086" s="24">
        <v>38964</v>
      </c>
      <c r="B4086" s="66">
        <v>550.89400000000001</v>
      </c>
      <c r="C4086" s="67"/>
      <c r="D4086" s="68">
        <v>0</v>
      </c>
      <c r="E4086" s="110">
        <f t="shared" si="64"/>
        <v>37193</v>
      </c>
      <c r="F4086" s="69">
        <v>1.0951952451241453E-2</v>
      </c>
    </row>
    <row r="4087" spans="1:6" x14ac:dyDescent="0.3">
      <c r="A4087" s="24">
        <v>38965</v>
      </c>
      <c r="B4087" s="66">
        <v>550.89400000000001</v>
      </c>
      <c r="C4087" s="67"/>
      <c r="D4087" s="68">
        <v>0</v>
      </c>
      <c r="E4087" s="110">
        <f t="shared" si="64"/>
        <v>37193</v>
      </c>
      <c r="F4087" s="69">
        <v>1.0951952451241453E-2</v>
      </c>
    </row>
    <row r="4088" spans="1:6" x14ac:dyDescent="0.3">
      <c r="A4088" s="24">
        <v>38966</v>
      </c>
      <c r="B4088" s="66">
        <v>550.89400000000001</v>
      </c>
      <c r="C4088" s="67"/>
      <c r="D4088" s="68">
        <v>0</v>
      </c>
      <c r="E4088" s="110">
        <f t="shared" si="64"/>
        <v>37193</v>
      </c>
      <c r="F4088" s="69">
        <v>1.0951952451241453E-2</v>
      </c>
    </row>
    <row r="4089" spans="1:6" x14ac:dyDescent="0.3">
      <c r="A4089" s="24">
        <v>38967</v>
      </c>
      <c r="B4089" s="66">
        <v>550.89400000000001</v>
      </c>
      <c r="C4089" s="67"/>
      <c r="D4089" s="68">
        <v>0</v>
      </c>
      <c r="E4089" s="110">
        <f t="shared" si="64"/>
        <v>37193</v>
      </c>
      <c r="F4089" s="69">
        <v>1.0951952451241453E-2</v>
      </c>
    </row>
    <row r="4090" spans="1:6" x14ac:dyDescent="0.3">
      <c r="A4090" s="24">
        <v>38968</v>
      </c>
      <c r="B4090" s="66">
        <v>550.89400000000001</v>
      </c>
      <c r="C4090" s="67"/>
      <c r="D4090" s="68">
        <v>0</v>
      </c>
      <c r="E4090" s="110">
        <f t="shared" si="64"/>
        <v>37193</v>
      </c>
      <c r="F4090" s="69">
        <v>1.0951952451241453E-2</v>
      </c>
    </row>
    <row r="4091" spans="1:6" x14ac:dyDescent="0.3">
      <c r="A4091" s="24">
        <v>38969</v>
      </c>
      <c r="B4091" s="66">
        <v>550.89400000000001</v>
      </c>
      <c r="C4091" s="67"/>
      <c r="D4091" s="68">
        <v>0</v>
      </c>
      <c r="E4091" s="110">
        <f t="shared" si="64"/>
        <v>37193</v>
      </c>
      <c r="F4091" s="69">
        <v>1.0951952451241453E-2</v>
      </c>
    </row>
    <row r="4092" spans="1:6" x14ac:dyDescent="0.3">
      <c r="A4092" s="24">
        <v>38970</v>
      </c>
      <c r="B4092" s="66">
        <v>550.89400000000001</v>
      </c>
      <c r="C4092" s="67"/>
      <c r="D4092" s="68">
        <v>0</v>
      </c>
      <c r="E4092" s="110">
        <f t="shared" si="64"/>
        <v>37193</v>
      </c>
      <c r="F4092" s="69">
        <v>1.0951952451241453E-2</v>
      </c>
    </row>
    <row r="4093" spans="1:6" x14ac:dyDescent="0.3">
      <c r="A4093" s="24">
        <v>38971</v>
      </c>
      <c r="B4093" s="66">
        <v>550.89400000000001</v>
      </c>
      <c r="C4093" s="67"/>
      <c r="D4093" s="68">
        <v>0</v>
      </c>
      <c r="E4093" s="110">
        <f t="shared" si="64"/>
        <v>37193</v>
      </c>
      <c r="F4093" s="69">
        <v>1.0951952451241453E-2</v>
      </c>
    </row>
    <row r="4094" spans="1:6" x14ac:dyDescent="0.3">
      <c r="A4094" s="24">
        <v>38972</v>
      </c>
      <c r="B4094" s="66">
        <v>550.89400000000001</v>
      </c>
      <c r="C4094" s="67"/>
      <c r="D4094" s="68">
        <v>0</v>
      </c>
      <c r="E4094" s="110">
        <f t="shared" si="64"/>
        <v>37193</v>
      </c>
      <c r="F4094" s="69">
        <v>1.0951952451241453E-2</v>
      </c>
    </row>
    <row r="4095" spans="1:6" x14ac:dyDescent="0.3">
      <c r="A4095" s="24">
        <v>38973</v>
      </c>
      <c r="B4095" s="66">
        <v>550.89400000000001</v>
      </c>
      <c r="C4095" s="67"/>
      <c r="D4095" s="68">
        <v>0</v>
      </c>
      <c r="E4095" s="110">
        <f t="shared" si="64"/>
        <v>37193</v>
      </c>
      <c r="F4095" s="69">
        <v>1.0951952451241453E-2</v>
      </c>
    </row>
    <row r="4096" spans="1:6" x14ac:dyDescent="0.3">
      <c r="A4096" s="24">
        <v>38974</v>
      </c>
      <c r="B4096" s="66">
        <v>550.89400000000001</v>
      </c>
      <c r="C4096" s="67"/>
      <c r="D4096" s="68">
        <v>0</v>
      </c>
      <c r="E4096" s="110">
        <f t="shared" si="64"/>
        <v>37193</v>
      </c>
      <c r="F4096" s="69">
        <v>1.0951952451241453E-2</v>
      </c>
    </row>
    <row r="4097" spans="1:6" x14ac:dyDescent="0.3">
      <c r="A4097" s="24">
        <v>38975</v>
      </c>
      <c r="B4097" s="66">
        <v>550.89400000000001</v>
      </c>
      <c r="C4097" s="67"/>
      <c r="D4097" s="68">
        <v>0</v>
      </c>
      <c r="E4097" s="110">
        <f t="shared" si="64"/>
        <v>37193</v>
      </c>
      <c r="F4097" s="69">
        <v>1.0951952451241453E-2</v>
      </c>
    </row>
    <row r="4098" spans="1:6" x14ac:dyDescent="0.3">
      <c r="A4098" s="24">
        <v>38976</v>
      </c>
      <c r="B4098" s="66">
        <v>550.89400000000001</v>
      </c>
      <c r="C4098" s="67"/>
      <c r="D4098" s="68">
        <v>0</v>
      </c>
      <c r="E4098" s="110">
        <f t="shared" si="64"/>
        <v>37193</v>
      </c>
      <c r="F4098" s="69">
        <v>1.0951952451241453E-2</v>
      </c>
    </row>
    <row r="4099" spans="1:6" x14ac:dyDescent="0.3">
      <c r="A4099" s="24">
        <v>38977</v>
      </c>
      <c r="B4099" s="66">
        <v>550.89400000000001</v>
      </c>
      <c r="C4099" s="67"/>
      <c r="D4099" s="68">
        <v>0</v>
      </c>
      <c r="E4099" s="110">
        <f t="shared" si="64"/>
        <v>37193</v>
      </c>
      <c r="F4099" s="69">
        <v>1.0951952451241453E-2</v>
      </c>
    </row>
    <row r="4100" spans="1:6" x14ac:dyDescent="0.3">
      <c r="A4100" s="24">
        <v>38978</v>
      </c>
      <c r="B4100" s="66">
        <v>550.89400000000001</v>
      </c>
      <c r="C4100" s="67"/>
      <c r="D4100" s="68">
        <v>0</v>
      </c>
      <c r="E4100" s="110">
        <f t="shared" si="64"/>
        <v>37193</v>
      </c>
      <c r="F4100" s="69">
        <v>1.0951952451241453E-2</v>
      </c>
    </row>
    <row r="4101" spans="1:6" x14ac:dyDescent="0.3">
      <c r="A4101" s="24">
        <v>38979</v>
      </c>
      <c r="B4101" s="66">
        <v>550.89400000000001</v>
      </c>
      <c r="C4101" s="67"/>
      <c r="D4101" s="68">
        <v>0</v>
      </c>
      <c r="E4101" s="110">
        <f t="shared" si="64"/>
        <v>37193</v>
      </c>
      <c r="F4101" s="69">
        <v>1.0951952451241453E-2</v>
      </c>
    </row>
    <row r="4102" spans="1:6" x14ac:dyDescent="0.3">
      <c r="A4102" s="24">
        <v>38980</v>
      </c>
      <c r="B4102" s="66">
        <v>550.89400000000001</v>
      </c>
      <c r="C4102" s="67"/>
      <c r="D4102" s="68">
        <v>0</v>
      </c>
      <c r="E4102" s="110">
        <f t="shared" si="64"/>
        <v>37193</v>
      </c>
      <c r="F4102" s="69">
        <v>1.0951952451241453E-2</v>
      </c>
    </row>
    <row r="4103" spans="1:6" x14ac:dyDescent="0.3">
      <c r="A4103" s="24">
        <v>38981</v>
      </c>
      <c r="B4103" s="66">
        <v>550.89400000000001</v>
      </c>
      <c r="C4103" s="67"/>
      <c r="D4103" s="68">
        <v>0</v>
      </c>
      <c r="E4103" s="110">
        <f t="shared" si="64"/>
        <v>37193</v>
      </c>
      <c r="F4103" s="69">
        <v>1.0951952451241453E-2</v>
      </c>
    </row>
    <row r="4104" spans="1:6" x14ac:dyDescent="0.3">
      <c r="A4104" s="24">
        <v>38982</v>
      </c>
      <c r="B4104" s="66">
        <v>550.89400000000001</v>
      </c>
      <c r="C4104" s="67"/>
      <c r="D4104" s="68">
        <v>0</v>
      </c>
      <c r="E4104" s="110">
        <f t="shared" si="64"/>
        <v>37193</v>
      </c>
      <c r="F4104" s="69">
        <v>1.0951952451241453E-2</v>
      </c>
    </row>
    <row r="4105" spans="1:6" x14ac:dyDescent="0.3">
      <c r="A4105" s="24">
        <v>38983</v>
      </c>
      <c r="B4105" s="66">
        <v>550.89400000000001</v>
      </c>
      <c r="C4105" s="67"/>
      <c r="D4105" s="68">
        <v>0</v>
      </c>
      <c r="E4105" s="110">
        <f t="shared" si="64"/>
        <v>37193</v>
      </c>
      <c r="F4105" s="69">
        <v>1.0951952451241453E-2</v>
      </c>
    </row>
    <row r="4106" spans="1:6" x14ac:dyDescent="0.3">
      <c r="A4106" s="24">
        <v>38984</v>
      </c>
      <c r="B4106" s="66">
        <v>550.89400000000001</v>
      </c>
      <c r="C4106" s="67"/>
      <c r="D4106" s="68">
        <v>0</v>
      </c>
      <c r="E4106" s="110">
        <f t="shared" si="64"/>
        <v>37193</v>
      </c>
      <c r="F4106" s="69">
        <v>1.0951952451241453E-2</v>
      </c>
    </row>
    <row r="4107" spans="1:6" x14ac:dyDescent="0.3">
      <c r="A4107" s="24">
        <v>38985</v>
      </c>
      <c r="B4107" s="66">
        <v>550.89400000000001</v>
      </c>
      <c r="C4107" s="67"/>
      <c r="D4107" s="68">
        <v>0</v>
      </c>
      <c r="E4107" s="110">
        <f t="shared" si="64"/>
        <v>37193</v>
      </c>
      <c r="F4107" s="69">
        <v>1.0951952451241453E-2</v>
      </c>
    </row>
    <row r="4108" spans="1:6" x14ac:dyDescent="0.3">
      <c r="A4108" s="24">
        <v>38986</v>
      </c>
      <c r="B4108" s="66">
        <v>550.89400000000001</v>
      </c>
      <c r="C4108" s="67"/>
      <c r="D4108" s="68">
        <v>0</v>
      </c>
      <c r="E4108" s="110">
        <f t="shared" si="64"/>
        <v>37193</v>
      </c>
      <c r="F4108" s="69">
        <v>1.0951952451241453E-2</v>
      </c>
    </row>
    <row r="4109" spans="1:6" x14ac:dyDescent="0.3">
      <c r="A4109" s="24">
        <v>38987</v>
      </c>
      <c r="B4109" s="66">
        <v>550.89400000000001</v>
      </c>
      <c r="C4109" s="67"/>
      <c r="D4109" s="68">
        <v>0</v>
      </c>
      <c r="E4109" s="110">
        <f t="shared" si="64"/>
        <v>37193</v>
      </c>
      <c r="F4109" s="69">
        <v>1.0951952451241453E-2</v>
      </c>
    </row>
    <row r="4110" spans="1:6" x14ac:dyDescent="0.3">
      <c r="A4110" s="24">
        <v>38988</v>
      </c>
      <c r="B4110" s="66">
        <v>550.89400000000001</v>
      </c>
      <c r="C4110" s="67"/>
      <c r="D4110" s="68">
        <v>0</v>
      </c>
      <c r="E4110" s="110">
        <f t="shared" si="64"/>
        <v>37193</v>
      </c>
      <c r="F4110" s="69">
        <v>1.0951952451241453E-2</v>
      </c>
    </row>
    <row r="4111" spans="1:6" x14ac:dyDescent="0.3">
      <c r="A4111" s="24">
        <v>38989</v>
      </c>
      <c r="B4111" s="66">
        <v>550.89400000000001</v>
      </c>
      <c r="C4111" s="67"/>
      <c r="D4111" s="68">
        <v>0</v>
      </c>
      <c r="E4111" s="110">
        <f t="shared" si="64"/>
        <v>37193</v>
      </c>
      <c r="F4111" s="69">
        <v>1.0677301640541807E-2</v>
      </c>
    </row>
    <row r="4112" spans="1:6" x14ac:dyDescent="0.3">
      <c r="A4112" s="24">
        <v>38990</v>
      </c>
      <c r="B4112" s="66">
        <v>567.36400000000003</v>
      </c>
      <c r="C4112" s="67"/>
      <c r="D4112" s="68">
        <v>0</v>
      </c>
      <c r="E4112" s="110">
        <f t="shared" si="64"/>
        <v>37193</v>
      </c>
      <c r="F4112" s="69">
        <v>1.0677301640541807E-2</v>
      </c>
    </row>
    <row r="4113" spans="1:6" x14ac:dyDescent="0.3">
      <c r="A4113" s="24">
        <v>38991</v>
      </c>
      <c r="B4113" s="66">
        <v>567.36400000000003</v>
      </c>
      <c r="C4113" s="67"/>
      <c r="D4113" s="68">
        <v>0</v>
      </c>
      <c r="E4113" s="110">
        <f t="shared" si="64"/>
        <v>37193</v>
      </c>
      <c r="F4113" s="69">
        <v>1.0677301640541807E-2</v>
      </c>
    </row>
    <row r="4114" spans="1:6" x14ac:dyDescent="0.3">
      <c r="A4114" s="24">
        <v>38992</v>
      </c>
      <c r="B4114" s="66">
        <v>567.36400000000003</v>
      </c>
      <c r="C4114" s="67"/>
      <c r="D4114" s="68">
        <v>0</v>
      </c>
      <c r="E4114" s="110">
        <f t="shared" ref="E4114:E4177" si="65">+E4113</f>
        <v>37193</v>
      </c>
      <c r="F4114" s="69">
        <v>1.0677301640541807E-2</v>
      </c>
    </row>
    <row r="4115" spans="1:6" x14ac:dyDescent="0.3">
      <c r="A4115" s="24">
        <v>38993</v>
      </c>
      <c r="B4115" s="66">
        <v>567.36400000000003</v>
      </c>
      <c r="C4115" s="67"/>
      <c r="D4115" s="68">
        <v>0</v>
      </c>
      <c r="E4115" s="110">
        <f t="shared" si="65"/>
        <v>37193</v>
      </c>
      <c r="F4115" s="69">
        <v>1.0677301640541807E-2</v>
      </c>
    </row>
    <row r="4116" spans="1:6" x14ac:dyDescent="0.3">
      <c r="A4116" s="24">
        <v>38994</v>
      </c>
      <c r="B4116" s="66">
        <v>567.36400000000003</v>
      </c>
      <c r="C4116" s="67"/>
      <c r="D4116" s="68">
        <v>0</v>
      </c>
      <c r="E4116" s="110">
        <f t="shared" si="65"/>
        <v>37193</v>
      </c>
      <c r="F4116" s="69">
        <v>1.0677301640541807E-2</v>
      </c>
    </row>
    <row r="4117" spans="1:6" x14ac:dyDescent="0.3">
      <c r="A4117" s="24">
        <v>38995</v>
      </c>
      <c r="B4117" s="66">
        <v>567.36400000000003</v>
      </c>
      <c r="C4117" s="67"/>
      <c r="D4117" s="68">
        <v>0</v>
      </c>
      <c r="E4117" s="110">
        <f t="shared" si="65"/>
        <v>37193</v>
      </c>
      <c r="F4117" s="69">
        <v>1.0677301640541807E-2</v>
      </c>
    </row>
    <row r="4118" spans="1:6" x14ac:dyDescent="0.3">
      <c r="A4118" s="24">
        <v>38996</v>
      </c>
      <c r="B4118" s="66">
        <v>567.36400000000003</v>
      </c>
      <c r="C4118" s="67"/>
      <c r="D4118" s="68">
        <v>0</v>
      </c>
      <c r="E4118" s="110">
        <f t="shared" si="65"/>
        <v>37193</v>
      </c>
      <c r="F4118" s="69">
        <v>1.0677301640541807E-2</v>
      </c>
    </row>
    <row r="4119" spans="1:6" x14ac:dyDescent="0.3">
      <c r="A4119" s="24">
        <v>38997</v>
      </c>
      <c r="B4119" s="66">
        <v>567.36400000000003</v>
      </c>
      <c r="C4119" s="67"/>
      <c r="D4119" s="68">
        <v>0</v>
      </c>
      <c r="E4119" s="110">
        <f t="shared" si="65"/>
        <v>37193</v>
      </c>
      <c r="F4119" s="69">
        <v>1.0677301640541807E-2</v>
      </c>
    </row>
    <row r="4120" spans="1:6" x14ac:dyDescent="0.3">
      <c r="A4120" s="24">
        <v>38998</v>
      </c>
      <c r="B4120" s="66">
        <v>567.36400000000003</v>
      </c>
      <c r="C4120" s="67"/>
      <c r="D4120" s="68">
        <v>0</v>
      </c>
      <c r="E4120" s="110">
        <f t="shared" si="65"/>
        <v>37193</v>
      </c>
      <c r="F4120" s="69">
        <v>1.0677301640541807E-2</v>
      </c>
    </row>
    <row r="4121" spans="1:6" x14ac:dyDescent="0.3">
      <c r="A4121" s="24">
        <v>38999</v>
      </c>
      <c r="B4121" s="66">
        <v>567.36400000000003</v>
      </c>
      <c r="C4121" s="67"/>
      <c r="D4121" s="68">
        <v>0</v>
      </c>
      <c r="E4121" s="110">
        <f t="shared" si="65"/>
        <v>37193</v>
      </c>
      <c r="F4121" s="69">
        <v>1.0677301640541807E-2</v>
      </c>
    </row>
    <row r="4122" spans="1:6" x14ac:dyDescent="0.3">
      <c r="A4122" s="24">
        <v>39000</v>
      </c>
      <c r="B4122" s="66">
        <v>567.36400000000003</v>
      </c>
      <c r="C4122" s="67"/>
      <c r="D4122" s="68">
        <v>0</v>
      </c>
      <c r="E4122" s="110">
        <f t="shared" si="65"/>
        <v>37193</v>
      </c>
      <c r="F4122" s="69">
        <v>1.0677301640541807E-2</v>
      </c>
    </row>
    <row r="4123" spans="1:6" x14ac:dyDescent="0.3">
      <c r="A4123" s="24">
        <v>39001</v>
      </c>
      <c r="B4123" s="66">
        <v>567.36400000000003</v>
      </c>
      <c r="C4123" s="67"/>
      <c r="D4123" s="68">
        <v>0</v>
      </c>
      <c r="E4123" s="110">
        <f t="shared" si="65"/>
        <v>37193</v>
      </c>
      <c r="F4123" s="69">
        <v>1.0677301640541807E-2</v>
      </c>
    </row>
    <row r="4124" spans="1:6" x14ac:dyDescent="0.3">
      <c r="A4124" s="24">
        <v>39002</v>
      </c>
      <c r="B4124" s="66">
        <v>567.36400000000003</v>
      </c>
      <c r="C4124" s="67"/>
      <c r="D4124" s="68">
        <v>0</v>
      </c>
      <c r="E4124" s="110">
        <f t="shared" si="65"/>
        <v>37193</v>
      </c>
      <c r="F4124" s="69">
        <v>1.0677301640541807E-2</v>
      </c>
    </row>
    <row r="4125" spans="1:6" x14ac:dyDescent="0.3">
      <c r="A4125" s="24">
        <v>39003</v>
      </c>
      <c r="B4125" s="66">
        <v>567.36400000000003</v>
      </c>
      <c r="C4125" s="67"/>
      <c r="D4125" s="68">
        <v>0</v>
      </c>
      <c r="E4125" s="110">
        <f t="shared" si="65"/>
        <v>37193</v>
      </c>
      <c r="F4125" s="69">
        <v>1.0677301640541807E-2</v>
      </c>
    </row>
    <row r="4126" spans="1:6" x14ac:dyDescent="0.3">
      <c r="A4126" s="24">
        <v>39004</v>
      </c>
      <c r="B4126" s="66">
        <v>567.36400000000003</v>
      </c>
      <c r="C4126" s="67"/>
      <c r="D4126" s="68">
        <v>0</v>
      </c>
      <c r="E4126" s="110">
        <f t="shared" si="65"/>
        <v>37193</v>
      </c>
      <c r="F4126" s="69">
        <v>1.0677301640541807E-2</v>
      </c>
    </row>
    <row r="4127" spans="1:6" x14ac:dyDescent="0.3">
      <c r="A4127" s="24">
        <v>39005</v>
      </c>
      <c r="B4127" s="66">
        <v>567.36400000000003</v>
      </c>
      <c r="C4127" s="67"/>
      <c r="D4127" s="68">
        <v>0</v>
      </c>
      <c r="E4127" s="110">
        <f t="shared" si="65"/>
        <v>37193</v>
      </c>
      <c r="F4127" s="69">
        <v>1.0677301640541807E-2</v>
      </c>
    </row>
    <row r="4128" spans="1:6" x14ac:dyDescent="0.3">
      <c r="A4128" s="24">
        <v>39006</v>
      </c>
      <c r="B4128" s="66">
        <v>567.36400000000003</v>
      </c>
      <c r="C4128" s="67"/>
      <c r="D4128" s="68">
        <v>0</v>
      </c>
      <c r="E4128" s="110">
        <f t="shared" si="65"/>
        <v>37193</v>
      </c>
      <c r="F4128" s="69">
        <v>1.0677301640541807E-2</v>
      </c>
    </row>
    <row r="4129" spans="1:6" x14ac:dyDescent="0.3">
      <c r="A4129" s="24">
        <v>39007</v>
      </c>
      <c r="B4129" s="66">
        <v>567.36400000000003</v>
      </c>
      <c r="C4129" s="67"/>
      <c r="D4129" s="68">
        <v>0</v>
      </c>
      <c r="E4129" s="110">
        <f t="shared" si="65"/>
        <v>37193</v>
      </c>
      <c r="F4129" s="69">
        <v>1.0677301640541807E-2</v>
      </c>
    </row>
    <row r="4130" spans="1:6" x14ac:dyDescent="0.3">
      <c r="A4130" s="24">
        <v>39008</v>
      </c>
      <c r="B4130" s="66">
        <v>567.36400000000003</v>
      </c>
      <c r="C4130" s="67"/>
      <c r="D4130" s="68">
        <v>0</v>
      </c>
      <c r="E4130" s="110">
        <f t="shared" si="65"/>
        <v>37193</v>
      </c>
      <c r="F4130" s="69">
        <v>1.0677301640541807E-2</v>
      </c>
    </row>
    <row r="4131" spans="1:6" x14ac:dyDescent="0.3">
      <c r="A4131" s="24">
        <v>39009</v>
      </c>
      <c r="B4131" s="66">
        <v>567.36400000000003</v>
      </c>
      <c r="C4131" s="67"/>
      <c r="D4131" s="68">
        <v>0</v>
      </c>
      <c r="E4131" s="110">
        <f t="shared" si="65"/>
        <v>37193</v>
      </c>
      <c r="F4131" s="69">
        <v>1.0677301640541807E-2</v>
      </c>
    </row>
    <row r="4132" spans="1:6" x14ac:dyDescent="0.3">
      <c r="A4132" s="24">
        <v>39010</v>
      </c>
      <c r="B4132" s="66">
        <v>567.36400000000003</v>
      </c>
      <c r="C4132" s="67"/>
      <c r="D4132" s="68">
        <v>0</v>
      </c>
      <c r="E4132" s="110">
        <f t="shared" si="65"/>
        <v>37193</v>
      </c>
      <c r="F4132" s="69">
        <v>1.0677301640541807E-2</v>
      </c>
    </row>
    <row r="4133" spans="1:6" x14ac:dyDescent="0.3">
      <c r="A4133" s="24">
        <v>39011</v>
      </c>
      <c r="B4133" s="66">
        <v>567.36400000000003</v>
      </c>
      <c r="C4133" s="67"/>
      <c r="D4133" s="68">
        <v>0</v>
      </c>
      <c r="E4133" s="110">
        <f t="shared" si="65"/>
        <v>37193</v>
      </c>
      <c r="F4133" s="69">
        <v>1.0677301640541807E-2</v>
      </c>
    </row>
    <row r="4134" spans="1:6" x14ac:dyDescent="0.3">
      <c r="A4134" s="24">
        <v>39012</v>
      </c>
      <c r="B4134" s="66">
        <v>567.36400000000003</v>
      </c>
      <c r="C4134" s="67"/>
      <c r="D4134" s="68">
        <v>0</v>
      </c>
      <c r="E4134" s="110">
        <f t="shared" si="65"/>
        <v>37193</v>
      </c>
      <c r="F4134" s="69">
        <v>1.0677301640541807E-2</v>
      </c>
    </row>
    <row r="4135" spans="1:6" x14ac:dyDescent="0.3">
      <c r="A4135" s="24">
        <v>39013</v>
      </c>
      <c r="B4135" s="66">
        <v>567.36400000000003</v>
      </c>
      <c r="C4135" s="67"/>
      <c r="D4135" s="68">
        <v>0</v>
      </c>
      <c r="E4135" s="110">
        <f t="shared" si="65"/>
        <v>37193</v>
      </c>
      <c r="F4135" s="69">
        <v>1.0677301640541807E-2</v>
      </c>
    </row>
    <row r="4136" spans="1:6" x14ac:dyDescent="0.3">
      <c r="A4136" s="24">
        <v>39014</v>
      </c>
      <c r="B4136" s="66">
        <v>567.36400000000003</v>
      </c>
      <c r="C4136" s="67"/>
      <c r="D4136" s="68">
        <v>0</v>
      </c>
      <c r="E4136" s="110">
        <f t="shared" si="65"/>
        <v>37193</v>
      </c>
      <c r="F4136" s="69">
        <v>1.0677301640541807E-2</v>
      </c>
    </row>
    <row r="4137" spans="1:6" x14ac:dyDescent="0.3">
      <c r="A4137" s="24">
        <v>39015</v>
      </c>
      <c r="B4137" s="66">
        <v>567.36400000000003</v>
      </c>
      <c r="C4137" s="67"/>
      <c r="D4137" s="68">
        <v>0</v>
      </c>
      <c r="E4137" s="110">
        <f t="shared" si="65"/>
        <v>37193</v>
      </c>
      <c r="F4137" s="69">
        <v>1.0677301640541807E-2</v>
      </c>
    </row>
    <row r="4138" spans="1:6" x14ac:dyDescent="0.3">
      <c r="A4138" s="24">
        <v>39016</v>
      </c>
      <c r="B4138" s="66">
        <v>567.36400000000003</v>
      </c>
      <c r="C4138" s="67"/>
      <c r="D4138" s="68">
        <v>0</v>
      </c>
      <c r="E4138" s="110">
        <f t="shared" si="65"/>
        <v>37193</v>
      </c>
      <c r="F4138" s="69">
        <v>1.0677301640541807E-2</v>
      </c>
    </row>
    <row r="4139" spans="1:6" x14ac:dyDescent="0.3">
      <c r="A4139" s="24">
        <v>39017</v>
      </c>
      <c r="B4139" s="66">
        <v>567.36400000000003</v>
      </c>
      <c r="C4139" s="67"/>
      <c r="D4139" s="68">
        <v>0</v>
      </c>
      <c r="E4139" s="110">
        <f t="shared" si="65"/>
        <v>37193</v>
      </c>
      <c r="F4139" s="69">
        <v>1.0677301640541807E-2</v>
      </c>
    </row>
    <row r="4140" spans="1:6" x14ac:dyDescent="0.3">
      <c r="A4140" s="24">
        <v>39018</v>
      </c>
      <c r="B4140" s="66">
        <v>567.36400000000003</v>
      </c>
      <c r="C4140" s="67"/>
      <c r="D4140" s="68">
        <v>0</v>
      </c>
      <c r="E4140" s="110">
        <f t="shared" si="65"/>
        <v>37193</v>
      </c>
      <c r="F4140" s="69">
        <v>1.0677301640541807E-2</v>
      </c>
    </row>
    <row r="4141" spans="1:6" x14ac:dyDescent="0.3">
      <c r="A4141" s="24">
        <v>39019</v>
      </c>
      <c r="B4141" s="66">
        <v>567.36400000000003</v>
      </c>
      <c r="C4141" s="67"/>
      <c r="D4141" s="68">
        <v>0</v>
      </c>
      <c r="E4141" s="110">
        <f t="shared" si="65"/>
        <v>37193</v>
      </c>
      <c r="F4141" s="69">
        <v>1.0677301640541807E-2</v>
      </c>
    </row>
    <row r="4142" spans="1:6" x14ac:dyDescent="0.3">
      <c r="A4142" s="24">
        <v>39020</v>
      </c>
      <c r="B4142" s="66">
        <v>567.36400000000003</v>
      </c>
      <c r="C4142" s="67"/>
      <c r="D4142" s="68">
        <v>0</v>
      </c>
      <c r="E4142" s="110">
        <f t="shared" si="65"/>
        <v>37193</v>
      </c>
      <c r="F4142" s="69">
        <v>1.0677301640541807E-2</v>
      </c>
    </row>
    <row r="4143" spans="1:6" x14ac:dyDescent="0.3">
      <c r="A4143" s="24">
        <v>39021</v>
      </c>
      <c r="B4143" s="66">
        <v>567.36400000000003</v>
      </c>
      <c r="C4143" s="67"/>
      <c r="D4143" s="68">
        <v>0</v>
      </c>
      <c r="E4143" s="110">
        <f t="shared" si="65"/>
        <v>37193</v>
      </c>
      <c r="F4143" s="69">
        <v>1.0677301640541807E-2</v>
      </c>
    </row>
    <row r="4144" spans="1:6" x14ac:dyDescent="0.3">
      <c r="A4144" s="24">
        <v>39022</v>
      </c>
      <c r="B4144" s="66">
        <v>567.36400000000003</v>
      </c>
      <c r="C4144" s="67"/>
      <c r="D4144" s="68">
        <v>0</v>
      </c>
      <c r="E4144" s="110">
        <f t="shared" si="65"/>
        <v>37193</v>
      </c>
      <c r="F4144" s="69">
        <v>1.0677301640541807E-2</v>
      </c>
    </row>
    <row r="4145" spans="1:6" x14ac:dyDescent="0.3">
      <c r="A4145" s="24">
        <v>39023</v>
      </c>
      <c r="B4145" s="66">
        <v>567.36400000000003</v>
      </c>
      <c r="C4145" s="67"/>
      <c r="D4145" s="68">
        <v>0</v>
      </c>
      <c r="E4145" s="110">
        <f t="shared" si="65"/>
        <v>37193</v>
      </c>
      <c r="F4145" s="69">
        <v>1.0677301640541807E-2</v>
      </c>
    </row>
    <row r="4146" spans="1:6" x14ac:dyDescent="0.3">
      <c r="A4146" s="24">
        <v>39024</v>
      </c>
      <c r="B4146" s="66">
        <v>567.36400000000003</v>
      </c>
      <c r="C4146" s="67"/>
      <c r="D4146" s="68">
        <v>0</v>
      </c>
      <c r="E4146" s="110">
        <f t="shared" si="65"/>
        <v>37193</v>
      </c>
      <c r="F4146" s="69">
        <v>1.0677301640541807E-2</v>
      </c>
    </row>
    <row r="4147" spans="1:6" x14ac:dyDescent="0.3">
      <c r="A4147" s="24">
        <v>39025</v>
      </c>
      <c r="B4147" s="66">
        <v>567.36400000000003</v>
      </c>
      <c r="C4147" s="67"/>
      <c r="D4147" s="68">
        <v>0</v>
      </c>
      <c r="E4147" s="110">
        <f t="shared" si="65"/>
        <v>37193</v>
      </c>
      <c r="F4147" s="69">
        <v>1.0677301640541807E-2</v>
      </c>
    </row>
    <row r="4148" spans="1:6" x14ac:dyDescent="0.3">
      <c r="A4148" s="24">
        <v>39026</v>
      </c>
      <c r="B4148" s="66">
        <v>567.36400000000003</v>
      </c>
      <c r="C4148" s="67"/>
      <c r="D4148" s="68">
        <v>0</v>
      </c>
      <c r="E4148" s="110">
        <f t="shared" si="65"/>
        <v>37193</v>
      </c>
      <c r="F4148" s="69">
        <v>1.0677301640541807E-2</v>
      </c>
    </row>
    <row r="4149" spans="1:6" x14ac:dyDescent="0.3">
      <c r="A4149" s="24">
        <v>39027</v>
      </c>
      <c r="B4149" s="66">
        <v>567.36400000000003</v>
      </c>
      <c r="C4149" s="67"/>
      <c r="D4149" s="68">
        <v>0</v>
      </c>
      <c r="E4149" s="110">
        <f t="shared" si="65"/>
        <v>37193</v>
      </c>
      <c r="F4149" s="69">
        <v>1.0677301640541807E-2</v>
      </c>
    </row>
    <row r="4150" spans="1:6" x14ac:dyDescent="0.3">
      <c r="A4150" s="24">
        <v>39028</v>
      </c>
      <c r="B4150" s="66">
        <v>567.36400000000003</v>
      </c>
      <c r="C4150" s="67"/>
      <c r="D4150" s="68">
        <v>0</v>
      </c>
      <c r="E4150" s="110">
        <f t="shared" si="65"/>
        <v>37193</v>
      </c>
      <c r="F4150" s="69">
        <v>1.0677301640541807E-2</v>
      </c>
    </row>
    <row r="4151" spans="1:6" x14ac:dyDescent="0.3">
      <c r="A4151" s="24">
        <v>39029</v>
      </c>
      <c r="B4151" s="66">
        <v>567.36400000000003</v>
      </c>
      <c r="C4151" s="67"/>
      <c r="D4151" s="68">
        <v>0</v>
      </c>
      <c r="E4151" s="110">
        <f t="shared" si="65"/>
        <v>37193</v>
      </c>
      <c r="F4151" s="69">
        <v>1.0677301640541807E-2</v>
      </c>
    </row>
    <row r="4152" spans="1:6" x14ac:dyDescent="0.3">
      <c r="A4152" s="24">
        <v>39030</v>
      </c>
      <c r="B4152" s="66">
        <v>567.36400000000003</v>
      </c>
      <c r="C4152" s="67"/>
      <c r="D4152" s="68">
        <v>0</v>
      </c>
      <c r="E4152" s="110">
        <f t="shared" si="65"/>
        <v>37193</v>
      </c>
      <c r="F4152" s="69">
        <v>1.0677301640541807E-2</v>
      </c>
    </row>
    <row r="4153" spans="1:6" x14ac:dyDescent="0.3">
      <c r="A4153" s="24">
        <v>39031</v>
      </c>
      <c r="B4153" s="66">
        <v>567.36400000000003</v>
      </c>
      <c r="C4153" s="67"/>
      <c r="D4153" s="68">
        <v>0</v>
      </c>
      <c r="E4153" s="110">
        <f t="shared" si="65"/>
        <v>37193</v>
      </c>
      <c r="F4153" s="69">
        <v>1.0677301640541807E-2</v>
      </c>
    </row>
    <row r="4154" spans="1:6" x14ac:dyDescent="0.3">
      <c r="A4154" s="24">
        <v>39032</v>
      </c>
      <c r="B4154" s="66">
        <v>567.36400000000003</v>
      </c>
      <c r="C4154" s="67"/>
      <c r="D4154" s="68">
        <v>0</v>
      </c>
      <c r="E4154" s="110">
        <f t="shared" si="65"/>
        <v>37193</v>
      </c>
      <c r="F4154" s="69">
        <v>1.0677301640541807E-2</v>
      </c>
    </row>
    <row r="4155" spans="1:6" x14ac:dyDescent="0.3">
      <c r="A4155" s="24">
        <v>39033</v>
      </c>
      <c r="B4155" s="66">
        <v>567.36400000000003</v>
      </c>
      <c r="C4155" s="67"/>
      <c r="D4155" s="68">
        <v>0</v>
      </c>
      <c r="E4155" s="110">
        <f t="shared" si="65"/>
        <v>37193</v>
      </c>
      <c r="F4155" s="69">
        <v>1.0677301640541807E-2</v>
      </c>
    </row>
    <row r="4156" spans="1:6" x14ac:dyDescent="0.3">
      <c r="A4156" s="24">
        <v>39034</v>
      </c>
      <c r="B4156" s="66">
        <v>567.36400000000003</v>
      </c>
      <c r="C4156" s="67"/>
      <c r="D4156" s="68">
        <v>0</v>
      </c>
      <c r="E4156" s="110">
        <f t="shared" si="65"/>
        <v>37193</v>
      </c>
      <c r="F4156" s="69">
        <v>1.0677301640541807E-2</v>
      </c>
    </row>
    <row r="4157" spans="1:6" x14ac:dyDescent="0.3">
      <c r="A4157" s="24">
        <v>39035</v>
      </c>
      <c r="B4157" s="66">
        <v>567.36400000000003</v>
      </c>
      <c r="C4157" s="67"/>
      <c r="D4157" s="68">
        <v>0</v>
      </c>
      <c r="E4157" s="110">
        <f t="shared" si="65"/>
        <v>37193</v>
      </c>
      <c r="F4157" s="69">
        <v>1.0677301640541807E-2</v>
      </c>
    </row>
    <row r="4158" spans="1:6" x14ac:dyDescent="0.3">
      <c r="A4158" s="24">
        <v>39036</v>
      </c>
      <c r="B4158" s="66">
        <v>567.36400000000003</v>
      </c>
      <c r="C4158" s="67"/>
      <c r="D4158" s="68">
        <v>0</v>
      </c>
      <c r="E4158" s="110">
        <f t="shared" si="65"/>
        <v>37193</v>
      </c>
      <c r="F4158" s="69">
        <v>1.0677301640541807E-2</v>
      </c>
    </row>
    <row r="4159" spans="1:6" x14ac:dyDescent="0.3">
      <c r="A4159" s="24">
        <v>39037</v>
      </c>
      <c r="B4159" s="66">
        <v>567.36400000000003</v>
      </c>
      <c r="C4159" s="67"/>
      <c r="D4159" s="68">
        <v>0</v>
      </c>
      <c r="E4159" s="110">
        <f t="shared" si="65"/>
        <v>37193</v>
      </c>
      <c r="F4159" s="69">
        <v>1.0677301640541807E-2</v>
      </c>
    </row>
    <row r="4160" spans="1:6" x14ac:dyDescent="0.3">
      <c r="A4160" s="24">
        <v>39038</v>
      </c>
      <c r="B4160" s="66">
        <v>567.36400000000003</v>
      </c>
      <c r="C4160" s="67"/>
      <c r="D4160" s="68">
        <v>0</v>
      </c>
      <c r="E4160" s="110">
        <f t="shared" si="65"/>
        <v>37193</v>
      </c>
      <c r="F4160" s="69">
        <v>1.0677301640541807E-2</v>
      </c>
    </row>
    <row r="4161" spans="1:6" x14ac:dyDescent="0.3">
      <c r="A4161" s="24">
        <v>39039</v>
      </c>
      <c r="B4161" s="66">
        <v>567.36400000000003</v>
      </c>
      <c r="C4161" s="67"/>
      <c r="D4161" s="68">
        <v>0</v>
      </c>
      <c r="E4161" s="110">
        <f t="shared" si="65"/>
        <v>37193</v>
      </c>
      <c r="F4161" s="69">
        <v>1.0677301640541807E-2</v>
      </c>
    </row>
    <row r="4162" spans="1:6" x14ac:dyDescent="0.3">
      <c r="A4162" s="24">
        <v>39040</v>
      </c>
      <c r="B4162" s="66">
        <v>567.36400000000003</v>
      </c>
      <c r="C4162" s="67"/>
      <c r="D4162" s="68">
        <v>0</v>
      </c>
      <c r="E4162" s="110">
        <f t="shared" si="65"/>
        <v>37193</v>
      </c>
      <c r="F4162" s="69">
        <v>1.0677301640541807E-2</v>
      </c>
    </row>
    <row r="4163" spans="1:6" x14ac:dyDescent="0.3">
      <c r="A4163" s="24">
        <v>39041</v>
      </c>
      <c r="B4163" s="66">
        <v>567.36400000000003</v>
      </c>
      <c r="C4163" s="67"/>
      <c r="D4163" s="68">
        <v>0</v>
      </c>
      <c r="E4163" s="110">
        <f t="shared" si="65"/>
        <v>37193</v>
      </c>
      <c r="F4163" s="69">
        <v>1.0677301640541807E-2</v>
      </c>
    </row>
    <row r="4164" spans="1:6" x14ac:dyDescent="0.3">
      <c r="A4164" s="24">
        <v>39042</v>
      </c>
      <c r="B4164" s="66">
        <v>567.36400000000003</v>
      </c>
      <c r="C4164" s="67"/>
      <c r="D4164" s="68">
        <v>0</v>
      </c>
      <c r="E4164" s="110">
        <f t="shared" si="65"/>
        <v>37193</v>
      </c>
      <c r="F4164" s="69">
        <v>1.0677301640541807E-2</v>
      </c>
    </row>
    <row r="4165" spans="1:6" x14ac:dyDescent="0.3">
      <c r="A4165" s="24">
        <v>39043</v>
      </c>
      <c r="B4165" s="66">
        <v>567.36400000000003</v>
      </c>
      <c r="C4165" s="67"/>
      <c r="D4165" s="68">
        <v>0</v>
      </c>
      <c r="E4165" s="110">
        <f t="shared" si="65"/>
        <v>37193</v>
      </c>
      <c r="F4165" s="69">
        <v>1.0677301640541807E-2</v>
      </c>
    </row>
    <row r="4166" spans="1:6" x14ac:dyDescent="0.3">
      <c r="A4166" s="24">
        <v>39044</v>
      </c>
      <c r="B4166" s="66">
        <v>567.36400000000003</v>
      </c>
      <c r="C4166" s="67"/>
      <c r="D4166" s="68">
        <v>0</v>
      </c>
      <c r="E4166" s="110">
        <f t="shared" si="65"/>
        <v>37193</v>
      </c>
      <c r="F4166" s="69">
        <v>1.0677301640541807E-2</v>
      </c>
    </row>
    <row r="4167" spans="1:6" x14ac:dyDescent="0.3">
      <c r="A4167" s="24">
        <v>39045</v>
      </c>
      <c r="B4167" s="66">
        <v>567.36400000000003</v>
      </c>
      <c r="C4167" s="67"/>
      <c r="D4167" s="68">
        <v>0</v>
      </c>
      <c r="E4167" s="110">
        <f t="shared" si="65"/>
        <v>37193</v>
      </c>
      <c r="F4167" s="69">
        <v>1.0677301640541807E-2</v>
      </c>
    </row>
    <row r="4168" spans="1:6" x14ac:dyDescent="0.3">
      <c r="A4168" s="24">
        <v>39046</v>
      </c>
      <c r="B4168" s="66">
        <v>567.36400000000003</v>
      </c>
      <c r="C4168" s="67"/>
      <c r="D4168" s="68">
        <v>0</v>
      </c>
      <c r="E4168" s="110">
        <f t="shared" si="65"/>
        <v>37193</v>
      </c>
      <c r="F4168" s="69">
        <v>1.0677301640541807E-2</v>
      </c>
    </row>
    <row r="4169" spans="1:6" x14ac:dyDescent="0.3">
      <c r="A4169" s="24">
        <v>39047</v>
      </c>
      <c r="B4169" s="66">
        <v>567.36400000000003</v>
      </c>
      <c r="C4169" s="67"/>
      <c r="D4169" s="68">
        <v>0</v>
      </c>
      <c r="E4169" s="110">
        <f t="shared" si="65"/>
        <v>37193</v>
      </c>
      <c r="F4169" s="69">
        <v>1.0677301640541807E-2</v>
      </c>
    </row>
    <row r="4170" spans="1:6" x14ac:dyDescent="0.3">
      <c r="A4170" s="24">
        <v>39048</v>
      </c>
      <c r="B4170" s="66">
        <v>567.36400000000003</v>
      </c>
      <c r="C4170" s="67"/>
      <c r="D4170" s="68">
        <v>0</v>
      </c>
      <c r="E4170" s="110">
        <f t="shared" si="65"/>
        <v>37193</v>
      </c>
      <c r="F4170" s="69">
        <v>1.0677301640541807E-2</v>
      </c>
    </row>
    <row r="4171" spans="1:6" x14ac:dyDescent="0.3">
      <c r="A4171" s="24">
        <v>39049</v>
      </c>
      <c r="B4171" s="66">
        <v>567.36400000000003</v>
      </c>
      <c r="C4171" s="67"/>
      <c r="D4171" s="68">
        <v>0</v>
      </c>
      <c r="E4171" s="110">
        <f t="shared" si="65"/>
        <v>37193</v>
      </c>
      <c r="F4171" s="69">
        <v>1.0677301640541807E-2</v>
      </c>
    </row>
    <row r="4172" spans="1:6" x14ac:dyDescent="0.3">
      <c r="A4172" s="24">
        <v>39050</v>
      </c>
      <c r="B4172" s="66">
        <v>567.36400000000003</v>
      </c>
      <c r="C4172" s="67"/>
      <c r="D4172" s="68">
        <v>0</v>
      </c>
      <c r="E4172" s="110">
        <f t="shared" si="65"/>
        <v>37193</v>
      </c>
      <c r="F4172" s="69">
        <v>1.0677301640541807E-2</v>
      </c>
    </row>
    <row r="4173" spans="1:6" x14ac:dyDescent="0.3">
      <c r="A4173" s="24">
        <v>39051</v>
      </c>
      <c r="B4173" s="66">
        <v>567.36400000000003</v>
      </c>
      <c r="C4173" s="67"/>
      <c r="D4173" s="68">
        <v>0</v>
      </c>
      <c r="E4173" s="110">
        <f t="shared" si="65"/>
        <v>37193</v>
      </c>
      <c r="F4173" s="69">
        <v>1.0677301640541807E-2</v>
      </c>
    </row>
    <row r="4174" spans="1:6" x14ac:dyDescent="0.3">
      <c r="A4174" s="24">
        <v>39052</v>
      </c>
      <c r="B4174" s="66">
        <v>567.36400000000003</v>
      </c>
      <c r="C4174" s="67"/>
      <c r="D4174" s="68">
        <v>0</v>
      </c>
      <c r="E4174" s="110">
        <f t="shared" si="65"/>
        <v>37193</v>
      </c>
      <c r="F4174" s="69">
        <v>1.0677301640541807E-2</v>
      </c>
    </row>
    <row r="4175" spans="1:6" x14ac:dyDescent="0.3">
      <c r="A4175" s="24">
        <v>39053</v>
      </c>
      <c r="B4175" s="66">
        <v>567.36400000000003</v>
      </c>
      <c r="C4175" s="67"/>
      <c r="D4175" s="68">
        <v>0</v>
      </c>
      <c r="E4175" s="110">
        <f t="shared" si="65"/>
        <v>37193</v>
      </c>
      <c r="F4175" s="69">
        <v>1.0677301640541807E-2</v>
      </c>
    </row>
    <row r="4176" spans="1:6" x14ac:dyDescent="0.3">
      <c r="A4176" s="24">
        <v>39054</v>
      </c>
      <c r="B4176" s="66">
        <v>567.36400000000003</v>
      </c>
      <c r="C4176" s="67"/>
      <c r="D4176" s="68">
        <v>0</v>
      </c>
      <c r="E4176" s="110">
        <f t="shared" si="65"/>
        <v>37193</v>
      </c>
      <c r="F4176" s="69">
        <v>1.0677301640541807E-2</v>
      </c>
    </row>
    <row r="4177" spans="1:6" x14ac:dyDescent="0.3">
      <c r="A4177" s="24">
        <v>39055</v>
      </c>
      <c r="B4177" s="66">
        <v>567.36400000000003</v>
      </c>
      <c r="C4177" s="67"/>
      <c r="D4177" s="68">
        <v>0</v>
      </c>
      <c r="E4177" s="110">
        <f t="shared" si="65"/>
        <v>37193</v>
      </c>
      <c r="F4177" s="69">
        <v>1.0677301640541807E-2</v>
      </c>
    </row>
    <row r="4178" spans="1:6" x14ac:dyDescent="0.3">
      <c r="A4178" s="24">
        <v>39056</v>
      </c>
      <c r="B4178" s="66">
        <v>567.36400000000003</v>
      </c>
      <c r="C4178" s="67"/>
      <c r="D4178" s="68">
        <v>0</v>
      </c>
      <c r="E4178" s="110">
        <f t="shared" ref="E4178:E4241" si="66">+E4177</f>
        <v>37193</v>
      </c>
      <c r="F4178" s="69">
        <v>1.0677301640541807E-2</v>
      </c>
    </row>
    <row r="4179" spans="1:6" x14ac:dyDescent="0.3">
      <c r="A4179" s="24">
        <v>39057</v>
      </c>
      <c r="B4179" s="66">
        <v>567.36400000000003</v>
      </c>
      <c r="C4179" s="67"/>
      <c r="D4179" s="68">
        <v>0</v>
      </c>
      <c r="E4179" s="110">
        <f t="shared" si="66"/>
        <v>37193</v>
      </c>
      <c r="F4179" s="69">
        <v>1.0677301640541807E-2</v>
      </c>
    </row>
    <row r="4180" spans="1:6" x14ac:dyDescent="0.3">
      <c r="A4180" s="24">
        <v>39058</v>
      </c>
      <c r="B4180" s="66">
        <v>567.36400000000003</v>
      </c>
      <c r="C4180" s="67"/>
      <c r="D4180" s="68">
        <v>0</v>
      </c>
      <c r="E4180" s="110">
        <f t="shared" si="66"/>
        <v>37193</v>
      </c>
      <c r="F4180" s="69">
        <v>1.0677301640541807E-2</v>
      </c>
    </row>
    <row r="4181" spans="1:6" x14ac:dyDescent="0.3">
      <c r="A4181" s="24">
        <v>39059</v>
      </c>
      <c r="B4181" s="66">
        <v>567.36400000000003</v>
      </c>
      <c r="C4181" s="67"/>
      <c r="D4181" s="68">
        <v>0</v>
      </c>
      <c r="E4181" s="110">
        <f t="shared" si="66"/>
        <v>37193</v>
      </c>
      <c r="F4181" s="69">
        <v>1.0677301640541807E-2</v>
      </c>
    </row>
    <row r="4182" spans="1:6" x14ac:dyDescent="0.3">
      <c r="A4182" s="24">
        <v>39060</v>
      </c>
      <c r="B4182" s="66">
        <v>567.36400000000003</v>
      </c>
      <c r="C4182" s="67"/>
      <c r="D4182" s="68">
        <v>0</v>
      </c>
      <c r="E4182" s="110">
        <f t="shared" si="66"/>
        <v>37193</v>
      </c>
      <c r="F4182" s="69">
        <v>1.0677301640541807E-2</v>
      </c>
    </row>
    <row r="4183" spans="1:6" x14ac:dyDescent="0.3">
      <c r="A4183" s="24">
        <v>39061</v>
      </c>
      <c r="B4183" s="66">
        <v>567.36400000000003</v>
      </c>
      <c r="C4183" s="67"/>
      <c r="D4183" s="68">
        <v>0</v>
      </c>
      <c r="E4183" s="110">
        <f t="shared" si="66"/>
        <v>37193</v>
      </c>
      <c r="F4183" s="69">
        <v>1.0677301640541807E-2</v>
      </c>
    </row>
    <row r="4184" spans="1:6" x14ac:dyDescent="0.3">
      <c r="A4184" s="24">
        <v>39062</v>
      </c>
      <c r="B4184" s="66">
        <v>567.36400000000003</v>
      </c>
      <c r="C4184" s="67"/>
      <c r="D4184" s="68">
        <v>0</v>
      </c>
      <c r="E4184" s="110">
        <f t="shared" si="66"/>
        <v>37193</v>
      </c>
      <c r="F4184" s="69">
        <v>1.0677301640541807E-2</v>
      </c>
    </row>
    <row r="4185" spans="1:6" x14ac:dyDescent="0.3">
      <c r="A4185" s="24">
        <v>39063</v>
      </c>
      <c r="B4185" s="66">
        <v>567.36400000000003</v>
      </c>
      <c r="C4185" s="67"/>
      <c r="D4185" s="68">
        <v>0</v>
      </c>
      <c r="E4185" s="110">
        <f t="shared" si="66"/>
        <v>37193</v>
      </c>
      <c r="F4185" s="69">
        <v>1.0677301640541807E-2</v>
      </c>
    </row>
    <row r="4186" spans="1:6" x14ac:dyDescent="0.3">
      <c r="A4186" s="24">
        <v>39064</v>
      </c>
      <c r="B4186" s="66">
        <v>567.36400000000003</v>
      </c>
      <c r="C4186" s="67"/>
      <c r="D4186" s="68">
        <v>0</v>
      </c>
      <c r="E4186" s="110">
        <f t="shared" si="66"/>
        <v>37193</v>
      </c>
      <c r="F4186" s="69">
        <v>1.0677301640541807E-2</v>
      </c>
    </row>
    <row r="4187" spans="1:6" x14ac:dyDescent="0.3">
      <c r="A4187" s="24">
        <v>39065</v>
      </c>
      <c r="B4187" s="66">
        <v>567.36400000000003</v>
      </c>
      <c r="C4187" s="67"/>
      <c r="D4187" s="68">
        <v>0</v>
      </c>
      <c r="E4187" s="110">
        <f t="shared" si="66"/>
        <v>37193</v>
      </c>
      <c r="F4187" s="69">
        <v>1.0677301640541807E-2</v>
      </c>
    </row>
    <row r="4188" spans="1:6" x14ac:dyDescent="0.3">
      <c r="A4188" s="24">
        <v>39066</v>
      </c>
      <c r="B4188" s="66">
        <v>567.36400000000003</v>
      </c>
      <c r="C4188" s="67"/>
      <c r="D4188" s="68">
        <v>0</v>
      </c>
      <c r="E4188" s="110">
        <f t="shared" si="66"/>
        <v>37193</v>
      </c>
      <c r="F4188" s="69">
        <v>1.0677301640541807E-2</v>
      </c>
    </row>
    <row r="4189" spans="1:6" x14ac:dyDescent="0.3">
      <c r="A4189" s="24">
        <v>39067</v>
      </c>
      <c r="B4189" s="66">
        <v>567.36400000000003</v>
      </c>
      <c r="C4189" s="67"/>
      <c r="D4189" s="68">
        <v>0</v>
      </c>
      <c r="E4189" s="110">
        <f t="shared" si="66"/>
        <v>37193</v>
      </c>
      <c r="F4189" s="69">
        <v>1.0677301640541807E-2</v>
      </c>
    </row>
    <row r="4190" spans="1:6" x14ac:dyDescent="0.3">
      <c r="A4190" s="24">
        <v>39068</v>
      </c>
      <c r="B4190" s="66">
        <v>567.36400000000003</v>
      </c>
      <c r="C4190" s="67"/>
      <c r="D4190" s="68">
        <v>0</v>
      </c>
      <c r="E4190" s="110">
        <f t="shared" si="66"/>
        <v>37193</v>
      </c>
      <c r="F4190" s="69">
        <v>1.0677301640541807E-2</v>
      </c>
    </row>
    <row r="4191" spans="1:6" x14ac:dyDescent="0.3">
      <c r="A4191" s="24">
        <v>39069</v>
      </c>
      <c r="B4191" s="66">
        <v>567.36400000000003</v>
      </c>
      <c r="C4191" s="67"/>
      <c r="D4191" s="68">
        <v>0</v>
      </c>
      <c r="E4191" s="110">
        <f t="shared" si="66"/>
        <v>37193</v>
      </c>
      <c r="F4191" s="69">
        <v>1.0677301640541807E-2</v>
      </c>
    </row>
    <row r="4192" spans="1:6" x14ac:dyDescent="0.3">
      <c r="A4192" s="24">
        <v>39070</v>
      </c>
      <c r="B4192" s="66">
        <v>567.36400000000003</v>
      </c>
      <c r="C4192" s="67"/>
      <c r="D4192" s="68">
        <v>0</v>
      </c>
      <c r="E4192" s="110">
        <f t="shared" si="66"/>
        <v>37193</v>
      </c>
      <c r="F4192" s="69">
        <v>1.0677301640541807E-2</v>
      </c>
    </row>
    <row r="4193" spans="1:6" x14ac:dyDescent="0.3">
      <c r="A4193" s="24">
        <v>39071</v>
      </c>
      <c r="B4193" s="66">
        <v>567.36400000000003</v>
      </c>
      <c r="C4193" s="67"/>
      <c r="D4193" s="68">
        <v>0</v>
      </c>
      <c r="E4193" s="110">
        <f t="shared" si="66"/>
        <v>37193</v>
      </c>
      <c r="F4193" s="69">
        <v>1.0677301640541807E-2</v>
      </c>
    </row>
    <row r="4194" spans="1:6" x14ac:dyDescent="0.3">
      <c r="A4194" s="24">
        <v>39072</v>
      </c>
      <c r="B4194" s="66">
        <v>567.36400000000003</v>
      </c>
      <c r="C4194" s="67"/>
      <c r="D4194" s="68">
        <v>0</v>
      </c>
      <c r="E4194" s="110">
        <f t="shared" si="66"/>
        <v>37193</v>
      </c>
      <c r="F4194" s="69">
        <v>1.0677301640541807E-2</v>
      </c>
    </row>
    <row r="4195" spans="1:6" x14ac:dyDescent="0.3">
      <c r="A4195" s="24">
        <v>39073</v>
      </c>
      <c r="B4195" s="66">
        <v>567.36400000000003</v>
      </c>
      <c r="C4195" s="67"/>
      <c r="D4195" s="68">
        <v>0</v>
      </c>
      <c r="E4195" s="110">
        <f t="shared" si="66"/>
        <v>37193</v>
      </c>
      <c r="F4195" s="69">
        <v>1.0677301640541807E-2</v>
      </c>
    </row>
    <row r="4196" spans="1:6" x14ac:dyDescent="0.3">
      <c r="A4196" s="24">
        <v>39074</v>
      </c>
      <c r="B4196" s="66">
        <v>567.36400000000003</v>
      </c>
      <c r="C4196" s="67"/>
      <c r="D4196" s="68">
        <v>0</v>
      </c>
      <c r="E4196" s="110">
        <f t="shared" si="66"/>
        <v>37193</v>
      </c>
      <c r="F4196" s="69">
        <v>1.0677301640541807E-2</v>
      </c>
    </row>
    <row r="4197" spans="1:6" x14ac:dyDescent="0.3">
      <c r="A4197" s="24">
        <v>39075</v>
      </c>
      <c r="B4197" s="66">
        <v>567.36400000000003</v>
      </c>
      <c r="C4197" s="67"/>
      <c r="D4197" s="68">
        <v>0</v>
      </c>
      <c r="E4197" s="110">
        <f t="shared" si="66"/>
        <v>37193</v>
      </c>
      <c r="F4197" s="69">
        <v>1.0677301640541807E-2</v>
      </c>
    </row>
    <row r="4198" spans="1:6" x14ac:dyDescent="0.3">
      <c r="A4198" s="24">
        <v>39076</v>
      </c>
      <c r="B4198" s="66">
        <v>567.36400000000003</v>
      </c>
      <c r="C4198" s="67"/>
      <c r="D4198" s="68">
        <v>0</v>
      </c>
      <c r="E4198" s="110">
        <f t="shared" si="66"/>
        <v>37193</v>
      </c>
      <c r="F4198" s="69">
        <v>1.0677301640541807E-2</v>
      </c>
    </row>
    <row r="4199" spans="1:6" x14ac:dyDescent="0.3">
      <c r="A4199" s="24">
        <v>39077</v>
      </c>
      <c r="B4199" s="66">
        <v>567.36400000000003</v>
      </c>
      <c r="C4199" s="67"/>
      <c r="D4199" s="68">
        <v>0</v>
      </c>
      <c r="E4199" s="110">
        <f t="shared" si="66"/>
        <v>37193</v>
      </c>
      <c r="F4199" s="69">
        <v>1.0677301640541807E-2</v>
      </c>
    </row>
    <row r="4200" spans="1:6" x14ac:dyDescent="0.3">
      <c r="A4200" s="24">
        <v>39078</v>
      </c>
      <c r="B4200" s="66">
        <v>567.36400000000003</v>
      </c>
      <c r="C4200" s="67"/>
      <c r="D4200" s="68">
        <v>0</v>
      </c>
      <c r="E4200" s="110">
        <f t="shared" si="66"/>
        <v>37193</v>
      </c>
      <c r="F4200" s="69">
        <v>1.0677301640541807E-2</v>
      </c>
    </row>
    <row r="4201" spans="1:6" x14ac:dyDescent="0.3">
      <c r="A4201" s="24">
        <v>39079</v>
      </c>
      <c r="B4201" s="66">
        <v>567.36400000000003</v>
      </c>
      <c r="C4201" s="67"/>
      <c r="D4201" s="68">
        <v>0</v>
      </c>
      <c r="E4201" s="110">
        <f t="shared" si="66"/>
        <v>37193</v>
      </c>
      <c r="F4201" s="69">
        <v>1.0677301640541807E-2</v>
      </c>
    </row>
    <row r="4202" spans="1:6" x14ac:dyDescent="0.3">
      <c r="A4202" s="24">
        <v>39080</v>
      </c>
      <c r="B4202" s="66">
        <v>567.36400000000003</v>
      </c>
      <c r="C4202" s="67"/>
      <c r="D4202" s="68">
        <v>0</v>
      </c>
      <c r="E4202" s="110">
        <f t="shared" si="66"/>
        <v>37193</v>
      </c>
      <c r="F4202" s="69">
        <v>1.0677301640541807E-2</v>
      </c>
    </row>
    <row r="4203" spans="1:6" x14ac:dyDescent="0.3">
      <c r="A4203" s="24">
        <v>39081</v>
      </c>
      <c r="B4203" s="66">
        <v>567.36400000000003</v>
      </c>
      <c r="C4203" s="67"/>
      <c r="D4203" s="68">
        <v>0</v>
      </c>
      <c r="E4203" s="110">
        <f t="shared" si="66"/>
        <v>37193</v>
      </c>
      <c r="F4203" s="69">
        <v>1.0411155251312027E-2</v>
      </c>
    </row>
    <row r="4204" spans="1:6" x14ac:dyDescent="0.3">
      <c r="A4204" s="24">
        <v>39082</v>
      </c>
      <c r="B4204" s="66">
        <v>569.55700000000002</v>
      </c>
      <c r="C4204" s="67"/>
      <c r="D4204" s="68">
        <v>0</v>
      </c>
      <c r="E4204" s="110">
        <f t="shared" si="66"/>
        <v>37193</v>
      </c>
      <c r="F4204" s="69">
        <v>1.0411155251312027E-2</v>
      </c>
    </row>
    <row r="4205" spans="1:6" x14ac:dyDescent="0.3">
      <c r="A4205" s="24">
        <v>39083</v>
      </c>
      <c r="B4205" s="66">
        <v>569.55700000000002</v>
      </c>
      <c r="C4205" s="67"/>
      <c r="D4205" s="68">
        <v>0</v>
      </c>
      <c r="E4205" s="110">
        <f t="shared" si="66"/>
        <v>37193</v>
      </c>
      <c r="F4205" s="69">
        <v>1.0411155251312027E-2</v>
      </c>
    </row>
    <row r="4206" spans="1:6" x14ac:dyDescent="0.3">
      <c r="A4206" s="24">
        <v>39084</v>
      </c>
      <c r="B4206" s="66">
        <v>569.55700000000002</v>
      </c>
      <c r="C4206" s="67"/>
      <c r="D4206" s="68">
        <v>0</v>
      </c>
      <c r="E4206" s="110">
        <f t="shared" si="66"/>
        <v>37193</v>
      </c>
      <c r="F4206" s="69">
        <v>1.0411155251312027E-2</v>
      </c>
    </row>
    <row r="4207" spans="1:6" x14ac:dyDescent="0.3">
      <c r="A4207" s="24">
        <v>39085</v>
      </c>
      <c r="B4207" s="66">
        <v>569.55700000000002</v>
      </c>
      <c r="C4207" s="67"/>
      <c r="D4207" s="68">
        <v>0</v>
      </c>
      <c r="E4207" s="110">
        <f t="shared" si="66"/>
        <v>37193</v>
      </c>
      <c r="F4207" s="69">
        <v>1.0411155251312027E-2</v>
      </c>
    </row>
    <row r="4208" spans="1:6" x14ac:dyDescent="0.3">
      <c r="A4208" s="24">
        <v>39086</v>
      </c>
      <c r="B4208" s="66">
        <v>569.55700000000002</v>
      </c>
      <c r="C4208" s="67"/>
      <c r="D4208" s="68">
        <v>0</v>
      </c>
      <c r="E4208" s="110">
        <f t="shared" si="66"/>
        <v>37193</v>
      </c>
      <c r="F4208" s="69">
        <v>1.0411155251312027E-2</v>
      </c>
    </row>
    <row r="4209" spans="1:6" x14ac:dyDescent="0.3">
      <c r="A4209" s="24">
        <v>39087</v>
      </c>
      <c r="B4209" s="66">
        <v>569.55700000000002</v>
      </c>
      <c r="C4209" s="67"/>
      <c r="D4209" s="68">
        <v>0</v>
      </c>
      <c r="E4209" s="110">
        <f t="shared" si="66"/>
        <v>37193</v>
      </c>
      <c r="F4209" s="69">
        <v>1.0411155251312027E-2</v>
      </c>
    </row>
    <row r="4210" spans="1:6" x14ac:dyDescent="0.3">
      <c r="A4210" s="24">
        <v>39088</v>
      </c>
      <c r="B4210" s="66">
        <v>569.55700000000002</v>
      </c>
      <c r="C4210" s="67"/>
      <c r="D4210" s="68">
        <v>0</v>
      </c>
      <c r="E4210" s="110">
        <f t="shared" si="66"/>
        <v>37193</v>
      </c>
      <c r="F4210" s="69">
        <v>1.0411155251312027E-2</v>
      </c>
    </row>
    <row r="4211" spans="1:6" x14ac:dyDescent="0.3">
      <c r="A4211" s="24">
        <v>39089</v>
      </c>
      <c r="B4211" s="66">
        <v>569.55700000000002</v>
      </c>
      <c r="C4211" s="67"/>
      <c r="D4211" s="68">
        <v>0</v>
      </c>
      <c r="E4211" s="110">
        <f t="shared" si="66"/>
        <v>37193</v>
      </c>
      <c r="F4211" s="69">
        <v>1.0411155251312027E-2</v>
      </c>
    </row>
    <row r="4212" spans="1:6" x14ac:dyDescent="0.3">
      <c r="A4212" s="24">
        <v>39090</v>
      </c>
      <c r="B4212" s="66">
        <v>569.55700000000002</v>
      </c>
      <c r="C4212" s="67"/>
      <c r="D4212" s="68">
        <v>0</v>
      </c>
      <c r="E4212" s="110">
        <f t="shared" si="66"/>
        <v>37193</v>
      </c>
      <c r="F4212" s="69">
        <v>1.0411155251312027E-2</v>
      </c>
    </row>
    <row r="4213" spans="1:6" x14ac:dyDescent="0.3">
      <c r="A4213" s="24">
        <v>39091</v>
      </c>
      <c r="B4213" s="66">
        <v>569.55700000000002</v>
      </c>
      <c r="C4213" s="67"/>
      <c r="D4213" s="68">
        <v>0</v>
      </c>
      <c r="E4213" s="110">
        <f t="shared" si="66"/>
        <v>37193</v>
      </c>
      <c r="F4213" s="69">
        <v>1.0411155251312027E-2</v>
      </c>
    </row>
    <row r="4214" spans="1:6" x14ac:dyDescent="0.3">
      <c r="A4214" s="24">
        <v>39092</v>
      </c>
      <c r="B4214" s="66">
        <v>569.55700000000002</v>
      </c>
      <c r="C4214" s="67"/>
      <c r="D4214" s="68">
        <v>0</v>
      </c>
      <c r="E4214" s="110">
        <f t="shared" si="66"/>
        <v>37193</v>
      </c>
      <c r="F4214" s="69">
        <v>1.0411155251312027E-2</v>
      </c>
    </row>
    <row r="4215" spans="1:6" x14ac:dyDescent="0.3">
      <c r="A4215" s="24">
        <v>39093</v>
      </c>
      <c r="B4215" s="66">
        <v>569.55700000000002</v>
      </c>
      <c r="C4215" s="67"/>
      <c r="D4215" s="68">
        <v>0</v>
      </c>
      <c r="E4215" s="110">
        <f t="shared" si="66"/>
        <v>37193</v>
      </c>
      <c r="F4215" s="69">
        <v>1.0411155251312027E-2</v>
      </c>
    </row>
    <row r="4216" spans="1:6" x14ac:dyDescent="0.3">
      <c r="A4216" s="24">
        <v>39094</v>
      </c>
      <c r="B4216" s="66">
        <v>569.55700000000002</v>
      </c>
      <c r="C4216" s="67"/>
      <c r="D4216" s="68">
        <v>0</v>
      </c>
      <c r="E4216" s="110">
        <f t="shared" si="66"/>
        <v>37193</v>
      </c>
      <c r="F4216" s="69">
        <v>1.0411155251312027E-2</v>
      </c>
    </row>
    <row r="4217" spans="1:6" x14ac:dyDescent="0.3">
      <c r="A4217" s="24">
        <v>39095</v>
      </c>
      <c r="B4217" s="66">
        <v>569.55700000000002</v>
      </c>
      <c r="C4217" s="67"/>
      <c r="D4217" s="68">
        <v>0</v>
      </c>
      <c r="E4217" s="110">
        <f t="shared" si="66"/>
        <v>37193</v>
      </c>
      <c r="F4217" s="69">
        <v>1.0411155251312027E-2</v>
      </c>
    </row>
    <row r="4218" spans="1:6" x14ac:dyDescent="0.3">
      <c r="A4218" s="24">
        <v>39096</v>
      </c>
      <c r="B4218" s="66">
        <v>569.55700000000002</v>
      </c>
      <c r="C4218" s="67"/>
      <c r="D4218" s="68">
        <v>0</v>
      </c>
      <c r="E4218" s="110">
        <f t="shared" si="66"/>
        <v>37193</v>
      </c>
      <c r="F4218" s="69">
        <v>1.0411155251312027E-2</v>
      </c>
    </row>
    <row r="4219" spans="1:6" x14ac:dyDescent="0.3">
      <c r="A4219" s="24">
        <v>39097</v>
      </c>
      <c r="B4219" s="66">
        <v>569.55700000000002</v>
      </c>
      <c r="C4219" s="67"/>
      <c r="D4219" s="68">
        <v>0</v>
      </c>
      <c r="E4219" s="110">
        <f t="shared" si="66"/>
        <v>37193</v>
      </c>
      <c r="F4219" s="69">
        <v>1.0411155251312027E-2</v>
      </c>
    </row>
    <row r="4220" spans="1:6" x14ac:dyDescent="0.3">
      <c r="A4220" s="24">
        <v>39098</v>
      </c>
      <c r="B4220" s="66">
        <v>569.55700000000002</v>
      </c>
      <c r="C4220" s="67"/>
      <c r="D4220" s="68">
        <v>0</v>
      </c>
      <c r="E4220" s="110">
        <f t="shared" si="66"/>
        <v>37193</v>
      </c>
      <c r="F4220" s="69">
        <v>1.0411155251312027E-2</v>
      </c>
    </row>
    <row r="4221" spans="1:6" x14ac:dyDescent="0.3">
      <c r="A4221" s="24">
        <v>39099</v>
      </c>
      <c r="B4221" s="66">
        <v>569.55700000000002</v>
      </c>
      <c r="C4221" s="67"/>
      <c r="D4221" s="68">
        <v>0</v>
      </c>
      <c r="E4221" s="110">
        <f t="shared" si="66"/>
        <v>37193</v>
      </c>
      <c r="F4221" s="69">
        <v>1.0411155251312027E-2</v>
      </c>
    </row>
    <row r="4222" spans="1:6" x14ac:dyDescent="0.3">
      <c r="A4222" s="24">
        <v>39100</v>
      </c>
      <c r="B4222" s="66">
        <v>569.55700000000002</v>
      </c>
      <c r="C4222" s="67"/>
      <c r="D4222" s="68">
        <v>0</v>
      </c>
      <c r="E4222" s="110">
        <f t="shared" si="66"/>
        <v>37193</v>
      </c>
      <c r="F4222" s="69">
        <v>1.0411155251312027E-2</v>
      </c>
    </row>
    <row r="4223" spans="1:6" x14ac:dyDescent="0.3">
      <c r="A4223" s="24">
        <v>39101</v>
      </c>
      <c r="B4223" s="66">
        <v>569.55700000000002</v>
      </c>
      <c r="C4223" s="67"/>
      <c r="D4223" s="68">
        <v>0</v>
      </c>
      <c r="E4223" s="110">
        <f t="shared" si="66"/>
        <v>37193</v>
      </c>
      <c r="F4223" s="69">
        <v>1.0411155251312027E-2</v>
      </c>
    </row>
    <row r="4224" spans="1:6" x14ac:dyDescent="0.3">
      <c r="A4224" s="24">
        <v>39102</v>
      </c>
      <c r="B4224" s="66">
        <v>569.55700000000002</v>
      </c>
      <c r="C4224" s="67"/>
      <c r="D4224" s="68">
        <v>0</v>
      </c>
      <c r="E4224" s="110">
        <f t="shared" si="66"/>
        <v>37193</v>
      </c>
      <c r="F4224" s="69">
        <v>1.0411155251312027E-2</v>
      </c>
    </row>
    <row r="4225" spans="1:6" x14ac:dyDescent="0.3">
      <c r="A4225" s="24">
        <v>39103</v>
      </c>
      <c r="B4225" s="66">
        <v>569.55700000000002</v>
      </c>
      <c r="C4225" s="67"/>
      <c r="D4225" s="68">
        <v>0</v>
      </c>
      <c r="E4225" s="110">
        <f t="shared" si="66"/>
        <v>37193</v>
      </c>
      <c r="F4225" s="69">
        <v>1.0411155251312027E-2</v>
      </c>
    </row>
    <row r="4226" spans="1:6" x14ac:dyDescent="0.3">
      <c r="A4226" s="24">
        <v>39104</v>
      </c>
      <c r="B4226" s="66">
        <v>569.55700000000002</v>
      </c>
      <c r="C4226" s="67"/>
      <c r="D4226" s="68">
        <v>0</v>
      </c>
      <c r="E4226" s="110">
        <f t="shared" si="66"/>
        <v>37193</v>
      </c>
      <c r="F4226" s="69">
        <v>1.0411155251312027E-2</v>
      </c>
    </row>
    <row r="4227" spans="1:6" x14ac:dyDescent="0.3">
      <c r="A4227" s="24">
        <v>39105</v>
      </c>
      <c r="B4227" s="66">
        <v>569.55700000000002</v>
      </c>
      <c r="C4227" s="67"/>
      <c r="D4227" s="68">
        <v>0</v>
      </c>
      <c r="E4227" s="110">
        <f t="shared" si="66"/>
        <v>37193</v>
      </c>
      <c r="F4227" s="69">
        <v>1.0411155251312027E-2</v>
      </c>
    </row>
    <row r="4228" spans="1:6" x14ac:dyDescent="0.3">
      <c r="A4228" s="24">
        <v>39106</v>
      </c>
      <c r="B4228" s="66">
        <v>569.55700000000002</v>
      </c>
      <c r="C4228" s="67"/>
      <c r="D4228" s="68">
        <v>0</v>
      </c>
      <c r="E4228" s="110">
        <f t="shared" si="66"/>
        <v>37193</v>
      </c>
      <c r="F4228" s="69">
        <v>1.0411155251312027E-2</v>
      </c>
    </row>
    <row r="4229" spans="1:6" x14ac:dyDescent="0.3">
      <c r="A4229" s="24">
        <v>39107</v>
      </c>
      <c r="B4229" s="66">
        <v>569.55700000000002</v>
      </c>
      <c r="C4229" s="67"/>
      <c r="D4229" s="68">
        <v>0</v>
      </c>
      <c r="E4229" s="110">
        <f t="shared" si="66"/>
        <v>37193</v>
      </c>
      <c r="F4229" s="69">
        <v>1.0411155251312027E-2</v>
      </c>
    </row>
    <row r="4230" spans="1:6" x14ac:dyDescent="0.3">
      <c r="A4230" s="24">
        <v>39108</v>
      </c>
      <c r="B4230" s="66">
        <v>569.55700000000002</v>
      </c>
      <c r="C4230" s="67"/>
      <c r="D4230" s="68">
        <v>0</v>
      </c>
      <c r="E4230" s="110">
        <f t="shared" si="66"/>
        <v>37193</v>
      </c>
      <c r="F4230" s="69">
        <v>1.0411155251312027E-2</v>
      </c>
    </row>
    <row r="4231" spans="1:6" x14ac:dyDescent="0.3">
      <c r="A4231" s="24">
        <v>39109</v>
      </c>
      <c r="B4231" s="66">
        <v>569.55700000000002</v>
      </c>
      <c r="C4231" s="67"/>
      <c r="D4231" s="68">
        <v>0</v>
      </c>
      <c r="E4231" s="110">
        <f t="shared" si="66"/>
        <v>37193</v>
      </c>
      <c r="F4231" s="69">
        <v>1.0411155251312027E-2</v>
      </c>
    </row>
    <row r="4232" spans="1:6" x14ac:dyDescent="0.3">
      <c r="A4232" s="24">
        <v>39110</v>
      </c>
      <c r="B4232" s="66">
        <v>569.55700000000002</v>
      </c>
      <c r="C4232" s="67"/>
      <c r="D4232" s="68">
        <v>0</v>
      </c>
      <c r="E4232" s="110">
        <f t="shared" si="66"/>
        <v>37193</v>
      </c>
      <c r="F4232" s="69">
        <v>1.0411155251312027E-2</v>
      </c>
    </row>
    <row r="4233" spans="1:6" x14ac:dyDescent="0.3">
      <c r="A4233" s="24">
        <v>39111</v>
      </c>
      <c r="B4233" s="66">
        <v>569.55700000000002</v>
      </c>
      <c r="C4233" s="67"/>
      <c r="D4233" s="68">
        <v>0</v>
      </c>
      <c r="E4233" s="110">
        <f t="shared" si="66"/>
        <v>37193</v>
      </c>
      <c r="F4233" s="69">
        <v>1.0411155251312027E-2</v>
      </c>
    </row>
    <row r="4234" spans="1:6" x14ac:dyDescent="0.3">
      <c r="A4234" s="24">
        <v>39112</v>
      </c>
      <c r="B4234" s="66">
        <v>569.55700000000002</v>
      </c>
      <c r="C4234" s="67"/>
      <c r="D4234" s="68">
        <v>0</v>
      </c>
      <c r="E4234" s="110">
        <f t="shared" si="66"/>
        <v>37193</v>
      </c>
      <c r="F4234" s="69">
        <v>1.0411155251312027E-2</v>
      </c>
    </row>
    <row r="4235" spans="1:6" x14ac:dyDescent="0.3">
      <c r="A4235" s="24">
        <v>39113</v>
      </c>
      <c r="B4235" s="66">
        <v>569.55700000000002</v>
      </c>
      <c r="C4235" s="67"/>
      <c r="D4235" s="68">
        <v>0</v>
      </c>
      <c r="E4235" s="110">
        <f t="shared" si="66"/>
        <v>37193</v>
      </c>
      <c r="F4235" s="69">
        <v>1.0411155251312027E-2</v>
      </c>
    </row>
    <row r="4236" spans="1:6" x14ac:dyDescent="0.3">
      <c r="A4236" s="24">
        <v>39114</v>
      </c>
      <c r="B4236" s="66">
        <v>569.55700000000002</v>
      </c>
      <c r="C4236" s="67"/>
      <c r="D4236" s="68">
        <v>0</v>
      </c>
      <c r="E4236" s="110">
        <f t="shared" si="66"/>
        <v>37193</v>
      </c>
      <c r="F4236" s="69">
        <v>1.0411155251312027E-2</v>
      </c>
    </row>
    <row r="4237" spans="1:6" x14ac:dyDescent="0.3">
      <c r="A4237" s="24">
        <v>39115</v>
      </c>
      <c r="B4237" s="66">
        <v>569.55700000000002</v>
      </c>
      <c r="C4237" s="67"/>
      <c r="D4237" s="68">
        <v>0</v>
      </c>
      <c r="E4237" s="110">
        <f t="shared" si="66"/>
        <v>37193</v>
      </c>
      <c r="F4237" s="69">
        <v>1.0411155251312027E-2</v>
      </c>
    </row>
    <row r="4238" spans="1:6" x14ac:dyDescent="0.3">
      <c r="A4238" s="24">
        <v>39116</v>
      </c>
      <c r="B4238" s="66">
        <v>569.55700000000002</v>
      </c>
      <c r="C4238" s="67"/>
      <c r="D4238" s="68">
        <v>0</v>
      </c>
      <c r="E4238" s="110">
        <f t="shared" si="66"/>
        <v>37193</v>
      </c>
      <c r="F4238" s="69">
        <v>1.0411155251312027E-2</v>
      </c>
    </row>
    <row r="4239" spans="1:6" x14ac:dyDescent="0.3">
      <c r="A4239" s="24">
        <v>39117</v>
      </c>
      <c r="B4239" s="66">
        <v>569.55700000000002</v>
      </c>
      <c r="C4239" s="67"/>
      <c r="D4239" s="68">
        <v>0</v>
      </c>
      <c r="E4239" s="110">
        <f t="shared" si="66"/>
        <v>37193</v>
      </c>
      <c r="F4239" s="69">
        <v>1.0411155251312027E-2</v>
      </c>
    </row>
    <row r="4240" spans="1:6" x14ac:dyDescent="0.3">
      <c r="A4240" s="24">
        <v>39118</v>
      </c>
      <c r="B4240" s="66">
        <v>569.55700000000002</v>
      </c>
      <c r="C4240" s="67"/>
      <c r="D4240" s="68">
        <v>0</v>
      </c>
      <c r="E4240" s="110">
        <f t="shared" si="66"/>
        <v>37193</v>
      </c>
      <c r="F4240" s="69">
        <v>1.0411155251312027E-2</v>
      </c>
    </row>
    <row r="4241" spans="1:6" x14ac:dyDescent="0.3">
      <c r="A4241" s="24">
        <v>39119</v>
      </c>
      <c r="B4241" s="66">
        <v>569.55700000000002</v>
      </c>
      <c r="C4241" s="67"/>
      <c r="D4241" s="68">
        <v>0</v>
      </c>
      <c r="E4241" s="110">
        <f t="shared" si="66"/>
        <v>37193</v>
      </c>
      <c r="F4241" s="69">
        <v>1.0411155251312027E-2</v>
      </c>
    </row>
    <row r="4242" spans="1:6" x14ac:dyDescent="0.3">
      <c r="A4242" s="24">
        <v>39120</v>
      </c>
      <c r="B4242" s="66">
        <v>569.55700000000002</v>
      </c>
      <c r="C4242" s="67"/>
      <c r="D4242" s="68">
        <v>0</v>
      </c>
      <c r="E4242" s="110">
        <f t="shared" ref="E4242:E4305" si="67">+E4241</f>
        <v>37193</v>
      </c>
      <c r="F4242" s="69">
        <v>1.0411155251312027E-2</v>
      </c>
    </row>
    <row r="4243" spans="1:6" x14ac:dyDescent="0.3">
      <c r="A4243" s="24">
        <v>39121</v>
      </c>
      <c r="B4243" s="66">
        <v>569.55700000000002</v>
      </c>
      <c r="C4243" s="67"/>
      <c r="D4243" s="68">
        <v>0</v>
      </c>
      <c r="E4243" s="110">
        <f t="shared" si="67"/>
        <v>37193</v>
      </c>
      <c r="F4243" s="69">
        <v>1.0411155251312027E-2</v>
      </c>
    </row>
    <row r="4244" spans="1:6" x14ac:dyDescent="0.3">
      <c r="A4244" s="24">
        <v>39122</v>
      </c>
      <c r="B4244" s="66">
        <v>569.55700000000002</v>
      </c>
      <c r="C4244" s="67"/>
      <c r="D4244" s="68">
        <v>0</v>
      </c>
      <c r="E4244" s="110">
        <f t="shared" si="67"/>
        <v>37193</v>
      </c>
      <c r="F4244" s="69">
        <v>1.0411155251312027E-2</v>
      </c>
    </row>
    <row r="4245" spans="1:6" x14ac:dyDescent="0.3">
      <c r="A4245" s="24">
        <v>39123</v>
      </c>
      <c r="B4245" s="66">
        <v>569.55700000000002</v>
      </c>
      <c r="C4245" s="67"/>
      <c r="D4245" s="68">
        <v>0</v>
      </c>
      <c r="E4245" s="110">
        <f t="shared" si="67"/>
        <v>37193</v>
      </c>
      <c r="F4245" s="69">
        <v>1.0411155251312027E-2</v>
      </c>
    </row>
    <row r="4246" spans="1:6" x14ac:dyDescent="0.3">
      <c r="A4246" s="24">
        <v>39124</v>
      </c>
      <c r="B4246" s="66">
        <v>569.55700000000002</v>
      </c>
      <c r="C4246" s="67"/>
      <c r="D4246" s="68">
        <v>0</v>
      </c>
      <c r="E4246" s="110">
        <f t="shared" si="67"/>
        <v>37193</v>
      </c>
      <c r="F4246" s="69">
        <v>1.0411155251312027E-2</v>
      </c>
    </row>
    <row r="4247" spans="1:6" x14ac:dyDescent="0.3">
      <c r="A4247" s="24">
        <v>39125</v>
      </c>
      <c r="B4247" s="66">
        <v>569.55700000000002</v>
      </c>
      <c r="C4247" s="67"/>
      <c r="D4247" s="68">
        <v>0</v>
      </c>
      <c r="E4247" s="110">
        <f t="shared" si="67"/>
        <v>37193</v>
      </c>
      <c r="F4247" s="69">
        <v>1.0411155251312027E-2</v>
      </c>
    </row>
    <row r="4248" spans="1:6" x14ac:dyDescent="0.3">
      <c r="A4248" s="24">
        <v>39126</v>
      </c>
      <c r="B4248" s="66">
        <v>569.55700000000002</v>
      </c>
      <c r="C4248" s="67"/>
      <c r="D4248" s="68">
        <v>0</v>
      </c>
      <c r="E4248" s="110">
        <f t="shared" si="67"/>
        <v>37193</v>
      </c>
      <c r="F4248" s="69">
        <v>1.0411155251312027E-2</v>
      </c>
    </row>
    <row r="4249" spans="1:6" x14ac:dyDescent="0.3">
      <c r="A4249" s="24">
        <v>39127</v>
      </c>
      <c r="B4249" s="66">
        <v>569.55700000000002</v>
      </c>
      <c r="C4249" s="67"/>
      <c r="D4249" s="68">
        <v>0</v>
      </c>
      <c r="E4249" s="110">
        <f t="shared" si="67"/>
        <v>37193</v>
      </c>
      <c r="F4249" s="69">
        <v>1.0411155251312027E-2</v>
      </c>
    </row>
    <row r="4250" spans="1:6" x14ac:dyDescent="0.3">
      <c r="A4250" s="24">
        <v>39128</v>
      </c>
      <c r="B4250" s="66">
        <v>569.55700000000002</v>
      </c>
      <c r="C4250" s="67"/>
      <c r="D4250" s="68">
        <v>0</v>
      </c>
      <c r="E4250" s="110">
        <f t="shared" si="67"/>
        <v>37193</v>
      </c>
      <c r="F4250" s="69">
        <v>1.0411155251312027E-2</v>
      </c>
    </row>
    <row r="4251" spans="1:6" x14ac:dyDescent="0.3">
      <c r="A4251" s="24">
        <v>39129</v>
      </c>
      <c r="B4251" s="66">
        <v>569.55700000000002</v>
      </c>
      <c r="C4251" s="67"/>
      <c r="D4251" s="68">
        <v>0</v>
      </c>
      <c r="E4251" s="110">
        <f t="shared" si="67"/>
        <v>37193</v>
      </c>
      <c r="F4251" s="69">
        <v>1.0411155251312027E-2</v>
      </c>
    </row>
    <row r="4252" spans="1:6" x14ac:dyDescent="0.3">
      <c r="A4252" s="24">
        <v>39130</v>
      </c>
      <c r="B4252" s="66">
        <v>569.55700000000002</v>
      </c>
      <c r="C4252" s="67"/>
      <c r="D4252" s="68">
        <v>0</v>
      </c>
      <c r="E4252" s="110">
        <f t="shared" si="67"/>
        <v>37193</v>
      </c>
      <c r="F4252" s="69">
        <v>1.0411155251312027E-2</v>
      </c>
    </row>
    <row r="4253" spans="1:6" x14ac:dyDescent="0.3">
      <c r="A4253" s="24">
        <v>39131</v>
      </c>
      <c r="B4253" s="66">
        <v>569.55700000000002</v>
      </c>
      <c r="C4253" s="67"/>
      <c r="D4253" s="68">
        <v>0</v>
      </c>
      <c r="E4253" s="110">
        <f t="shared" si="67"/>
        <v>37193</v>
      </c>
      <c r="F4253" s="69">
        <v>1.0411155251312027E-2</v>
      </c>
    </row>
    <row r="4254" spans="1:6" x14ac:dyDescent="0.3">
      <c r="A4254" s="24">
        <v>39132</v>
      </c>
      <c r="B4254" s="66">
        <v>569.55700000000002</v>
      </c>
      <c r="C4254" s="67"/>
      <c r="D4254" s="68">
        <v>0</v>
      </c>
      <c r="E4254" s="110">
        <f t="shared" si="67"/>
        <v>37193</v>
      </c>
      <c r="F4254" s="69">
        <v>1.0411155251312027E-2</v>
      </c>
    </row>
    <row r="4255" spans="1:6" x14ac:dyDescent="0.3">
      <c r="A4255" s="24">
        <v>39133</v>
      </c>
      <c r="B4255" s="66">
        <v>569.55700000000002</v>
      </c>
      <c r="C4255" s="67"/>
      <c r="D4255" s="68">
        <v>0</v>
      </c>
      <c r="E4255" s="110">
        <f t="shared" si="67"/>
        <v>37193</v>
      </c>
      <c r="F4255" s="69">
        <v>1.0411155251312027E-2</v>
      </c>
    </row>
    <row r="4256" spans="1:6" x14ac:dyDescent="0.3">
      <c r="A4256" s="24">
        <v>39134</v>
      </c>
      <c r="B4256" s="66">
        <v>569.55700000000002</v>
      </c>
      <c r="C4256" s="67"/>
      <c r="D4256" s="68">
        <v>0</v>
      </c>
      <c r="E4256" s="110">
        <f t="shared" si="67"/>
        <v>37193</v>
      </c>
      <c r="F4256" s="69">
        <v>1.0411155251312027E-2</v>
      </c>
    </row>
    <row r="4257" spans="1:6" x14ac:dyDescent="0.3">
      <c r="A4257" s="24">
        <v>39135</v>
      </c>
      <c r="B4257" s="66">
        <v>569.55700000000002</v>
      </c>
      <c r="C4257" s="67"/>
      <c r="D4257" s="68">
        <v>0</v>
      </c>
      <c r="E4257" s="110">
        <f t="shared" si="67"/>
        <v>37193</v>
      </c>
      <c r="F4257" s="69">
        <v>1.0411155251312027E-2</v>
      </c>
    </row>
    <row r="4258" spans="1:6" x14ac:dyDescent="0.3">
      <c r="A4258" s="24">
        <v>39136</v>
      </c>
      <c r="B4258" s="66">
        <v>569.55700000000002</v>
      </c>
      <c r="C4258" s="67"/>
      <c r="D4258" s="68">
        <v>0</v>
      </c>
      <c r="E4258" s="110">
        <f t="shared" si="67"/>
        <v>37193</v>
      </c>
      <c r="F4258" s="69">
        <v>1.0411155251312027E-2</v>
      </c>
    </row>
    <row r="4259" spans="1:6" x14ac:dyDescent="0.3">
      <c r="A4259" s="24">
        <v>39137</v>
      </c>
      <c r="B4259" s="66">
        <v>569.55700000000002</v>
      </c>
      <c r="C4259" s="67"/>
      <c r="D4259" s="68">
        <v>0</v>
      </c>
      <c r="E4259" s="110">
        <f t="shared" si="67"/>
        <v>37193</v>
      </c>
      <c r="F4259" s="69">
        <v>1.0411155251312027E-2</v>
      </c>
    </row>
    <row r="4260" spans="1:6" x14ac:dyDescent="0.3">
      <c r="A4260" s="24">
        <v>39138</v>
      </c>
      <c r="B4260" s="66">
        <v>569.55700000000002</v>
      </c>
      <c r="C4260" s="67"/>
      <c r="D4260" s="68">
        <v>0</v>
      </c>
      <c r="E4260" s="110">
        <f t="shared" si="67"/>
        <v>37193</v>
      </c>
      <c r="F4260" s="69">
        <v>1.0411155251312027E-2</v>
      </c>
    </row>
    <row r="4261" spans="1:6" x14ac:dyDescent="0.3">
      <c r="A4261" s="24">
        <v>39139</v>
      </c>
      <c r="B4261" s="66">
        <v>569.55700000000002</v>
      </c>
      <c r="C4261" s="67"/>
      <c r="D4261" s="68">
        <v>0</v>
      </c>
      <c r="E4261" s="110">
        <f t="shared" si="67"/>
        <v>37193</v>
      </c>
      <c r="F4261" s="69">
        <v>1.0411155251312027E-2</v>
      </c>
    </row>
    <row r="4262" spans="1:6" x14ac:dyDescent="0.3">
      <c r="A4262" s="24">
        <v>39140</v>
      </c>
      <c r="B4262" s="66">
        <v>569.55700000000002</v>
      </c>
      <c r="C4262" s="67"/>
      <c r="D4262" s="68">
        <v>0</v>
      </c>
      <c r="E4262" s="110">
        <f t="shared" si="67"/>
        <v>37193</v>
      </c>
      <c r="F4262" s="69">
        <v>1.0411155251312027E-2</v>
      </c>
    </row>
    <row r="4263" spans="1:6" x14ac:dyDescent="0.3">
      <c r="A4263" s="24">
        <v>39141</v>
      </c>
      <c r="B4263" s="66">
        <v>569.55700000000002</v>
      </c>
      <c r="C4263" s="67"/>
      <c r="D4263" s="68">
        <v>0</v>
      </c>
      <c r="E4263" s="110">
        <f t="shared" si="67"/>
        <v>37193</v>
      </c>
      <c r="F4263" s="69">
        <v>1.0411155251312027E-2</v>
      </c>
    </row>
    <row r="4264" spans="1:6" x14ac:dyDescent="0.3">
      <c r="A4264" s="24">
        <v>39142</v>
      </c>
      <c r="B4264" s="66">
        <v>569.55700000000002</v>
      </c>
      <c r="C4264" s="67"/>
      <c r="D4264" s="68">
        <v>0</v>
      </c>
      <c r="E4264" s="110">
        <f t="shared" si="67"/>
        <v>37193</v>
      </c>
      <c r="F4264" s="69">
        <v>1.0411155251312027E-2</v>
      </c>
    </row>
    <row r="4265" spans="1:6" x14ac:dyDescent="0.3">
      <c r="A4265" s="24">
        <v>39143</v>
      </c>
      <c r="B4265" s="66">
        <v>569.55700000000002</v>
      </c>
      <c r="C4265" s="67"/>
      <c r="D4265" s="68">
        <v>0</v>
      </c>
      <c r="E4265" s="110">
        <f t="shared" si="67"/>
        <v>37193</v>
      </c>
      <c r="F4265" s="69">
        <v>1.0411155251312027E-2</v>
      </c>
    </row>
    <row r="4266" spans="1:6" x14ac:dyDescent="0.3">
      <c r="A4266" s="24">
        <v>39144</v>
      </c>
      <c r="B4266" s="66">
        <v>569.55700000000002</v>
      </c>
      <c r="C4266" s="67"/>
      <c r="D4266" s="68">
        <v>0</v>
      </c>
      <c r="E4266" s="110">
        <f t="shared" si="67"/>
        <v>37193</v>
      </c>
      <c r="F4266" s="69">
        <v>1.0411155251312027E-2</v>
      </c>
    </row>
    <row r="4267" spans="1:6" x14ac:dyDescent="0.3">
      <c r="A4267" s="24">
        <v>39145</v>
      </c>
      <c r="B4267" s="66">
        <v>569.55700000000002</v>
      </c>
      <c r="C4267" s="67"/>
      <c r="D4267" s="68">
        <v>0</v>
      </c>
      <c r="E4267" s="110">
        <f t="shared" si="67"/>
        <v>37193</v>
      </c>
      <c r="F4267" s="69">
        <v>1.0411155251312027E-2</v>
      </c>
    </row>
    <row r="4268" spans="1:6" x14ac:dyDescent="0.3">
      <c r="A4268" s="24">
        <v>39146</v>
      </c>
      <c r="B4268" s="66">
        <v>569.55700000000002</v>
      </c>
      <c r="C4268" s="67"/>
      <c r="D4268" s="68">
        <v>0</v>
      </c>
      <c r="E4268" s="110">
        <f t="shared" si="67"/>
        <v>37193</v>
      </c>
      <c r="F4268" s="69">
        <v>1.0411155251312027E-2</v>
      </c>
    </row>
    <row r="4269" spans="1:6" x14ac:dyDescent="0.3">
      <c r="A4269" s="24">
        <v>39147</v>
      </c>
      <c r="B4269" s="66">
        <v>569.55700000000002</v>
      </c>
      <c r="C4269" s="67"/>
      <c r="D4269" s="68">
        <v>0</v>
      </c>
      <c r="E4269" s="110">
        <f t="shared" si="67"/>
        <v>37193</v>
      </c>
      <c r="F4269" s="69">
        <v>1.0411155251312027E-2</v>
      </c>
    </row>
    <row r="4270" spans="1:6" x14ac:dyDescent="0.3">
      <c r="A4270" s="24">
        <v>39148</v>
      </c>
      <c r="B4270" s="66">
        <v>569.55700000000002</v>
      </c>
      <c r="C4270" s="67"/>
      <c r="D4270" s="68">
        <v>0</v>
      </c>
      <c r="E4270" s="110">
        <f t="shared" si="67"/>
        <v>37193</v>
      </c>
      <c r="F4270" s="69">
        <v>1.0411155251312027E-2</v>
      </c>
    </row>
    <row r="4271" spans="1:6" x14ac:dyDescent="0.3">
      <c r="A4271" s="24">
        <v>39149</v>
      </c>
      <c r="B4271" s="66">
        <v>569.55700000000002</v>
      </c>
      <c r="C4271" s="67"/>
      <c r="D4271" s="68">
        <v>0</v>
      </c>
      <c r="E4271" s="110">
        <f t="shared" si="67"/>
        <v>37193</v>
      </c>
      <c r="F4271" s="69">
        <v>1.0411155251312027E-2</v>
      </c>
    </row>
    <row r="4272" spans="1:6" x14ac:dyDescent="0.3">
      <c r="A4272" s="24">
        <v>39150</v>
      </c>
      <c r="B4272" s="66">
        <v>569.55700000000002</v>
      </c>
      <c r="C4272" s="67"/>
      <c r="D4272" s="68">
        <v>0</v>
      </c>
      <c r="E4272" s="110">
        <f t="shared" si="67"/>
        <v>37193</v>
      </c>
      <c r="F4272" s="69">
        <v>1.0411155251312027E-2</v>
      </c>
    </row>
    <row r="4273" spans="1:6" x14ac:dyDescent="0.3">
      <c r="A4273" s="24">
        <v>39151</v>
      </c>
      <c r="B4273" s="66">
        <v>569.55700000000002</v>
      </c>
      <c r="C4273" s="67"/>
      <c r="D4273" s="68">
        <v>0</v>
      </c>
      <c r="E4273" s="110">
        <f t="shared" si="67"/>
        <v>37193</v>
      </c>
      <c r="F4273" s="69">
        <v>1.0411155251312027E-2</v>
      </c>
    </row>
    <row r="4274" spans="1:6" x14ac:dyDescent="0.3">
      <c r="A4274" s="24">
        <v>39152</v>
      </c>
      <c r="B4274" s="66">
        <v>569.55700000000002</v>
      </c>
      <c r="C4274" s="67"/>
      <c r="D4274" s="68">
        <v>0</v>
      </c>
      <c r="E4274" s="110">
        <f t="shared" si="67"/>
        <v>37193</v>
      </c>
      <c r="F4274" s="69">
        <v>1.0411155251312027E-2</v>
      </c>
    </row>
    <row r="4275" spans="1:6" x14ac:dyDescent="0.3">
      <c r="A4275" s="24">
        <v>39153</v>
      </c>
      <c r="B4275" s="66">
        <v>569.55700000000002</v>
      </c>
      <c r="C4275" s="67"/>
      <c r="D4275" s="68">
        <v>0</v>
      </c>
      <c r="E4275" s="110">
        <f t="shared" si="67"/>
        <v>37193</v>
      </c>
      <c r="F4275" s="69">
        <v>1.0411155251312027E-2</v>
      </c>
    </row>
    <row r="4276" spans="1:6" x14ac:dyDescent="0.3">
      <c r="A4276" s="24">
        <v>39154</v>
      </c>
      <c r="B4276" s="66">
        <v>569.55700000000002</v>
      </c>
      <c r="C4276" s="67"/>
      <c r="D4276" s="68">
        <v>0</v>
      </c>
      <c r="E4276" s="110">
        <f t="shared" si="67"/>
        <v>37193</v>
      </c>
      <c r="F4276" s="69">
        <v>1.0411155251312027E-2</v>
      </c>
    </row>
    <row r="4277" spans="1:6" x14ac:dyDescent="0.3">
      <c r="A4277" s="24">
        <v>39155</v>
      </c>
      <c r="B4277" s="66">
        <v>569.55700000000002</v>
      </c>
      <c r="C4277" s="67"/>
      <c r="D4277" s="68">
        <v>0</v>
      </c>
      <c r="E4277" s="110">
        <f t="shared" si="67"/>
        <v>37193</v>
      </c>
      <c r="F4277" s="69">
        <v>1.0411155251312027E-2</v>
      </c>
    </row>
    <row r="4278" spans="1:6" x14ac:dyDescent="0.3">
      <c r="A4278" s="24">
        <v>39156</v>
      </c>
      <c r="B4278" s="66">
        <v>569.55700000000002</v>
      </c>
      <c r="C4278" s="67"/>
      <c r="D4278" s="68">
        <v>0</v>
      </c>
      <c r="E4278" s="110">
        <f t="shared" si="67"/>
        <v>37193</v>
      </c>
      <c r="F4278" s="69">
        <v>1.0411155251312027E-2</v>
      </c>
    </row>
    <row r="4279" spans="1:6" x14ac:dyDescent="0.3">
      <c r="A4279" s="24">
        <v>39157</v>
      </c>
      <c r="B4279" s="66">
        <v>569.55700000000002</v>
      </c>
      <c r="C4279" s="67"/>
      <c r="D4279" s="68">
        <v>0</v>
      </c>
      <c r="E4279" s="110">
        <f t="shared" si="67"/>
        <v>37193</v>
      </c>
      <c r="F4279" s="69">
        <v>1.0411155251312027E-2</v>
      </c>
    </row>
    <row r="4280" spans="1:6" x14ac:dyDescent="0.3">
      <c r="A4280" s="24">
        <v>39158</v>
      </c>
      <c r="B4280" s="66">
        <v>569.55700000000002</v>
      </c>
      <c r="C4280" s="67"/>
      <c r="D4280" s="68">
        <v>0</v>
      </c>
      <c r="E4280" s="110">
        <f t="shared" si="67"/>
        <v>37193</v>
      </c>
      <c r="F4280" s="69">
        <v>1.0411155251312027E-2</v>
      </c>
    </row>
    <row r="4281" spans="1:6" x14ac:dyDescent="0.3">
      <c r="A4281" s="24">
        <v>39159</v>
      </c>
      <c r="B4281" s="66">
        <v>569.55700000000002</v>
      </c>
      <c r="C4281" s="67"/>
      <c r="D4281" s="68">
        <v>0</v>
      </c>
      <c r="E4281" s="110">
        <f t="shared" si="67"/>
        <v>37193</v>
      </c>
      <c r="F4281" s="69">
        <v>1.0411155251312027E-2</v>
      </c>
    </row>
    <row r="4282" spans="1:6" x14ac:dyDescent="0.3">
      <c r="A4282" s="24">
        <v>39160</v>
      </c>
      <c r="B4282" s="66">
        <v>569.55700000000002</v>
      </c>
      <c r="C4282" s="67"/>
      <c r="D4282" s="68">
        <v>0</v>
      </c>
      <c r="E4282" s="110">
        <f t="shared" si="67"/>
        <v>37193</v>
      </c>
      <c r="F4282" s="69">
        <v>1.0411155251312027E-2</v>
      </c>
    </row>
    <row r="4283" spans="1:6" x14ac:dyDescent="0.3">
      <c r="A4283" s="24">
        <v>39161</v>
      </c>
      <c r="B4283" s="66">
        <v>569.55700000000002</v>
      </c>
      <c r="C4283" s="67"/>
      <c r="D4283" s="68">
        <v>0</v>
      </c>
      <c r="E4283" s="110">
        <f t="shared" si="67"/>
        <v>37193</v>
      </c>
      <c r="F4283" s="69">
        <v>1.0411155251312027E-2</v>
      </c>
    </row>
    <row r="4284" spans="1:6" x14ac:dyDescent="0.3">
      <c r="A4284" s="24">
        <v>39162</v>
      </c>
      <c r="B4284" s="66">
        <v>569.55700000000002</v>
      </c>
      <c r="C4284" s="67"/>
      <c r="D4284" s="68">
        <v>0</v>
      </c>
      <c r="E4284" s="110">
        <f t="shared" si="67"/>
        <v>37193</v>
      </c>
      <c r="F4284" s="69">
        <v>1.0411155251312027E-2</v>
      </c>
    </row>
    <row r="4285" spans="1:6" x14ac:dyDescent="0.3">
      <c r="A4285" s="24">
        <v>39163</v>
      </c>
      <c r="B4285" s="66">
        <v>569.55700000000002</v>
      </c>
      <c r="C4285" s="67"/>
      <c r="D4285" s="68">
        <v>0</v>
      </c>
      <c r="E4285" s="110">
        <f t="shared" si="67"/>
        <v>37193</v>
      </c>
      <c r="F4285" s="69">
        <v>1.0411155251312027E-2</v>
      </c>
    </row>
    <row r="4286" spans="1:6" x14ac:dyDescent="0.3">
      <c r="A4286" s="24">
        <v>39164</v>
      </c>
      <c r="B4286" s="66">
        <v>569.55700000000002</v>
      </c>
      <c r="C4286" s="67"/>
      <c r="D4286" s="68">
        <v>0</v>
      </c>
      <c r="E4286" s="110">
        <f t="shared" si="67"/>
        <v>37193</v>
      </c>
      <c r="F4286" s="69">
        <v>1.0411155251312027E-2</v>
      </c>
    </row>
    <row r="4287" spans="1:6" x14ac:dyDescent="0.3">
      <c r="A4287" s="24">
        <v>39165</v>
      </c>
      <c r="B4287" s="66">
        <v>569.55700000000002</v>
      </c>
      <c r="C4287" s="67"/>
      <c r="D4287" s="68">
        <v>0</v>
      </c>
      <c r="E4287" s="110">
        <f t="shared" si="67"/>
        <v>37193</v>
      </c>
      <c r="F4287" s="69">
        <v>1.0411155251312027E-2</v>
      </c>
    </row>
    <row r="4288" spans="1:6" x14ac:dyDescent="0.3">
      <c r="A4288" s="24">
        <v>39166</v>
      </c>
      <c r="B4288" s="66">
        <v>569.55700000000002</v>
      </c>
      <c r="C4288" s="67"/>
      <c r="D4288" s="68">
        <v>0</v>
      </c>
      <c r="E4288" s="110">
        <f t="shared" si="67"/>
        <v>37193</v>
      </c>
      <c r="F4288" s="69">
        <v>1.0411155251312027E-2</v>
      </c>
    </row>
    <row r="4289" spans="1:6" x14ac:dyDescent="0.3">
      <c r="A4289" s="24">
        <v>39167</v>
      </c>
      <c r="B4289" s="66">
        <v>569.55700000000002</v>
      </c>
      <c r="C4289" s="67"/>
      <c r="D4289" s="68">
        <v>0</v>
      </c>
      <c r="E4289" s="110">
        <f t="shared" si="67"/>
        <v>37193</v>
      </c>
      <c r="F4289" s="69">
        <v>1.0411155251312027E-2</v>
      </c>
    </row>
    <row r="4290" spans="1:6" x14ac:dyDescent="0.3">
      <c r="A4290" s="24">
        <v>39168</v>
      </c>
      <c r="B4290" s="66">
        <v>569.55700000000002</v>
      </c>
      <c r="C4290" s="67"/>
      <c r="D4290" s="68">
        <v>0</v>
      </c>
      <c r="E4290" s="110">
        <f t="shared" si="67"/>
        <v>37193</v>
      </c>
      <c r="F4290" s="69">
        <v>1.0411155251312027E-2</v>
      </c>
    </row>
    <row r="4291" spans="1:6" x14ac:dyDescent="0.3">
      <c r="A4291" s="24">
        <v>39169</v>
      </c>
      <c r="B4291" s="66">
        <v>569.55700000000002</v>
      </c>
      <c r="C4291" s="67"/>
      <c r="D4291" s="68">
        <v>0</v>
      </c>
      <c r="E4291" s="110">
        <f t="shared" si="67"/>
        <v>37193</v>
      </c>
      <c r="F4291" s="69">
        <v>1.0411155251312027E-2</v>
      </c>
    </row>
    <row r="4292" spans="1:6" x14ac:dyDescent="0.3">
      <c r="A4292" s="24">
        <v>39170</v>
      </c>
      <c r="B4292" s="66">
        <v>569.55700000000002</v>
      </c>
      <c r="C4292" s="67"/>
      <c r="D4292" s="68">
        <v>0</v>
      </c>
      <c r="E4292" s="110">
        <f t="shared" si="67"/>
        <v>37193</v>
      </c>
      <c r="F4292" s="69">
        <v>1.0411155251312027E-2</v>
      </c>
    </row>
    <row r="4293" spans="1:6" x14ac:dyDescent="0.3">
      <c r="A4293" s="24">
        <v>39171</v>
      </c>
      <c r="B4293" s="66">
        <v>569.55700000000002</v>
      </c>
      <c r="C4293" s="67"/>
      <c r="D4293" s="68">
        <v>0</v>
      </c>
      <c r="E4293" s="110">
        <f t="shared" si="67"/>
        <v>37193</v>
      </c>
      <c r="F4293" s="69">
        <v>1.0265076005779779E-2</v>
      </c>
    </row>
    <row r="4294" spans="1:6" x14ac:dyDescent="0.3">
      <c r="A4294" s="24">
        <v>39172</v>
      </c>
      <c r="B4294" s="66">
        <v>581.42200000000003</v>
      </c>
      <c r="C4294" s="67"/>
      <c r="D4294" s="68">
        <v>0</v>
      </c>
      <c r="E4294" s="110">
        <f t="shared" si="67"/>
        <v>37193</v>
      </c>
      <c r="F4294" s="69">
        <v>1.0265076005779779E-2</v>
      </c>
    </row>
    <row r="4295" spans="1:6" x14ac:dyDescent="0.3">
      <c r="A4295" s="24">
        <v>39173</v>
      </c>
      <c r="B4295" s="66">
        <v>581.42200000000003</v>
      </c>
      <c r="C4295" s="67"/>
      <c r="D4295" s="68">
        <v>0</v>
      </c>
      <c r="E4295" s="110">
        <f t="shared" si="67"/>
        <v>37193</v>
      </c>
      <c r="F4295" s="69">
        <v>1.0265076005779779E-2</v>
      </c>
    </row>
    <row r="4296" spans="1:6" x14ac:dyDescent="0.3">
      <c r="A4296" s="24">
        <v>39174</v>
      </c>
      <c r="B4296" s="66">
        <v>581.42200000000003</v>
      </c>
      <c r="C4296" s="67"/>
      <c r="D4296" s="68">
        <v>0</v>
      </c>
      <c r="E4296" s="110">
        <f t="shared" si="67"/>
        <v>37193</v>
      </c>
      <c r="F4296" s="69">
        <v>1.0265076005779779E-2</v>
      </c>
    </row>
    <row r="4297" spans="1:6" x14ac:dyDescent="0.3">
      <c r="A4297" s="24">
        <v>39175</v>
      </c>
      <c r="B4297" s="66">
        <v>581.42200000000003</v>
      </c>
      <c r="C4297" s="67"/>
      <c r="D4297" s="68">
        <v>0</v>
      </c>
      <c r="E4297" s="110">
        <f t="shared" si="67"/>
        <v>37193</v>
      </c>
      <c r="F4297" s="69">
        <v>1.0265076005779779E-2</v>
      </c>
    </row>
    <row r="4298" spans="1:6" x14ac:dyDescent="0.3">
      <c r="A4298" s="24">
        <v>39176</v>
      </c>
      <c r="B4298" s="66">
        <v>581.42200000000003</v>
      </c>
      <c r="C4298" s="67"/>
      <c r="D4298" s="68">
        <v>0</v>
      </c>
      <c r="E4298" s="110">
        <f t="shared" si="67"/>
        <v>37193</v>
      </c>
      <c r="F4298" s="69">
        <v>1.0265076005779779E-2</v>
      </c>
    </row>
    <row r="4299" spans="1:6" x14ac:dyDescent="0.3">
      <c r="A4299" s="24">
        <v>39177</v>
      </c>
      <c r="B4299" s="66">
        <v>581.42200000000003</v>
      </c>
      <c r="C4299" s="67"/>
      <c r="D4299" s="68">
        <v>0</v>
      </c>
      <c r="E4299" s="110">
        <f t="shared" si="67"/>
        <v>37193</v>
      </c>
      <c r="F4299" s="69">
        <v>1.0265076005779779E-2</v>
      </c>
    </row>
    <row r="4300" spans="1:6" x14ac:dyDescent="0.3">
      <c r="A4300" s="24">
        <v>39178</v>
      </c>
      <c r="B4300" s="66">
        <v>581.42200000000003</v>
      </c>
      <c r="C4300" s="67"/>
      <c r="D4300" s="68">
        <v>0</v>
      </c>
      <c r="E4300" s="110">
        <f t="shared" si="67"/>
        <v>37193</v>
      </c>
      <c r="F4300" s="69">
        <v>1.0265076005779779E-2</v>
      </c>
    </row>
    <row r="4301" spans="1:6" x14ac:dyDescent="0.3">
      <c r="A4301" s="24">
        <v>39179</v>
      </c>
      <c r="B4301" s="66">
        <v>581.42200000000003</v>
      </c>
      <c r="C4301" s="67"/>
      <c r="D4301" s="68">
        <v>0</v>
      </c>
      <c r="E4301" s="110">
        <f t="shared" si="67"/>
        <v>37193</v>
      </c>
      <c r="F4301" s="69">
        <v>1.0265076005779779E-2</v>
      </c>
    </row>
    <row r="4302" spans="1:6" x14ac:dyDescent="0.3">
      <c r="A4302" s="24">
        <v>39180</v>
      </c>
      <c r="B4302" s="66">
        <v>581.42200000000003</v>
      </c>
      <c r="C4302" s="67"/>
      <c r="D4302" s="68">
        <v>0</v>
      </c>
      <c r="E4302" s="110">
        <f t="shared" si="67"/>
        <v>37193</v>
      </c>
      <c r="F4302" s="69">
        <v>1.0265076005779779E-2</v>
      </c>
    </row>
    <row r="4303" spans="1:6" x14ac:dyDescent="0.3">
      <c r="A4303" s="24">
        <v>39181</v>
      </c>
      <c r="B4303" s="66">
        <v>581.42200000000003</v>
      </c>
      <c r="C4303" s="67"/>
      <c r="D4303" s="68">
        <v>0</v>
      </c>
      <c r="E4303" s="110">
        <f t="shared" si="67"/>
        <v>37193</v>
      </c>
      <c r="F4303" s="69">
        <v>1.0265076005779779E-2</v>
      </c>
    </row>
    <row r="4304" spans="1:6" x14ac:dyDescent="0.3">
      <c r="A4304" s="24">
        <v>39182</v>
      </c>
      <c r="B4304" s="66">
        <v>581.42200000000003</v>
      </c>
      <c r="C4304" s="67"/>
      <c r="D4304" s="68">
        <v>0</v>
      </c>
      <c r="E4304" s="110">
        <f t="shared" si="67"/>
        <v>37193</v>
      </c>
      <c r="F4304" s="69">
        <v>1.0265076005779779E-2</v>
      </c>
    </row>
    <row r="4305" spans="1:6" x14ac:dyDescent="0.3">
      <c r="A4305" s="24">
        <v>39183</v>
      </c>
      <c r="B4305" s="66">
        <v>581.42200000000003</v>
      </c>
      <c r="C4305" s="67"/>
      <c r="D4305" s="68">
        <v>0</v>
      </c>
      <c r="E4305" s="110">
        <f t="shared" si="67"/>
        <v>37193</v>
      </c>
      <c r="F4305" s="69">
        <v>1.0265076005779779E-2</v>
      </c>
    </row>
    <row r="4306" spans="1:6" x14ac:dyDescent="0.3">
      <c r="A4306" s="24">
        <v>39184</v>
      </c>
      <c r="B4306" s="66">
        <v>581.42200000000003</v>
      </c>
      <c r="C4306" s="67"/>
      <c r="D4306" s="68">
        <v>0</v>
      </c>
      <c r="E4306" s="110">
        <f t="shared" ref="E4306:E4369" si="68">+E4305</f>
        <v>37193</v>
      </c>
      <c r="F4306" s="69">
        <v>1.0265076005779779E-2</v>
      </c>
    </row>
    <row r="4307" spans="1:6" x14ac:dyDescent="0.3">
      <c r="A4307" s="24">
        <v>39185</v>
      </c>
      <c r="B4307" s="66">
        <v>581.42200000000003</v>
      </c>
      <c r="C4307" s="67"/>
      <c r="D4307" s="68">
        <v>0</v>
      </c>
      <c r="E4307" s="110">
        <f t="shared" si="68"/>
        <v>37193</v>
      </c>
      <c r="F4307" s="69">
        <v>1.0265076005779779E-2</v>
      </c>
    </row>
    <row r="4308" spans="1:6" x14ac:dyDescent="0.3">
      <c r="A4308" s="24">
        <v>39186</v>
      </c>
      <c r="B4308" s="66">
        <v>581.42200000000003</v>
      </c>
      <c r="C4308" s="67"/>
      <c r="D4308" s="68">
        <v>0</v>
      </c>
      <c r="E4308" s="110">
        <f t="shared" si="68"/>
        <v>37193</v>
      </c>
      <c r="F4308" s="69">
        <v>1.0265076005779779E-2</v>
      </c>
    </row>
    <row r="4309" spans="1:6" x14ac:dyDescent="0.3">
      <c r="A4309" s="24">
        <v>39187</v>
      </c>
      <c r="B4309" s="66">
        <v>581.42200000000003</v>
      </c>
      <c r="C4309" s="67"/>
      <c r="D4309" s="68">
        <v>0</v>
      </c>
      <c r="E4309" s="110">
        <f t="shared" si="68"/>
        <v>37193</v>
      </c>
      <c r="F4309" s="69">
        <v>1.0265076005779779E-2</v>
      </c>
    </row>
    <row r="4310" spans="1:6" x14ac:dyDescent="0.3">
      <c r="A4310" s="24">
        <v>39188</v>
      </c>
      <c r="B4310" s="66">
        <v>581.42200000000003</v>
      </c>
      <c r="C4310" s="67"/>
      <c r="D4310" s="68">
        <v>0</v>
      </c>
      <c r="E4310" s="110">
        <f t="shared" si="68"/>
        <v>37193</v>
      </c>
      <c r="F4310" s="69">
        <v>1.0265076005779779E-2</v>
      </c>
    </row>
    <row r="4311" spans="1:6" x14ac:dyDescent="0.3">
      <c r="A4311" s="24">
        <v>39189</v>
      </c>
      <c r="B4311" s="66">
        <v>581.42200000000003</v>
      </c>
      <c r="C4311" s="67"/>
      <c r="D4311" s="68">
        <v>0</v>
      </c>
      <c r="E4311" s="110">
        <f t="shared" si="68"/>
        <v>37193</v>
      </c>
      <c r="F4311" s="69">
        <v>1.0265076005779779E-2</v>
      </c>
    </row>
    <row r="4312" spans="1:6" x14ac:dyDescent="0.3">
      <c r="A4312" s="24">
        <v>39190</v>
      </c>
      <c r="B4312" s="66">
        <v>581.42200000000003</v>
      </c>
      <c r="C4312" s="67"/>
      <c r="D4312" s="68">
        <v>0</v>
      </c>
      <c r="E4312" s="110">
        <f t="shared" si="68"/>
        <v>37193</v>
      </c>
      <c r="F4312" s="69">
        <v>1.0265076005779779E-2</v>
      </c>
    </row>
    <row r="4313" spans="1:6" x14ac:dyDescent="0.3">
      <c r="A4313" s="24">
        <v>39191</v>
      </c>
      <c r="B4313" s="66">
        <v>581.42200000000003</v>
      </c>
      <c r="C4313" s="67"/>
      <c r="D4313" s="68">
        <v>0</v>
      </c>
      <c r="E4313" s="110">
        <f t="shared" si="68"/>
        <v>37193</v>
      </c>
      <c r="F4313" s="69">
        <v>1.0265076005779779E-2</v>
      </c>
    </row>
    <row r="4314" spans="1:6" x14ac:dyDescent="0.3">
      <c r="A4314" s="24">
        <v>39192</v>
      </c>
      <c r="B4314" s="66">
        <v>581.42200000000003</v>
      </c>
      <c r="C4314" s="67"/>
      <c r="D4314" s="68">
        <v>0</v>
      </c>
      <c r="E4314" s="110">
        <f t="shared" si="68"/>
        <v>37193</v>
      </c>
      <c r="F4314" s="69">
        <v>1.0265076005779779E-2</v>
      </c>
    </row>
    <row r="4315" spans="1:6" x14ac:dyDescent="0.3">
      <c r="A4315" s="24">
        <v>39193</v>
      </c>
      <c r="B4315" s="66">
        <v>581.42200000000003</v>
      </c>
      <c r="C4315" s="67"/>
      <c r="D4315" s="68">
        <v>0</v>
      </c>
      <c r="E4315" s="110">
        <f t="shared" si="68"/>
        <v>37193</v>
      </c>
      <c r="F4315" s="69">
        <v>1.0265076005779779E-2</v>
      </c>
    </row>
    <row r="4316" spans="1:6" x14ac:dyDescent="0.3">
      <c r="A4316" s="24">
        <v>39194</v>
      </c>
      <c r="B4316" s="66">
        <v>581.42200000000003</v>
      </c>
      <c r="C4316" s="67"/>
      <c r="D4316" s="68">
        <v>0</v>
      </c>
      <c r="E4316" s="110">
        <f t="shared" si="68"/>
        <v>37193</v>
      </c>
      <c r="F4316" s="69">
        <v>1.0265076005779779E-2</v>
      </c>
    </row>
    <row r="4317" spans="1:6" x14ac:dyDescent="0.3">
      <c r="A4317" s="24">
        <v>39195</v>
      </c>
      <c r="B4317" s="66">
        <v>581.42200000000003</v>
      </c>
      <c r="C4317" s="67"/>
      <c r="D4317" s="68">
        <v>0</v>
      </c>
      <c r="E4317" s="110">
        <f t="shared" si="68"/>
        <v>37193</v>
      </c>
      <c r="F4317" s="69">
        <v>1.0265076005779779E-2</v>
      </c>
    </row>
    <row r="4318" spans="1:6" x14ac:dyDescent="0.3">
      <c r="A4318" s="24">
        <v>39196</v>
      </c>
      <c r="B4318" s="66">
        <v>581.42200000000003</v>
      </c>
      <c r="C4318" s="67"/>
      <c r="D4318" s="68">
        <v>0</v>
      </c>
      <c r="E4318" s="110">
        <f t="shared" si="68"/>
        <v>37193</v>
      </c>
      <c r="F4318" s="69">
        <v>1.0265076005779779E-2</v>
      </c>
    </row>
    <row r="4319" spans="1:6" x14ac:dyDescent="0.3">
      <c r="A4319" s="24">
        <v>39197</v>
      </c>
      <c r="B4319" s="66">
        <v>581.42200000000003</v>
      </c>
      <c r="C4319" s="67"/>
      <c r="D4319" s="68">
        <v>0</v>
      </c>
      <c r="E4319" s="110">
        <f t="shared" si="68"/>
        <v>37193</v>
      </c>
      <c r="F4319" s="69">
        <v>1.0265076005779779E-2</v>
      </c>
    </row>
    <row r="4320" spans="1:6" x14ac:dyDescent="0.3">
      <c r="A4320" s="24">
        <v>39198</v>
      </c>
      <c r="B4320" s="66">
        <v>581.42200000000003</v>
      </c>
      <c r="C4320" s="67"/>
      <c r="D4320" s="68">
        <v>0</v>
      </c>
      <c r="E4320" s="110">
        <f t="shared" si="68"/>
        <v>37193</v>
      </c>
      <c r="F4320" s="69">
        <v>1.0265076005779779E-2</v>
      </c>
    </row>
    <row r="4321" spans="1:6" x14ac:dyDescent="0.3">
      <c r="A4321" s="24">
        <v>39199</v>
      </c>
      <c r="B4321" s="66">
        <v>581.42200000000003</v>
      </c>
      <c r="C4321" s="67"/>
      <c r="D4321" s="68">
        <v>0</v>
      </c>
      <c r="E4321" s="110">
        <f t="shared" si="68"/>
        <v>37193</v>
      </c>
      <c r="F4321" s="69">
        <v>1.0265076005779779E-2</v>
      </c>
    </row>
    <row r="4322" spans="1:6" x14ac:dyDescent="0.3">
      <c r="A4322" s="24">
        <v>39200</v>
      </c>
      <c r="B4322" s="66">
        <v>581.42200000000003</v>
      </c>
      <c r="C4322" s="67"/>
      <c r="D4322" s="68">
        <v>0</v>
      </c>
      <c r="E4322" s="110">
        <f t="shared" si="68"/>
        <v>37193</v>
      </c>
      <c r="F4322" s="69">
        <v>1.0265076005779779E-2</v>
      </c>
    </row>
    <row r="4323" spans="1:6" x14ac:dyDescent="0.3">
      <c r="A4323" s="24">
        <v>39201</v>
      </c>
      <c r="B4323" s="66">
        <v>581.42200000000003</v>
      </c>
      <c r="C4323" s="67"/>
      <c r="D4323" s="68">
        <v>0</v>
      </c>
      <c r="E4323" s="110">
        <f t="shared" si="68"/>
        <v>37193</v>
      </c>
      <c r="F4323" s="69">
        <v>1.0265076005779779E-2</v>
      </c>
    </row>
    <row r="4324" spans="1:6" x14ac:dyDescent="0.3">
      <c r="A4324" s="24">
        <v>39202</v>
      </c>
      <c r="B4324" s="66">
        <v>581.42200000000003</v>
      </c>
      <c r="C4324" s="67"/>
      <c r="D4324" s="68">
        <v>0</v>
      </c>
      <c r="E4324" s="110">
        <f t="shared" si="68"/>
        <v>37193</v>
      </c>
      <c r="F4324" s="69">
        <v>1.0265076005779779E-2</v>
      </c>
    </row>
    <row r="4325" spans="1:6" x14ac:dyDescent="0.3">
      <c r="A4325" s="24">
        <v>39203</v>
      </c>
      <c r="B4325" s="66">
        <v>581.42200000000003</v>
      </c>
      <c r="C4325" s="67"/>
      <c r="D4325" s="68">
        <v>0</v>
      </c>
      <c r="E4325" s="110">
        <f t="shared" si="68"/>
        <v>37193</v>
      </c>
      <c r="F4325" s="69">
        <v>1.0265076005779779E-2</v>
      </c>
    </row>
    <row r="4326" spans="1:6" x14ac:dyDescent="0.3">
      <c r="A4326" s="24">
        <v>39204</v>
      </c>
      <c r="B4326" s="66">
        <v>581.42200000000003</v>
      </c>
      <c r="C4326" s="67"/>
      <c r="D4326" s="68">
        <v>0</v>
      </c>
      <c r="E4326" s="110">
        <f t="shared" si="68"/>
        <v>37193</v>
      </c>
      <c r="F4326" s="69">
        <v>1.0265076005779779E-2</v>
      </c>
    </row>
    <row r="4327" spans="1:6" x14ac:dyDescent="0.3">
      <c r="A4327" s="24">
        <v>39205</v>
      </c>
      <c r="B4327" s="66">
        <v>581.42200000000003</v>
      </c>
      <c r="C4327" s="67"/>
      <c r="D4327" s="68">
        <v>8.0000013545744153</v>
      </c>
      <c r="E4327" s="110">
        <f t="shared" si="68"/>
        <v>37193</v>
      </c>
      <c r="F4327" s="69">
        <v>1.5023899930654226E-2</v>
      </c>
    </row>
    <row r="4328" spans="1:6" x14ac:dyDescent="0.3">
      <c r="A4328" s="24">
        <v>39206</v>
      </c>
      <c r="B4328" s="66">
        <v>581.42200000000003</v>
      </c>
      <c r="C4328" s="67"/>
      <c r="D4328" s="68">
        <v>0</v>
      </c>
      <c r="E4328" s="110">
        <f t="shared" si="68"/>
        <v>37193</v>
      </c>
      <c r="F4328" s="69">
        <v>1.5023899930654226E-2</v>
      </c>
    </row>
    <row r="4329" spans="1:6" x14ac:dyDescent="0.3">
      <c r="A4329" s="24">
        <v>39207</v>
      </c>
      <c r="B4329" s="66">
        <v>581.42200000000003</v>
      </c>
      <c r="C4329" s="67"/>
      <c r="D4329" s="68">
        <v>0</v>
      </c>
      <c r="E4329" s="110">
        <f t="shared" si="68"/>
        <v>37193</v>
      </c>
      <c r="F4329" s="69">
        <v>1.5023899930654226E-2</v>
      </c>
    </row>
    <row r="4330" spans="1:6" x14ac:dyDescent="0.3">
      <c r="A4330" s="24">
        <v>39208</v>
      </c>
      <c r="B4330" s="66">
        <v>581.42200000000003</v>
      </c>
      <c r="C4330" s="67"/>
      <c r="D4330" s="68">
        <v>0</v>
      </c>
      <c r="E4330" s="110">
        <f t="shared" si="68"/>
        <v>37193</v>
      </c>
      <c r="F4330" s="69">
        <v>1.5023899930654226E-2</v>
      </c>
    </row>
    <row r="4331" spans="1:6" x14ac:dyDescent="0.3">
      <c r="A4331" s="24">
        <v>39209</v>
      </c>
      <c r="B4331" s="66">
        <v>581.42200000000003</v>
      </c>
      <c r="C4331" s="67"/>
      <c r="D4331" s="68">
        <v>0</v>
      </c>
      <c r="E4331" s="110">
        <f t="shared" si="68"/>
        <v>37193</v>
      </c>
      <c r="F4331" s="69">
        <v>1.5023899930654226E-2</v>
      </c>
    </row>
    <row r="4332" spans="1:6" x14ac:dyDescent="0.3">
      <c r="A4332" s="24">
        <v>39210</v>
      </c>
      <c r="B4332" s="66">
        <v>581.42200000000003</v>
      </c>
      <c r="C4332" s="67"/>
      <c r="D4332" s="68">
        <v>0</v>
      </c>
      <c r="E4332" s="110">
        <f t="shared" si="68"/>
        <v>37193</v>
      </c>
      <c r="F4332" s="69">
        <v>1.5023899930654226E-2</v>
      </c>
    </row>
    <row r="4333" spans="1:6" x14ac:dyDescent="0.3">
      <c r="A4333" s="24">
        <v>39211</v>
      </c>
      <c r="B4333" s="66">
        <v>581.42200000000003</v>
      </c>
      <c r="C4333" s="67"/>
      <c r="D4333" s="68">
        <v>0</v>
      </c>
      <c r="E4333" s="110">
        <f t="shared" si="68"/>
        <v>37193</v>
      </c>
      <c r="F4333" s="69">
        <v>1.5023899930654226E-2</v>
      </c>
    </row>
    <row r="4334" spans="1:6" x14ac:dyDescent="0.3">
      <c r="A4334" s="24">
        <v>39212</v>
      </c>
      <c r="B4334" s="66">
        <v>581.42200000000003</v>
      </c>
      <c r="C4334" s="67"/>
      <c r="D4334" s="68">
        <v>0</v>
      </c>
      <c r="E4334" s="110">
        <f t="shared" si="68"/>
        <v>37193</v>
      </c>
      <c r="F4334" s="69">
        <v>1.5023899930654226E-2</v>
      </c>
    </row>
    <row r="4335" spans="1:6" x14ac:dyDescent="0.3">
      <c r="A4335" s="24">
        <v>39213</v>
      </c>
      <c r="B4335" s="66">
        <v>581.42200000000003</v>
      </c>
      <c r="C4335" s="67"/>
      <c r="D4335" s="68">
        <v>0</v>
      </c>
      <c r="E4335" s="110">
        <f t="shared" si="68"/>
        <v>37193</v>
      </c>
      <c r="F4335" s="69">
        <v>1.5023899930654226E-2</v>
      </c>
    </row>
    <row r="4336" spans="1:6" x14ac:dyDescent="0.3">
      <c r="A4336" s="24">
        <v>39214</v>
      </c>
      <c r="B4336" s="66">
        <v>581.42200000000003</v>
      </c>
      <c r="C4336" s="67"/>
      <c r="D4336" s="68">
        <v>0</v>
      </c>
      <c r="E4336" s="110">
        <f t="shared" si="68"/>
        <v>37193</v>
      </c>
      <c r="F4336" s="69">
        <v>1.5023899930654226E-2</v>
      </c>
    </row>
    <row r="4337" spans="1:6" x14ac:dyDescent="0.3">
      <c r="A4337" s="24">
        <v>39215</v>
      </c>
      <c r="B4337" s="66">
        <v>581.42200000000003</v>
      </c>
      <c r="C4337" s="67"/>
      <c r="D4337" s="68">
        <v>0</v>
      </c>
      <c r="E4337" s="110">
        <f t="shared" si="68"/>
        <v>37193</v>
      </c>
      <c r="F4337" s="69">
        <v>1.5023899930654226E-2</v>
      </c>
    </row>
    <row r="4338" spans="1:6" x14ac:dyDescent="0.3">
      <c r="A4338" s="24">
        <v>39216</v>
      </c>
      <c r="B4338" s="66">
        <v>581.42200000000003</v>
      </c>
      <c r="C4338" s="67"/>
      <c r="D4338" s="68">
        <v>0</v>
      </c>
      <c r="E4338" s="110">
        <f t="shared" si="68"/>
        <v>37193</v>
      </c>
      <c r="F4338" s="69">
        <v>1.5023899930654226E-2</v>
      </c>
    </row>
    <row r="4339" spans="1:6" x14ac:dyDescent="0.3">
      <c r="A4339" s="24">
        <v>39217</v>
      </c>
      <c r="B4339" s="66">
        <v>581.42200000000003</v>
      </c>
      <c r="C4339" s="67"/>
      <c r="D4339" s="68">
        <v>0</v>
      </c>
      <c r="E4339" s="110">
        <f t="shared" si="68"/>
        <v>37193</v>
      </c>
      <c r="F4339" s="69">
        <v>1.5023899930654226E-2</v>
      </c>
    </row>
    <row r="4340" spans="1:6" x14ac:dyDescent="0.3">
      <c r="A4340" s="24">
        <v>39218</v>
      </c>
      <c r="B4340" s="66">
        <v>581.42200000000003</v>
      </c>
      <c r="C4340" s="67"/>
      <c r="D4340" s="68">
        <v>0</v>
      </c>
      <c r="E4340" s="110">
        <f t="shared" si="68"/>
        <v>37193</v>
      </c>
      <c r="F4340" s="69">
        <v>1.5023899930654226E-2</v>
      </c>
    </row>
    <row r="4341" spans="1:6" x14ac:dyDescent="0.3">
      <c r="A4341" s="24">
        <v>39219</v>
      </c>
      <c r="B4341" s="66">
        <v>581.42200000000003</v>
      </c>
      <c r="C4341" s="67"/>
      <c r="D4341" s="68">
        <v>0</v>
      </c>
      <c r="E4341" s="110">
        <f t="shared" si="68"/>
        <v>37193</v>
      </c>
      <c r="F4341" s="69">
        <v>1.5023899930654226E-2</v>
      </c>
    </row>
    <row r="4342" spans="1:6" x14ac:dyDescent="0.3">
      <c r="A4342" s="24">
        <v>39220</v>
      </c>
      <c r="B4342" s="66">
        <v>581.42200000000003</v>
      </c>
      <c r="C4342" s="67"/>
      <c r="D4342" s="68">
        <v>0</v>
      </c>
      <c r="E4342" s="110">
        <f t="shared" si="68"/>
        <v>37193</v>
      </c>
      <c r="F4342" s="69">
        <v>1.5023899930654226E-2</v>
      </c>
    </row>
    <row r="4343" spans="1:6" x14ac:dyDescent="0.3">
      <c r="A4343" s="24">
        <v>39221</v>
      </c>
      <c r="B4343" s="66">
        <v>581.42200000000003</v>
      </c>
      <c r="C4343" s="67"/>
      <c r="D4343" s="68">
        <v>0</v>
      </c>
      <c r="E4343" s="110">
        <f t="shared" si="68"/>
        <v>37193</v>
      </c>
      <c r="F4343" s="69">
        <v>1.5023899930654226E-2</v>
      </c>
    </row>
    <row r="4344" spans="1:6" x14ac:dyDescent="0.3">
      <c r="A4344" s="24">
        <v>39222</v>
      </c>
      <c r="B4344" s="66">
        <v>581.42200000000003</v>
      </c>
      <c r="C4344" s="67"/>
      <c r="D4344" s="68">
        <v>0</v>
      </c>
      <c r="E4344" s="110">
        <f t="shared" si="68"/>
        <v>37193</v>
      </c>
      <c r="F4344" s="69">
        <v>1.5023899930654226E-2</v>
      </c>
    </row>
    <row r="4345" spans="1:6" x14ac:dyDescent="0.3">
      <c r="A4345" s="24">
        <v>39223</v>
      </c>
      <c r="B4345" s="66">
        <v>581.42200000000003</v>
      </c>
      <c r="C4345" s="67"/>
      <c r="D4345" s="68">
        <v>0</v>
      </c>
      <c r="E4345" s="110">
        <f t="shared" si="68"/>
        <v>37193</v>
      </c>
      <c r="F4345" s="69">
        <v>1.5023899930654226E-2</v>
      </c>
    </row>
    <row r="4346" spans="1:6" x14ac:dyDescent="0.3">
      <c r="A4346" s="24">
        <v>39224</v>
      </c>
      <c r="B4346" s="66">
        <v>581.42200000000003</v>
      </c>
      <c r="C4346" s="67"/>
      <c r="D4346" s="68">
        <v>0</v>
      </c>
      <c r="E4346" s="110">
        <f t="shared" si="68"/>
        <v>37193</v>
      </c>
      <c r="F4346" s="69">
        <v>1.5023899930654226E-2</v>
      </c>
    </row>
    <row r="4347" spans="1:6" x14ac:dyDescent="0.3">
      <c r="A4347" s="24">
        <v>39225</v>
      </c>
      <c r="B4347" s="66">
        <v>581.42200000000003</v>
      </c>
      <c r="C4347" s="67"/>
      <c r="D4347" s="68">
        <v>0</v>
      </c>
      <c r="E4347" s="110">
        <f t="shared" si="68"/>
        <v>37193</v>
      </c>
      <c r="F4347" s="69">
        <v>1.5023899930654226E-2</v>
      </c>
    </row>
    <row r="4348" spans="1:6" x14ac:dyDescent="0.3">
      <c r="A4348" s="24">
        <v>39226</v>
      </c>
      <c r="B4348" s="66">
        <v>581.42200000000003</v>
      </c>
      <c r="C4348" s="67"/>
      <c r="D4348" s="68">
        <v>0</v>
      </c>
      <c r="E4348" s="110">
        <f t="shared" si="68"/>
        <v>37193</v>
      </c>
      <c r="F4348" s="69">
        <v>1.5023899930654226E-2</v>
      </c>
    </row>
    <row r="4349" spans="1:6" x14ac:dyDescent="0.3">
      <c r="A4349" s="24">
        <v>39227</v>
      </c>
      <c r="B4349" s="66">
        <v>581.42200000000003</v>
      </c>
      <c r="C4349" s="67"/>
      <c r="D4349" s="68">
        <v>0</v>
      </c>
      <c r="E4349" s="110">
        <f t="shared" si="68"/>
        <v>37193</v>
      </c>
      <c r="F4349" s="69">
        <v>1.5023899930654226E-2</v>
      </c>
    </row>
    <row r="4350" spans="1:6" x14ac:dyDescent="0.3">
      <c r="A4350" s="24">
        <v>39228</v>
      </c>
      <c r="B4350" s="66">
        <v>581.42200000000003</v>
      </c>
      <c r="C4350" s="67"/>
      <c r="D4350" s="68">
        <v>0</v>
      </c>
      <c r="E4350" s="110">
        <f t="shared" si="68"/>
        <v>37193</v>
      </c>
      <c r="F4350" s="69">
        <v>1.5023899930654226E-2</v>
      </c>
    </row>
    <row r="4351" spans="1:6" x14ac:dyDescent="0.3">
      <c r="A4351" s="24">
        <v>39229</v>
      </c>
      <c r="B4351" s="66">
        <v>581.42200000000003</v>
      </c>
      <c r="C4351" s="67"/>
      <c r="D4351" s="68">
        <v>0</v>
      </c>
      <c r="E4351" s="110">
        <f t="shared" si="68"/>
        <v>37193</v>
      </c>
      <c r="F4351" s="69">
        <v>1.5023899930654226E-2</v>
      </c>
    </row>
    <row r="4352" spans="1:6" x14ac:dyDescent="0.3">
      <c r="A4352" s="24">
        <v>39230</v>
      </c>
      <c r="B4352" s="66">
        <v>581.42200000000003</v>
      </c>
      <c r="C4352" s="67"/>
      <c r="D4352" s="68">
        <v>0</v>
      </c>
      <c r="E4352" s="110">
        <f t="shared" si="68"/>
        <v>37193</v>
      </c>
      <c r="F4352" s="69">
        <v>1.5023899930654226E-2</v>
      </c>
    </row>
    <row r="4353" spans="1:6" x14ac:dyDescent="0.3">
      <c r="A4353" s="24">
        <v>39231</v>
      </c>
      <c r="B4353" s="66">
        <v>581.42200000000003</v>
      </c>
      <c r="C4353" s="67"/>
      <c r="D4353" s="68">
        <v>0</v>
      </c>
      <c r="E4353" s="110">
        <f t="shared" si="68"/>
        <v>37193</v>
      </c>
      <c r="F4353" s="69">
        <v>1.5023899930654226E-2</v>
      </c>
    </row>
    <row r="4354" spans="1:6" x14ac:dyDescent="0.3">
      <c r="A4354" s="24">
        <v>39232</v>
      </c>
      <c r="B4354" s="66">
        <v>581.42200000000003</v>
      </c>
      <c r="C4354" s="67"/>
      <c r="D4354" s="68">
        <v>0</v>
      </c>
      <c r="E4354" s="110">
        <f t="shared" si="68"/>
        <v>37193</v>
      </c>
      <c r="F4354" s="69">
        <v>1.5023899930654226E-2</v>
      </c>
    </row>
    <row r="4355" spans="1:6" x14ac:dyDescent="0.3">
      <c r="A4355" s="24">
        <v>39233</v>
      </c>
      <c r="B4355" s="66">
        <v>581.42200000000003</v>
      </c>
      <c r="C4355" s="67"/>
      <c r="D4355" s="68">
        <v>0</v>
      </c>
      <c r="E4355" s="110">
        <f t="shared" si="68"/>
        <v>37193</v>
      </c>
      <c r="F4355" s="69">
        <v>1.5023899930654226E-2</v>
      </c>
    </row>
    <row r="4356" spans="1:6" x14ac:dyDescent="0.3">
      <c r="A4356" s="24">
        <v>39234</v>
      </c>
      <c r="B4356" s="66">
        <v>581.42200000000003</v>
      </c>
      <c r="C4356" s="67"/>
      <c r="D4356" s="68">
        <v>0</v>
      </c>
      <c r="E4356" s="110">
        <f t="shared" si="68"/>
        <v>37193</v>
      </c>
      <c r="F4356" s="69">
        <v>1.5023899930654226E-2</v>
      </c>
    </row>
    <row r="4357" spans="1:6" x14ac:dyDescent="0.3">
      <c r="A4357" s="24">
        <v>39235</v>
      </c>
      <c r="B4357" s="66">
        <v>581.42200000000003</v>
      </c>
      <c r="C4357" s="67"/>
      <c r="D4357" s="68">
        <v>0</v>
      </c>
      <c r="E4357" s="110">
        <f t="shared" si="68"/>
        <v>37193</v>
      </c>
      <c r="F4357" s="69">
        <v>1.5023899930654226E-2</v>
      </c>
    </row>
    <row r="4358" spans="1:6" x14ac:dyDescent="0.3">
      <c r="A4358" s="24">
        <v>39236</v>
      </c>
      <c r="B4358" s="66">
        <v>581.42200000000003</v>
      </c>
      <c r="C4358" s="67"/>
      <c r="D4358" s="68">
        <v>0</v>
      </c>
      <c r="E4358" s="110">
        <f t="shared" si="68"/>
        <v>37193</v>
      </c>
      <c r="F4358" s="69">
        <v>1.5023899930654226E-2</v>
      </c>
    </row>
    <row r="4359" spans="1:6" x14ac:dyDescent="0.3">
      <c r="A4359" s="24">
        <v>39237</v>
      </c>
      <c r="B4359" s="66">
        <v>581.42200000000003</v>
      </c>
      <c r="C4359" s="67"/>
      <c r="D4359" s="68">
        <v>0</v>
      </c>
      <c r="E4359" s="110">
        <f t="shared" si="68"/>
        <v>37193</v>
      </c>
      <c r="F4359" s="69">
        <v>1.5023899930654226E-2</v>
      </c>
    </row>
    <row r="4360" spans="1:6" x14ac:dyDescent="0.3">
      <c r="A4360" s="24">
        <v>39238</v>
      </c>
      <c r="B4360" s="66">
        <v>581.42200000000003</v>
      </c>
      <c r="C4360" s="67"/>
      <c r="D4360" s="68">
        <v>0</v>
      </c>
      <c r="E4360" s="110">
        <f t="shared" si="68"/>
        <v>37193</v>
      </c>
      <c r="F4360" s="69">
        <v>1.5023899930654226E-2</v>
      </c>
    </row>
    <row r="4361" spans="1:6" x14ac:dyDescent="0.3">
      <c r="A4361" s="24">
        <v>39239</v>
      </c>
      <c r="B4361" s="66">
        <v>581.42200000000003</v>
      </c>
      <c r="C4361" s="67"/>
      <c r="D4361" s="68">
        <v>0</v>
      </c>
      <c r="E4361" s="110">
        <f t="shared" si="68"/>
        <v>37193</v>
      </c>
      <c r="F4361" s="69">
        <v>1.5023899930654226E-2</v>
      </c>
    </row>
    <row r="4362" spans="1:6" x14ac:dyDescent="0.3">
      <c r="A4362" s="24">
        <v>39240</v>
      </c>
      <c r="B4362" s="66">
        <v>581.42200000000003</v>
      </c>
      <c r="C4362" s="67"/>
      <c r="D4362" s="68">
        <v>0</v>
      </c>
      <c r="E4362" s="110">
        <f t="shared" si="68"/>
        <v>37193</v>
      </c>
      <c r="F4362" s="69">
        <v>1.5023899930654226E-2</v>
      </c>
    </row>
    <row r="4363" spans="1:6" x14ac:dyDescent="0.3">
      <c r="A4363" s="24">
        <v>39241</v>
      </c>
      <c r="B4363" s="66">
        <v>581.42200000000003</v>
      </c>
      <c r="C4363" s="67"/>
      <c r="D4363" s="68">
        <v>0</v>
      </c>
      <c r="E4363" s="110">
        <f t="shared" si="68"/>
        <v>37193</v>
      </c>
      <c r="F4363" s="69">
        <v>1.5023899930654226E-2</v>
      </c>
    </row>
    <row r="4364" spans="1:6" x14ac:dyDescent="0.3">
      <c r="A4364" s="24">
        <v>39242</v>
      </c>
      <c r="B4364" s="66">
        <v>581.42200000000003</v>
      </c>
      <c r="C4364" s="67"/>
      <c r="D4364" s="68">
        <v>0</v>
      </c>
      <c r="E4364" s="110">
        <f t="shared" si="68"/>
        <v>37193</v>
      </c>
      <c r="F4364" s="69">
        <v>1.5023899930654226E-2</v>
      </c>
    </row>
    <row r="4365" spans="1:6" x14ac:dyDescent="0.3">
      <c r="A4365" s="24">
        <v>39243</v>
      </c>
      <c r="B4365" s="66">
        <v>581.42200000000003</v>
      </c>
      <c r="C4365" s="67"/>
      <c r="D4365" s="68">
        <v>0</v>
      </c>
      <c r="E4365" s="110">
        <f t="shared" si="68"/>
        <v>37193</v>
      </c>
      <c r="F4365" s="69">
        <v>1.5023899930654226E-2</v>
      </c>
    </row>
    <row r="4366" spans="1:6" x14ac:dyDescent="0.3">
      <c r="A4366" s="24">
        <v>39244</v>
      </c>
      <c r="B4366" s="66">
        <v>581.42200000000003</v>
      </c>
      <c r="C4366" s="67"/>
      <c r="D4366" s="68">
        <v>0</v>
      </c>
      <c r="E4366" s="110">
        <f t="shared" si="68"/>
        <v>37193</v>
      </c>
      <c r="F4366" s="69">
        <v>1.5023899930654226E-2</v>
      </c>
    </row>
    <row r="4367" spans="1:6" x14ac:dyDescent="0.3">
      <c r="A4367" s="24">
        <v>39245</v>
      </c>
      <c r="B4367" s="66">
        <v>581.42200000000003</v>
      </c>
      <c r="C4367" s="67"/>
      <c r="D4367" s="68">
        <v>0</v>
      </c>
      <c r="E4367" s="110">
        <f t="shared" si="68"/>
        <v>37193</v>
      </c>
      <c r="F4367" s="69">
        <v>1.5023899930654226E-2</v>
      </c>
    </row>
    <row r="4368" spans="1:6" x14ac:dyDescent="0.3">
      <c r="A4368" s="24">
        <v>39246</v>
      </c>
      <c r="B4368" s="66">
        <v>581.42200000000003</v>
      </c>
      <c r="C4368" s="67"/>
      <c r="D4368" s="68">
        <v>0</v>
      </c>
      <c r="E4368" s="110">
        <f t="shared" si="68"/>
        <v>37193</v>
      </c>
      <c r="F4368" s="69">
        <v>1.5023899930654226E-2</v>
      </c>
    </row>
    <row r="4369" spans="1:6" x14ac:dyDescent="0.3">
      <c r="A4369" s="24">
        <v>39247</v>
      </c>
      <c r="B4369" s="66">
        <v>581.42200000000003</v>
      </c>
      <c r="C4369" s="67"/>
      <c r="D4369" s="68">
        <v>0</v>
      </c>
      <c r="E4369" s="110">
        <f t="shared" si="68"/>
        <v>37193</v>
      </c>
      <c r="F4369" s="69">
        <v>1.5023899930654226E-2</v>
      </c>
    </row>
    <row r="4370" spans="1:6" x14ac:dyDescent="0.3">
      <c r="A4370" s="24">
        <v>39248</v>
      </c>
      <c r="B4370" s="66">
        <v>581.42200000000003</v>
      </c>
      <c r="C4370" s="67"/>
      <c r="D4370" s="68">
        <v>0</v>
      </c>
      <c r="E4370" s="110">
        <f t="shared" ref="E4370:E4433" si="69">+E4369</f>
        <v>37193</v>
      </c>
      <c r="F4370" s="69">
        <v>1.5023899930654226E-2</v>
      </c>
    </row>
    <row r="4371" spans="1:6" x14ac:dyDescent="0.3">
      <c r="A4371" s="24">
        <v>39249</v>
      </c>
      <c r="B4371" s="66">
        <v>581.42200000000003</v>
      </c>
      <c r="C4371" s="67"/>
      <c r="D4371" s="68">
        <v>0</v>
      </c>
      <c r="E4371" s="110">
        <f t="shared" si="69"/>
        <v>37193</v>
      </c>
      <c r="F4371" s="69">
        <v>1.5023899930654226E-2</v>
      </c>
    </row>
    <row r="4372" spans="1:6" x14ac:dyDescent="0.3">
      <c r="A4372" s="24">
        <v>39250</v>
      </c>
      <c r="B4372" s="66">
        <v>581.42200000000003</v>
      </c>
      <c r="C4372" s="67"/>
      <c r="D4372" s="68">
        <v>0</v>
      </c>
      <c r="E4372" s="110">
        <f t="shared" si="69"/>
        <v>37193</v>
      </c>
      <c r="F4372" s="69">
        <v>1.5023899930654226E-2</v>
      </c>
    </row>
    <row r="4373" spans="1:6" x14ac:dyDescent="0.3">
      <c r="A4373" s="24">
        <v>39251</v>
      </c>
      <c r="B4373" s="66">
        <v>581.42200000000003</v>
      </c>
      <c r="C4373" s="67"/>
      <c r="D4373" s="68">
        <v>0</v>
      </c>
      <c r="E4373" s="110">
        <f t="shared" si="69"/>
        <v>37193</v>
      </c>
      <c r="F4373" s="69">
        <v>1.5023899930654226E-2</v>
      </c>
    </row>
    <row r="4374" spans="1:6" x14ac:dyDescent="0.3">
      <c r="A4374" s="24">
        <v>39252</v>
      </c>
      <c r="B4374" s="66">
        <v>581.42200000000003</v>
      </c>
      <c r="C4374" s="67"/>
      <c r="D4374" s="68">
        <v>0</v>
      </c>
      <c r="E4374" s="110">
        <f t="shared" si="69"/>
        <v>37193</v>
      </c>
      <c r="F4374" s="69">
        <v>1.5023899930654226E-2</v>
      </c>
    </row>
    <row r="4375" spans="1:6" x14ac:dyDescent="0.3">
      <c r="A4375" s="24">
        <v>39253</v>
      </c>
      <c r="B4375" s="66">
        <v>581.42200000000003</v>
      </c>
      <c r="C4375" s="67"/>
      <c r="D4375" s="68">
        <v>0</v>
      </c>
      <c r="E4375" s="110">
        <f t="shared" si="69"/>
        <v>37193</v>
      </c>
      <c r="F4375" s="69">
        <v>1.5023899930654226E-2</v>
      </c>
    </row>
    <row r="4376" spans="1:6" x14ac:dyDescent="0.3">
      <c r="A4376" s="24">
        <v>39254</v>
      </c>
      <c r="B4376" s="66">
        <v>581.42200000000003</v>
      </c>
      <c r="C4376" s="67"/>
      <c r="D4376" s="68">
        <v>0</v>
      </c>
      <c r="E4376" s="110">
        <f t="shared" si="69"/>
        <v>37193</v>
      </c>
      <c r="F4376" s="69">
        <v>1.5023899930654226E-2</v>
      </c>
    </row>
    <row r="4377" spans="1:6" x14ac:dyDescent="0.3">
      <c r="A4377" s="24">
        <v>39255</v>
      </c>
      <c r="B4377" s="66">
        <v>581.42200000000003</v>
      </c>
      <c r="C4377" s="67"/>
      <c r="D4377" s="68">
        <v>0</v>
      </c>
      <c r="E4377" s="110">
        <f t="shared" si="69"/>
        <v>37193</v>
      </c>
      <c r="F4377" s="69">
        <v>1.5023899930654226E-2</v>
      </c>
    </row>
    <row r="4378" spans="1:6" x14ac:dyDescent="0.3">
      <c r="A4378" s="24">
        <v>39256</v>
      </c>
      <c r="B4378" s="66">
        <v>581.42200000000003</v>
      </c>
      <c r="C4378" s="67"/>
      <c r="D4378" s="68">
        <v>0</v>
      </c>
      <c r="E4378" s="110">
        <f t="shared" si="69"/>
        <v>37193</v>
      </c>
      <c r="F4378" s="69">
        <v>1.5023899930654226E-2</v>
      </c>
    </row>
    <row r="4379" spans="1:6" x14ac:dyDescent="0.3">
      <c r="A4379" s="24">
        <v>39257</v>
      </c>
      <c r="B4379" s="66">
        <v>581.42200000000003</v>
      </c>
      <c r="C4379" s="67"/>
      <c r="D4379" s="68">
        <v>0</v>
      </c>
      <c r="E4379" s="110">
        <f t="shared" si="69"/>
        <v>37193</v>
      </c>
      <c r="F4379" s="69">
        <v>1.5023899930654226E-2</v>
      </c>
    </row>
    <row r="4380" spans="1:6" x14ac:dyDescent="0.3">
      <c r="A4380" s="24">
        <v>39258</v>
      </c>
      <c r="B4380" s="66">
        <v>581.42200000000003</v>
      </c>
      <c r="C4380" s="67"/>
      <c r="D4380" s="68">
        <v>0</v>
      </c>
      <c r="E4380" s="110">
        <f t="shared" si="69"/>
        <v>37193</v>
      </c>
      <c r="F4380" s="69">
        <v>1.5023899930654226E-2</v>
      </c>
    </row>
    <row r="4381" spans="1:6" x14ac:dyDescent="0.3">
      <c r="A4381" s="24">
        <v>39259</v>
      </c>
      <c r="B4381" s="66">
        <v>581.42200000000003</v>
      </c>
      <c r="C4381" s="67"/>
      <c r="D4381" s="68">
        <v>0</v>
      </c>
      <c r="E4381" s="110">
        <f t="shared" si="69"/>
        <v>37193</v>
      </c>
      <c r="F4381" s="69">
        <v>1.5023899930654226E-2</v>
      </c>
    </row>
    <row r="4382" spans="1:6" x14ac:dyDescent="0.3">
      <c r="A4382" s="24">
        <v>39260</v>
      </c>
      <c r="B4382" s="66">
        <v>581.42200000000003</v>
      </c>
      <c r="C4382" s="67"/>
      <c r="D4382" s="68">
        <v>0</v>
      </c>
      <c r="E4382" s="110">
        <f t="shared" si="69"/>
        <v>37193</v>
      </c>
      <c r="F4382" s="69">
        <v>1.5023899930654226E-2</v>
      </c>
    </row>
    <row r="4383" spans="1:6" x14ac:dyDescent="0.3">
      <c r="A4383" s="24">
        <v>39261</v>
      </c>
      <c r="B4383" s="66">
        <v>581.42200000000003</v>
      </c>
      <c r="C4383" s="67"/>
      <c r="D4383" s="68">
        <v>0</v>
      </c>
      <c r="E4383" s="110">
        <f t="shared" si="69"/>
        <v>37193</v>
      </c>
      <c r="F4383" s="69">
        <v>1.5023899930654226E-2</v>
      </c>
    </row>
    <row r="4384" spans="1:6" x14ac:dyDescent="0.3">
      <c r="A4384" s="24">
        <v>39262</v>
      </c>
      <c r="B4384" s="66">
        <v>581.42200000000003</v>
      </c>
      <c r="C4384" s="67"/>
      <c r="D4384" s="68">
        <v>0</v>
      </c>
      <c r="E4384" s="110">
        <f t="shared" si="69"/>
        <v>37193</v>
      </c>
      <c r="F4384" s="69">
        <v>1.4521852397329459E-2</v>
      </c>
    </row>
    <row r="4385" spans="1:6" x14ac:dyDescent="0.3">
      <c r="A4385" s="24">
        <v>39263</v>
      </c>
      <c r="B4385" s="66">
        <v>593.54899999999998</v>
      </c>
      <c r="C4385" s="67"/>
      <c r="D4385" s="68">
        <v>0</v>
      </c>
      <c r="E4385" s="110">
        <f t="shared" si="69"/>
        <v>37193</v>
      </c>
      <c r="F4385" s="69">
        <v>1.4521852397329459E-2</v>
      </c>
    </row>
    <row r="4386" spans="1:6" x14ac:dyDescent="0.3">
      <c r="A4386" s="24">
        <v>39264</v>
      </c>
      <c r="B4386" s="66">
        <v>593.54899999999998</v>
      </c>
      <c r="C4386" s="67"/>
      <c r="D4386" s="68">
        <v>0</v>
      </c>
      <c r="E4386" s="110">
        <f t="shared" si="69"/>
        <v>37193</v>
      </c>
      <c r="F4386" s="69">
        <v>1.4521852397329459E-2</v>
      </c>
    </row>
    <row r="4387" spans="1:6" x14ac:dyDescent="0.3">
      <c r="A4387" s="24">
        <v>39265</v>
      </c>
      <c r="B4387" s="66">
        <v>593.54899999999998</v>
      </c>
      <c r="C4387" s="67"/>
      <c r="D4387" s="68">
        <v>0</v>
      </c>
      <c r="E4387" s="110">
        <f t="shared" si="69"/>
        <v>37193</v>
      </c>
      <c r="F4387" s="69">
        <v>1.4521852397329459E-2</v>
      </c>
    </row>
    <row r="4388" spans="1:6" x14ac:dyDescent="0.3">
      <c r="A4388" s="24">
        <v>39266</v>
      </c>
      <c r="B4388" s="66">
        <v>593.54899999999998</v>
      </c>
      <c r="C4388" s="67"/>
      <c r="D4388" s="68">
        <v>0</v>
      </c>
      <c r="E4388" s="110">
        <f t="shared" si="69"/>
        <v>37193</v>
      </c>
      <c r="F4388" s="69">
        <v>1.4521852397329459E-2</v>
      </c>
    </row>
    <row r="4389" spans="1:6" x14ac:dyDescent="0.3">
      <c r="A4389" s="24">
        <v>39267</v>
      </c>
      <c r="B4389" s="66">
        <v>593.54899999999998</v>
      </c>
      <c r="C4389" s="67"/>
      <c r="D4389" s="68">
        <v>0</v>
      </c>
      <c r="E4389" s="110">
        <f t="shared" si="69"/>
        <v>37193</v>
      </c>
      <c r="F4389" s="69">
        <v>1.4521852397329459E-2</v>
      </c>
    </row>
    <row r="4390" spans="1:6" x14ac:dyDescent="0.3">
      <c r="A4390" s="24">
        <v>39268</v>
      </c>
      <c r="B4390" s="66">
        <v>593.54899999999998</v>
      </c>
      <c r="C4390" s="67"/>
      <c r="D4390" s="68">
        <v>0</v>
      </c>
      <c r="E4390" s="110">
        <f t="shared" si="69"/>
        <v>37193</v>
      </c>
      <c r="F4390" s="69">
        <v>1.4521852397329459E-2</v>
      </c>
    </row>
    <row r="4391" spans="1:6" x14ac:dyDescent="0.3">
      <c r="A4391" s="24">
        <v>39269</v>
      </c>
      <c r="B4391" s="66">
        <v>593.54899999999998</v>
      </c>
      <c r="C4391" s="67"/>
      <c r="D4391" s="68">
        <v>0</v>
      </c>
      <c r="E4391" s="110">
        <f t="shared" si="69"/>
        <v>37193</v>
      </c>
      <c r="F4391" s="69">
        <v>1.4521852397329459E-2</v>
      </c>
    </row>
    <row r="4392" spans="1:6" x14ac:dyDescent="0.3">
      <c r="A4392" s="24">
        <v>39270</v>
      </c>
      <c r="B4392" s="66">
        <v>593.54899999999998</v>
      </c>
      <c r="C4392" s="67"/>
      <c r="D4392" s="68">
        <v>0</v>
      </c>
      <c r="E4392" s="110">
        <f t="shared" si="69"/>
        <v>37193</v>
      </c>
      <c r="F4392" s="69">
        <v>1.4521852397329459E-2</v>
      </c>
    </row>
    <row r="4393" spans="1:6" x14ac:dyDescent="0.3">
      <c r="A4393" s="24">
        <v>39271</v>
      </c>
      <c r="B4393" s="66">
        <v>593.54899999999998</v>
      </c>
      <c r="C4393" s="67"/>
      <c r="D4393" s="68">
        <v>0</v>
      </c>
      <c r="E4393" s="110">
        <f t="shared" si="69"/>
        <v>37193</v>
      </c>
      <c r="F4393" s="69">
        <v>1.4521852397329459E-2</v>
      </c>
    </row>
    <row r="4394" spans="1:6" x14ac:dyDescent="0.3">
      <c r="A4394" s="24">
        <v>39272</v>
      </c>
      <c r="B4394" s="66">
        <v>593.54899999999998</v>
      </c>
      <c r="C4394" s="67"/>
      <c r="D4394" s="68">
        <v>0</v>
      </c>
      <c r="E4394" s="110">
        <f t="shared" si="69"/>
        <v>37193</v>
      </c>
      <c r="F4394" s="69">
        <v>1.4521852397329459E-2</v>
      </c>
    </row>
    <row r="4395" spans="1:6" x14ac:dyDescent="0.3">
      <c r="A4395" s="24">
        <v>39273</v>
      </c>
      <c r="B4395" s="66">
        <v>593.54899999999998</v>
      </c>
      <c r="C4395" s="67"/>
      <c r="D4395" s="68">
        <v>0</v>
      </c>
      <c r="E4395" s="110">
        <f t="shared" si="69"/>
        <v>37193</v>
      </c>
      <c r="F4395" s="69">
        <v>1.4521852397329459E-2</v>
      </c>
    </row>
    <row r="4396" spans="1:6" x14ac:dyDescent="0.3">
      <c r="A4396" s="24">
        <v>39274</v>
      </c>
      <c r="B4396" s="66">
        <v>593.54899999999998</v>
      </c>
      <c r="C4396" s="67"/>
      <c r="D4396" s="68">
        <v>0</v>
      </c>
      <c r="E4396" s="110">
        <f t="shared" si="69"/>
        <v>37193</v>
      </c>
      <c r="F4396" s="69">
        <v>1.4521852397329459E-2</v>
      </c>
    </row>
    <row r="4397" spans="1:6" x14ac:dyDescent="0.3">
      <c r="A4397" s="24">
        <v>39275</v>
      </c>
      <c r="B4397" s="66">
        <v>593.54899999999998</v>
      </c>
      <c r="C4397" s="67"/>
      <c r="D4397" s="68">
        <v>0</v>
      </c>
      <c r="E4397" s="110">
        <f t="shared" si="69"/>
        <v>37193</v>
      </c>
      <c r="F4397" s="69">
        <v>1.4521852397329459E-2</v>
      </c>
    </row>
    <row r="4398" spans="1:6" x14ac:dyDescent="0.3">
      <c r="A4398" s="24">
        <v>39276</v>
      </c>
      <c r="B4398" s="66">
        <v>593.54899999999998</v>
      </c>
      <c r="C4398" s="67"/>
      <c r="D4398" s="68">
        <v>0</v>
      </c>
      <c r="E4398" s="110">
        <f t="shared" si="69"/>
        <v>37193</v>
      </c>
      <c r="F4398" s="69">
        <v>1.4521852397329459E-2</v>
      </c>
    </row>
    <row r="4399" spans="1:6" x14ac:dyDescent="0.3">
      <c r="A4399" s="24">
        <v>39277</v>
      </c>
      <c r="B4399" s="66">
        <v>593.54899999999998</v>
      </c>
      <c r="C4399" s="67"/>
      <c r="D4399" s="68">
        <v>0</v>
      </c>
      <c r="E4399" s="110">
        <f t="shared" si="69"/>
        <v>37193</v>
      </c>
      <c r="F4399" s="69">
        <v>1.4521852397329459E-2</v>
      </c>
    </row>
    <row r="4400" spans="1:6" x14ac:dyDescent="0.3">
      <c r="A4400" s="24">
        <v>39278</v>
      </c>
      <c r="B4400" s="66">
        <v>593.54899999999998</v>
      </c>
      <c r="C4400" s="67"/>
      <c r="D4400" s="68">
        <v>0</v>
      </c>
      <c r="E4400" s="110">
        <f t="shared" si="69"/>
        <v>37193</v>
      </c>
      <c r="F4400" s="69">
        <v>1.4521852397329459E-2</v>
      </c>
    </row>
    <row r="4401" spans="1:6" x14ac:dyDescent="0.3">
      <c r="A4401" s="24">
        <v>39279</v>
      </c>
      <c r="B4401" s="66">
        <v>593.54899999999998</v>
      </c>
      <c r="C4401" s="67"/>
      <c r="D4401" s="68">
        <v>0</v>
      </c>
      <c r="E4401" s="110">
        <f t="shared" si="69"/>
        <v>37193</v>
      </c>
      <c r="F4401" s="69">
        <v>1.4521852397329459E-2</v>
      </c>
    </row>
    <row r="4402" spans="1:6" x14ac:dyDescent="0.3">
      <c r="A4402" s="24">
        <v>39280</v>
      </c>
      <c r="B4402" s="66">
        <v>593.54899999999998</v>
      </c>
      <c r="C4402" s="67"/>
      <c r="D4402" s="68">
        <v>0</v>
      </c>
      <c r="E4402" s="110">
        <f t="shared" si="69"/>
        <v>37193</v>
      </c>
      <c r="F4402" s="69">
        <v>1.4521852397329459E-2</v>
      </c>
    </row>
    <row r="4403" spans="1:6" x14ac:dyDescent="0.3">
      <c r="A4403" s="24">
        <v>39281</v>
      </c>
      <c r="B4403" s="66">
        <v>593.54899999999998</v>
      </c>
      <c r="C4403" s="67"/>
      <c r="D4403" s="68">
        <v>0</v>
      </c>
      <c r="E4403" s="110">
        <f t="shared" si="69"/>
        <v>37193</v>
      </c>
      <c r="F4403" s="69">
        <v>1.4521852397329459E-2</v>
      </c>
    </row>
    <row r="4404" spans="1:6" x14ac:dyDescent="0.3">
      <c r="A4404" s="24">
        <v>39282</v>
      </c>
      <c r="B4404" s="66">
        <v>593.54899999999998</v>
      </c>
      <c r="C4404" s="67"/>
      <c r="D4404" s="68">
        <v>0</v>
      </c>
      <c r="E4404" s="110">
        <f t="shared" si="69"/>
        <v>37193</v>
      </c>
      <c r="F4404" s="69">
        <v>1.4521852397329459E-2</v>
      </c>
    </row>
    <row r="4405" spans="1:6" x14ac:dyDescent="0.3">
      <c r="A4405" s="24">
        <v>39283</v>
      </c>
      <c r="B4405" s="66">
        <v>593.54899999999998</v>
      </c>
      <c r="C4405" s="67"/>
      <c r="D4405" s="68">
        <v>0</v>
      </c>
      <c r="E4405" s="110">
        <f t="shared" si="69"/>
        <v>37193</v>
      </c>
      <c r="F4405" s="69">
        <v>1.4521852397329459E-2</v>
      </c>
    </row>
    <row r="4406" spans="1:6" x14ac:dyDescent="0.3">
      <c r="A4406" s="24">
        <v>39284</v>
      </c>
      <c r="B4406" s="66">
        <v>593.54899999999998</v>
      </c>
      <c r="C4406" s="67"/>
      <c r="D4406" s="68">
        <v>0</v>
      </c>
      <c r="E4406" s="110">
        <f t="shared" si="69"/>
        <v>37193</v>
      </c>
      <c r="F4406" s="69">
        <v>1.4521852397329459E-2</v>
      </c>
    </row>
    <row r="4407" spans="1:6" x14ac:dyDescent="0.3">
      <c r="A4407" s="24">
        <v>39285</v>
      </c>
      <c r="B4407" s="66">
        <v>593.54899999999998</v>
      </c>
      <c r="C4407" s="67"/>
      <c r="D4407" s="68">
        <v>0</v>
      </c>
      <c r="E4407" s="110">
        <f t="shared" si="69"/>
        <v>37193</v>
      </c>
      <c r="F4407" s="69">
        <v>1.4521852397329459E-2</v>
      </c>
    </row>
    <row r="4408" spans="1:6" x14ac:dyDescent="0.3">
      <c r="A4408" s="24">
        <v>39286</v>
      </c>
      <c r="B4408" s="66">
        <v>593.54899999999998</v>
      </c>
      <c r="C4408" s="67"/>
      <c r="D4408" s="68">
        <v>0</v>
      </c>
      <c r="E4408" s="110">
        <f t="shared" si="69"/>
        <v>37193</v>
      </c>
      <c r="F4408" s="69">
        <v>1.4521852397329459E-2</v>
      </c>
    </row>
    <row r="4409" spans="1:6" x14ac:dyDescent="0.3">
      <c r="A4409" s="24">
        <v>39287</v>
      </c>
      <c r="B4409" s="66">
        <v>593.54899999999998</v>
      </c>
      <c r="C4409" s="67"/>
      <c r="D4409" s="68">
        <v>0</v>
      </c>
      <c r="E4409" s="110">
        <f t="shared" si="69"/>
        <v>37193</v>
      </c>
      <c r="F4409" s="69">
        <v>1.4521852397329459E-2</v>
      </c>
    </row>
    <row r="4410" spans="1:6" x14ac:dyDescent="0.3">
      <c r="A4410" s="24">
        <v>39288</v>
      </c>
      <c r="B4410" s="66">
        <v>593.54899999999998</v>
      </c>
      <c r="C4410" s="67"/>
      <c r="D4410" s="68">
        <v>0</v>
      </c>
      <c r="E4410" s="110">
        <f t="shared" si="69"/>
        <v>37193</v>
      </c>
      <c r="F4410" s="69">
        <v>1.4521852397329459E-2</v>
      </c>
    </row>
    <row r="4411" spans="1:6" x14ac:dyDescent="0.3">
      <c r="A4411" s="24">
        <v>39289</v>
      </c>
      <c r="B4411" s="66">
        <v>593.54899999999998</v>
      </c>
      <c r="C4411" s="67"/>
      <c r="D4411" s="68">
        <v>0</v>
      </c>
      <c r="E4411" s="110">
        <f t="shared" si="69"/>
        <v>37193</v>
      </c>
      <c r="F4411" s="69">
        <v>1.4521852397329459E-2</v>
      </c>
    </row>
    <row r="4412" spans="1:6" x14ac:dyDescent="0.3">
      <c r="A4412" s="24">
        <v>39290</v>
      </c>
      <c r="B4412" s="66">
        <v>593.54899999999998</v>
      </c>
      <c r="C4412" s="67"/>
      <c r="D4412" s="68">
        <v>0</v>
      </c>
      <c r="E4412" s="110">
        <f t="shared" si="69"/>
        <v>37193</v>
      </c>
      <c r="F4412" s="69">
        <v>1.4521852397329459E-2</v>
      </c>
    </row>
    <row r="4413" spans="1:6" x14ac:dyDescent="0.3">
      <c r="A4413" s="24">
        <v>39291</v>
      </c>
      <c r="B4413" s="66">
        <v>593.54899999999998</v>
      </c>
      <c r="C4413" s="67"/>
      <c r="D4413" s="68">
        <v>0</v>
      </c>
      <c r="E4413" s="110">
        <f t="shared" si="69"/>
        <v>37193</v>
      </c>
      <c r="F4413" s="69">
        <v>1.4521852397329459E-2</v>
      </c>
    </row>
    <row r="4414" spans="1:6" x14ac:dyDescent="0.3">
      <c r="A4414" s="24">
        <v>39292</v>
      </c>
      <c r="B4414" s="66">
        <v>593.54899999999998</v>
      </c>
      <c r="C4414" s="67"/>
      <c r="D4414" s="68">
        <v>0</v>
      </c>
      <c r="E4414" s="110">
        <f t="shared" si="69"/>
        <v>37193</v>
      </c>
      <c r="F4414" s="69">
        <v>1.4521852397329459E-2</v>
      </c>
    </row>
    <row r="4415" spans="1:6" x14ac:dyDescent="0.3">
      <c r="A4415" s="24">
        <v>39293</v>
      </c>
      <c r="B4415" s="66">
        <v>593.54899999999998</v>
      </c>
      <c r="C4415" s="67"/>
      <c r="D4415" s="68">
        <v>0</v>
      </c>
      <c r="E4415" s="110">
        <f t="shared" si="69"/>
        <v>37193</v>
      </c>
      <c r="F4415" s="69">
        <v>1.4521852397329459E-2</v>
      </c>
    </row>
    <row r="4416" spans="1:6" x14ac:dyDescent="0.3">
      <c r="A4416" s="24">
        <v>39294</v>
      </c>
      <c r="B4416" s="66">
        <v>593.54899999999998</v>
      </c>
      <c r="C4416" s="67"/>
      <c r="D4416" s="68">
        <v>0</v>
      </c>
      <c r="E4416" s="110">
        <f t="shared" si="69"/>
        <v>37193</v>
      </c>
      <c r="F4416" s="69">
        <v>1.4521852397329459E-2</v>
      </c>
    </row>
    <row r="4417" spans="1:6" x14ac:dyDescent="0.3">
      <c r="A4417" s="24">
        <v>39295</v>
      </c>
      <c r="B4417" s="66">
        <v>593.54899999999998</v>
      </c>
      <c r="C4417" s="67"/>
      <c r="D4417" s="68">
        <v>0</v>
      </c>
      <c r="E4417" s="110">
        <f t="shared" si="69"/>
        <v>37193</v>
      </c>
      <c r="F4417" s="69">
        <v>1.4521852397329459E-2</v>
      </c>
    </row>
    <row r="4418" spans="1:6" x14ac:dyDescent="0.3">
      <c r="A4418" s="24">
        <v>39296</v>
      </c>
      <c r="B4418" s="66">
        <v>593.54899999999998</v>
      </c>
      <c r="C4418" s="67"/>
      <c r="D4418" s="68">
        <v>0</v>
      </c>
      <c r="E4418" s="110">
        <f t="shared" si="69"/>
        <v>37193</v>
      </c>
      <c r="F4418" s="69">
        <v>1.4521852397329459E-2</v>
      </c>
    </row>
    <row r="4419" spans="1:6" x14ac:dyDescent="0.3">
      <c r="A4419" s="24">
        <v>39297</v>
      </c>
      <c r="B4419" s="66">
        <v>593.54899999999998</v>
      </c>
      <c r="C4419" s="67"/>
      <c r="D4419" s="68">
        <v>0</v>
      </c>
      <c r="E4419" s="110">
        <f t="shared" si="69"/>
        <v>37193</v>
      </c>
      <c r="F4419" s="69">
        <v>1.4521852397329459E-2</v>
      </c>
    </row>
    <row r="4420" spans="1:6" x14ac:dyDescent="0.3">
      <c r="A4420" s="24">
        <v>39298</v>
      </c>
      <c r="B4420" s="66">
        <v>593.54899999999998</v>
      </c>
      <c r="C4420" s="67"/>
      <c r="D4420" s="68">
        <v>0</v>
      </c>
      <c r="E4420" s="110">
        <f t="shared" si="69"/>
        <v>37193</v>
      </c>
      <c r="F4420" s="69">
        <v>1.4521852397329459E-2</v>
      </c>
    </row>
    <row r="4421" spans="1:6" x14ac:dyDescent="0.3">
      <c r="A4421" s="24">
        <v>39299</v>
      </c>
      <c r="B4421" s="66">
        <v>593.54899999999998</v>
      </c>
      <c r="C4421" s="67"/>
      <c r="D4421" s="68">
        <v>0</v>
      </c>
      <c r="E4421" s="110">
        <f t="shared" si="69"/>
        <v>37193</v>
      </c>
      <c r="F4421" s="69">
        <v>1.4521852397329459E-2</v>
      </c>
    </row>
    <row r="4422" spans="1:6" x14ac:dyDescent="0.3">
      <c r="A4422" s="24">
        <v>39300</v>
      </c>
      <c r="B4422" s="66">
        <v>593.54899999999998</v>
      </c>
      <c r="C4422" s="67"/>
      <c r="D4422" s="68">
        <v>0</v>
      </c>
      <c r="E4422" s="110">
        <f t="shared" si="69"/>
        <v>37193</v>
      </c>
      <c r="F4422" s="69">
        <v>1.4521852397329459E-2</v>
      </c>
    </row>
    <row r="4423" spans="1:6" x14ac:dyDescent="0.3">
      <c r="A4423" s="24">
        <v>39301</v>
      </c>
      <c r="B4423" s="66">
        <v>593.54899999999998</v>
      </c>
      <c r="C4423" s="67"/>
      <c r="D4423" s="68">
        <v>0</v>
      </c>
      <c r="E4423" s="110">
        <f t="shared" si="69"/>
        <v>37193</v>
      </c>
      <c r="F4423" s="69">
        <v>1.4521852397329459E-2</v>
      </c>
    </row>
    <row r="4424" spans="1:6" x14ac:dyDescent="0.3">
      <c r="A4424" s="24">
        <v>39302</v>
      </c>
      <c r="B4424" s="66">
        <v>593.54899999999998</v>
      </c>
      <c r="C4424" s="67"/>
      <c r="D4424" s="68">
        <v>0</v>
      </c>
      <c r="E4424" s="110">
        <f t="shared" si="69"/>
        <v>37193</v>
      </c>
      <c r="F4424" s="69">
        <v>1.4521852397329459E-2</v>
      </c>
    </row>
    <row r="4425" spans="1:6" x14ac:dyDescent="0.3">
      <c r="A4425" s="24">
        <v>39303</v>
      </c>
      <c r="B4425" s="66">
        <v>593.54899999999998</v>
      </c>
      <c r="C4425" s="67"/>
      <c r="D4425" s="68">
        <v>0</v>
      </c>
      <c r="E4425" s="110">
        <f t="shared" si="69"/>
        <v>37193</v>
      </c>
      <c r="F4425" s="69">
        <v>1.4521852397329459E-2</v>
      </c>
    </row>
    <row r="4426" spans="1:6" x14ac:dyDescent="0.3">
      <c r="A4426" s="24">
        <v>39304</v>
      </c>
      <c r="B4426" s="66">
        <v>593.54899999999998</v>
      </c>
      <c r="C4426" s="67"/>
      <c r="D4426" s="68">
        <v>0</v>
      </c>
      <c r="E4426" s="110">
        <f t="shared" si="69"/>
        <v>37193</v>
      </c>
      <c r="F4426" s="69">
        <v>1.4521852397329459E-2</v>
      </c>
    </row>
    <row r="4427" spans="1:6" x14ac:dyDescent="0.3">
      <c r="A4427" s="24">
        <v>39305</v>
      </c>
      <c r="B4427" s="66">
        <v>593.54899999999998</v>
      </c>
      <c r="C4427" s="67"/>
      <c r="D4427" s="68">
        <v>0</v>
      </c>
      <c r="E4427" s="110">
        <f t="shared" si="69"/>
        <v>37193</v>
      </c>
      <c r="F4427" s="69">
        <v>1.4521852397329459E-2</v>
      </c>
    </row>
    <row r="4428" spans="1:6" x14ac:dyDescent="0.3">
      <c r="A4428" s="24">
        <v>39306</v>
      </c>
      <c r="B4428" s="66">
        <v>593.54899999999998</v>
      </c>
      <c r="C4428" s="67"/>
      <c r="D4428" s="68">
        <v>0</v>
      </c>
      <c r="E4428" s="110">
        <f t="shared" si="69"/>
        <v>37193</v>
      </c>
      <c r="F4428" s="69">
        <v>1.4521852397329459E-2</v>
      </c>
    </row>
    <row r="4429" spans="1:6" x14ac:dyDescent="0.3">
      <c r="A4429" s="24">
        <v>39307</v>
      </c>
      <c r="B4429" s="66">
        <v>593.54899999999998</v>
      </c>
      <c r="C4429" s="67"/>
      <c r="D4429" s="68">
        <v>0</v>
      </c>
      <c r="E4429" s="110">
        <f t="shared" si="69"/>
        <v>37193</v>
      </c>
      <c r="F4429" s="69">
        <v>1.4521852397329459E-2</v>
      </c>
    </row>
    <row r="4430" spans="1:6" x14ac:dyDescent="0.3">
      <c r="A4430" s="24">
        <v>39308</v>
      </c>
      <c r="B4430" s="66">
        <v>593.54899999999998</v>
      </c>
      <c r="C4430" s="67"/>
      <c r="D4430" s="68">
        <v>0</v>
      </c>
      <c r="E4430" s="110">
        <f t="shared" si="69"/>
        <v>37193</v>
      </c>
      <c r="F4430" s="69">
        <v>1.4521852397329459E-2</v>
      </c>
    </row>
    <row r="4431" spans="1:6" x14ac:dyDescent="0.3">
      <c r="A4431" s="24">
        <v>39309</v>
      </c>
      <c r="B4431" s="66">
        <v>593.54899999999998</v>
      </c>
      <c r="C4431" s="67"/>
      <c r="D4431" s="68">
        <v>0</v>
      </c>
      <c r="E4431" s="110">
        <f t="shared" si="69"/>
        <v>37193</v>
      </c>
      <c r="F4431" s="69">
        <v>1.4521852397329459E-2</v>
      </c>
    </row>
    <row r="4432" spans="1:6" x14ac:dyDescent="0.3">
      <c r="A4432" s="24">
        <v>39310</v>
      </c>
      <c r="B4432" s="66">
        <v>593.54899999999998</v>
      </c>
      <c r="C4432" s="67"/>
      <c r="D4432" s="68">
        <v>0</v>
      </c>
      <c r="E4432" s="110">
        <f t="shared" si="69"/>
        <v>37193</v>
      </c>
      <c r="F4432" s="69">
        <v>1.4521852397329459E-2</v>
      </c>
    </row>
    <row r="4433" spans="1:6" x14ac:dyDescent="0.3">
      <c r="A4433" s="24">
        <v>39311</v>
      </c>
      <c r="B4433" s="66">
        <v>593.54899999999998</v>
      </c>
      <c r="C4433" s="67"/>
      <c r="D4433" s="68">
        <v>0</v>
      </c>
      <c r="E4433" s="110">
        <f t="shared" si="69"/>
        <v>37193</v>
      </c>
      <c r="F4433" s="69">
        <v>1.4521852397329459E-2</v>
      </c>
    </row>
    <row r="4434" spans="1:6" x14ac:dyDescent="0.3">
      <c r="A4434" s="24">
        <v>39312</v>
      </c>
      <c r="B4434" s="66">
        <v>593.54899999999998</v>
      </c>
      <c r="C4434" s="67"/>
      <c r="D4434" s="68">
        <v>0</v>
      </c>
      <c r="E4434" s="110">
        <f t="shared" ref="E4434:E4497" si="70">+E4433</f>
        <v>37193</v>
      </c>
      <c r="F4434" s="69">
        <v>1.4521852397329459E-2</v>
      </c>
    </row>
    <row r="4435" spans="1:6" x14ac:dyDescent="0.3">
      <c r="A4435" s="24">
        <v>39313</v>
      </c>
      <c r="B4435" s="66">
        <v>593.54899999999998</v>
      </c>
      <c r="C4435" s="67"/>
      <c r="D4435" s="68">
        <v>0</v>
      </c>
      <c r="E4435" s="110">
        <f t="shared" si="70"/>
        <v>37193</v>
      </c>
      <c r="F4435" s="69">
        <v>1.4521852397329459E-2</v>
      </c>
    </row>
    <row r="4436" spans="1:6" x14ac:dyDescent="0.3">
      <c r="A4436" s="24">
        <v>39314</v>
      </c>
      <c r="B4436" s="66">
        <v>593.54899999999998</v>
      </c>
      <c r="C4436" s="67"/>
      <c r="D4436" s="68">
        <v>0</v>
      </c>
      <c r="E4436" s="110">
        <f t="shared" si="70"/>
        <v>37193</v>
      </c>
      <c r="F4436" s="69">
        <v>1.4521852397329459E-2</v>
      </c>
    </row>
    <row r="4437" spans="1:6" x14ac:dyDescent="0.3">
      <c r="A4437" s="24">
        <v>39315</v>
      </c>
      <c r="B4437" s="66">
        <v>593.54899999999998</v>
      </c>
      <c r="C4437" s="67"/>
      <c r="D4437" s="68">
        <v>0</v>
      </c>
      <c r="E4437" s="110">
        <f t="shared" si="70"/>
        <v>37193</v>
      </c>
      <c r="F4437" s="69">
        <v>1.4521852397329459E-2</v>
      </c>
    </row>
    <row r="4438" spans="1:6" x14ac:dyDescent="0.3">
      <c r="A4438" s="24">
        <v>39316</v>
      </c>
      <c r="B4438" s="66">
        <v>593.54899999999998</v>
      </c>
      <c r="C4438" s="67"/>
      <c r="D4438" s="68">
        <v>0</v>
      </c>
      <c r="E4438" s="110">
        <f t="shared" si="70"/>
        <v>37193</v>
      </c>
      <c r="F4438" s="69">
        <v>1.4521852397329459E-2</v>
      </c>
    </row>
    <row r="4439" spans="1:6" x14ac:dyDescent="0.3">
      <c r="A4439" s="24">
        <v>39317</v>
      </c>
      <c r="B4439" s="66">
        <v>593.54899999999998</v>
      </c>
      <c r="C4439" s="67"/>
      <c r="D4439" s="68">
        <v>0</v>
      </c>
      <c r="E4439" s="110">
        <f t="shared" si="70"/>
        <v>37193</v>
      </c>
      <c r="F4439" s="69">
        <v>1.4521852397329459E-2</v>
      </c>
    </row>
    <row r="4440" spans="1:6" x14ac:dyDescent="0.3">
      <c r="A4440" s="24">
        <v>39318</v>
      </c>
      <c r="B4440" s="66">
        <v>593.54899999999998</v>
      </c>
      <c r="C4440" s="67"/>
      <c r="D4440" s="68">
        <v>0</v>
      </c>
      <c r="E4440" s="110">
        <f t="shared" si="70"/>
        <v>37193</v>
      </c>
      <c r="F4440" s="69">
        <v>1.4521852397329459E-2</v>
      </c>
    </row>
    <row r="4441" spans="1:6" x14ac:dyDescent="0.3">
      <c r="A4441" s="24">
        <v>39319</v>
      </c>
      <c r="B4441" s="66">
        <v>593.54899999999998</v>
      </c>
      <c r="C4441" s="67"/>
      <c r="D4441" s="68">
        <v>0</v>
      </c>
      <c r="E4441" s="110">
        <f t="shared" si="70"/>
        <v>37193</v>
      </c>
      <c r="F4441" s="69">
        <v>1.4521852397329459E-2</v>
      </c>
    </row>
    <row r="4442" spans="1:6" x14ac:dyDescent="0.3">
      <c r="A4442" s="24">
        <v>39320</v>
      </c>
      <c r="B4442" s="66">
        <v>593.54899999999998</v>
      </c>
      <c r="C4442" s="67"/>
      <c r="D4442" s="68">
        <v>0</v>
      </c>
      <c r="E4442" s="110">
        <f t="shared" si="70"/>
        <v>37193</v>
      </c>
      <c r="F4442" s="69">
        <v>1.4521852397329459E-2</v>
      </c>
    </row>
    <row r="4443" spans="1:6" x14ac:dyDescent="0.3">
      <c r="A4443" s="24">
        <v>39321</v>
      </c>
      <c r="B4443" s="66">
        <v>593.54899999999998</v>
      </c>
      <c r="C4443" s="67"/>
      <c r="D4443" s="68">
        <v>0</v>
      </c>
      <c r="E4443" s="110">
        <f t="shared" si="70"/>
        <v>37193</v>
      </c>
      <c r="F4443" s="69">
        <v>1.4521852397329459E-2</v>
      </c>
    </row>
    <row r="4444" spans="1:6" x14ac:dyDescent="0.3">
      <c r="A4444" s="24">
        <v>39322</v>
      </c>
      <c r="B4444" s="66">
        <v>593.54899999999998</v>
      </c>
      <c r="C4444" s="67"/>
      <c r="D4444" s="68">
        <v>0</v>
      </c>
      <c r="E4444" s="110">
        <f t="shared" si="70"/>
        <v>37193</v>
      </c>
      <c r="F4444" s="69">
        <v>1.4521852397329459E-2</v>
      </c>
    </row>
    <row r="4445" spans="1:6" x14ac:dyDescent="0.3">
      <c r="A4445" s="24">
        <v>39323</v>
      </c>
      <c r="B4445" s="66">
        <v>593.54899999999998</v>
      </c>
      <c r="C4445" s="67"/>
      <c r="D4445" s="68">
        <v>0</v>
      </c>
      <c r="E4445" s="110">
        <f t="shared" si="70"/>
        <v>37193</v>
      </c>
      <c r="F4445" s="69">
        <v>1.4521852397329459E-2</v>
      </c>
    </row>
    <row r="4446" spans="1:6" x14ac:dyDescent="0.3">
      <c r="A4446" s="24">
        <v>39324</v>
      </c>
      <c r="B4446" s="66">
        <v>593.54899999999998</v>
      </c>
      <c r="C4446" s="67"/>
      <c r="D4446" s="68">
        <v>0</v>
      </c>
      <c r="E4446" s="110">
        <f t="shared" si="70"/>
        <v>37193</v>
      </c>
      <c r="F4446" s="69">
        <v>1.4521852397329459E-2</v>
      </c>
    </row>
    <row r="4447" spans="1:6" x14ac:dyDescent="0.3">
      <c r="A4447" s="24">
        <v>39325</v>
      </c>
      <c r="B4447" s="66">
        <v>593.54899999999998</v>
      </c>
      <c r="C4447" s="67"/>
      <c r="D4447" s="68">
        <v>0</v>
      </c>
      <c r="E4447" s="110">
        <f t="shared" si="70"/>
        <v>37193</v>
      </c>
      <c r="F4447" s="69">
        <v>1.4521852397329459E-2</v>
      </c>
    </row>
    <row r="4448" spans="1:6" x14ac:dyDescent="0.3">
      <c r="A4448" s="24">
        <v>39326</v>
      </c>
      <c r="B4448" s="66">
        <v>593.54899999999998</v>
      </c>
      <c r="C4448" s="67"/>
      <c r="D4448" s="68">
        <v>0</v>
      </c>
      <c r="E4448" s="110">
        <f t="shared" si="70"/>
        <v>37193</v>
      </c>
      <c r="F4448" s="69">
        <v>1.4521852397329459E-2</v>
      </c>
    </row>
    <row r="4449" spans="1:6" x14ac:dyDescent="0.3">
      <c r="A4449" s="24">
        <v>39327</v>
      </c>
      <c r="B4449" s="66">
        <v>593.54899999999998</v>
      </c>
      <c r="C4449" s="67"/>
      <c r="D4449" s="68">
        <v>0</v>
      </c>
      <c r="E4449" s="110">
        <f t="shared" si="70"/>
        <v>37193</v>
      </c>
      <c r="F4449" s="69">
        <v>1.4521852397329459E-2</v>
      </c>
    </row>
    <row r="4450" spans="1:6" x14ac:dyDescent="0.3">
      <c r="A4450" s="24">
        <v>39328</v>
      </c>
      <c r="B4450" s="66">
        <v>593.54899999999998</v>
      </c>
      <c r="C4450" s="67"/>
      <c r="D4450" s="68">
        <v>0</v>
      </c>
      <c r="E4450" s="110">
        <f t="shared" si="70"/>
        <v>37193</v>
      </c>
      <c r="F4450" s="69">
        <v>1.4521852397329459E-2</v>
      </c>
    </row>
    <row r="4451" spans="1:6" x14ac:dyDescent="0.3">
      <c r="A4451" s="24">
        <v>39329</v>
      </c>
      <c r="B4451" s="66">
        <v>593.54899999999998</v>
      </c>
      <c r="C4451" s="67"/>
      <c r="D4451" s="68">
        <v>0</v>
      </c>
      <c r="E4451" s="110">
        <f t="shared" si="70"/>
        <v>37193</v>
      </c>
      <c r="F4451" s="69">
        <v>1.4521852397329459E-2</v>
      </c>
    </row>
    <row r="4452" spans="1:6" x14ac:dyDescent="0.3">
      <c r="A4452" s="24">
        <v>39330</v>
      </c>
      <c r="B4452" s="66">
        <v>593.54899999999998</v>
      </c>
      <c r="C4452" s="67"/>
      <c r="D4452" s="68">
        <v>0</v>
      </c>
      <c r="E4452" s="110">
        <f t="shared" si="70"/>
        <v>37193</v>
      </c>
      <c r="F4452" s="69">
        <v>1.4521852397329459E-2</v>
      </c>
    </row>
    <row r="4453" spans="1:6" x14ac:dyDescent="0.3">
      <c r="A4453" s="24">
        <v>39331</v>
      </c>
      <c r="B4453" s="66">
        <v>593.54899999999998</v>
      </c>
      <c r="C4453" s="67"/>
      <c r="D4453" s="68">
        <v>0</v>
      </c>
      <c r="E4453" s="110">
        <f t="shared" si="70"/>
        <v>37193</v>
      </c>
      <c r="F4453" s="69">
        <v>1.4521852397329459E-2</v>
      </c>
    </row>
    <row r="4454" spans="1:6" x14ac:dyDescent="0.3">
      <c r="A4454" s="24">
        <v>39332</v>
      </c>
      <c r="B4454" s="66">
        <v>593.54899999999998</v>
      </c>
      <c r="C4454" s="67"/>
      <c r="D4454" s="68">
        <v>0</v>
      </c>
      <c r="E4454" s="110">
        <f t="shared" si="70"/>
        <v>37193</v>
      </c>
      <c r="F4454" s="69">
        <v>1.4521852397329459E-2</v>
      </c>
    </row>
    <row r="4455" spans="1:6" x14ac:dyDescent="0.3">
      <c r="A4455" s="24">
        <v>39333</v>
      </c>
      <c r="B4455" s="66">
        <v>593.54899999999998</v>
      </c>
      <c r="C4455" s="67"/>
      <c r="D4455" s="68">
        <v>0</v>
      </c>
      <c r="E4455" s="110">
        <f t="shared" si="70"/>
        <v>37193</v>
      </c>
      <c r="F4455" s="69">
        <v>1.4521852397329459E-2</v>
      </c>
    </row>
    <row r="4456" spans="1:6" x14ac:dyDescent="0.3">
      <c r="A4456" s="24">
        <v>39334</v>
      </c>
      <c r="B4456" s="66">
        <v>593.54899999999998</v>
      </c>
      <c r="C4456" s="67"/>
      <c r="D4456" s="68">
        <v>0</v>
      </c>
      <c r="E4456" s="110">
        <f t="shared" si="70"/>
        <v>37193</v>
      </c>
      <c r="F4456" s="69">
        <v>1.4521852397329459E-2</v>
      </c>
    </row>
    <row r="4457" spans="1:6" x14ac:dyDescent="0.3">
      <c r="A4457" s="24">
        <v>39335</v>
      </c>
      <c r="B4457" s="66">
        <v>593.54899999999998</v>
      </c>
      <c r="C4457" s="67"/>
      <c r="D4457" s="68">
        <v>0</v>
      </c>
      <c r="E4457" s="110">
        <f t="shared" si="70"/>
        <v>37193</v>
      </c>
      <c r="F4457" s="69">
        <v>1.4521852397329459E-2</v>
      </c>
    </row>
    <row r="4458" spans="1:6" x14ac:dyDescent="0.3">
      <c r="A4458" s="24">
        <v>39336</v>
      </c>
      <c r="B4458" s="66">
        <v>593.54899999999998</v>
      </c>
      <c r="C4458" s="67"/>
      <c r="D4458" s="68">
        <v>0</v>
      </c>
      <c r="E4458" s="110">
        <f t="shared" si="70"/>
        <v>37193</v>
      </c>
      <c r="F4458" s="69">
        <v>1.4521852397329459E-2</v>
      </c>
    </row>
    <row r="4459" spans="1:6" x14ac:dyDescent="0.3">
      <c r="A4459" s="24">
        <v>39337</v>
      </c>
      <c r="B4459" s="66">
        <v>593.54899999999998</v>
      </c>
      <c r="C4459" s="67"/>
      <c r="D4459" s="68">
        <v>0</v>
      </c>
      <c r="E4459" s="110">
        <f t="shared" si="70"/>
        <v>37193</v>
      </c>
      <c r="F4459" s="69">
        <v>1.4521852397329459E-2</v>
      </c>
    </row>
    <row r="4460" spans="1:6" x14ac:dyDescent="0.3">
      <c r="A4460" s="24">
        <v>39338</v>
      </c>
      <c r="B4460" s="66">
        <v>593.54899999999998</v>
      </c>
      <c r="C4460" s="67"/>
      <c r="D4460" s="68">
        <v>0</v>
      </c>
      <c r="E4460" s="110">
        <f t="shared" si="70"/>
        <v>37193</v>
      </c>
      <c r="F4460" s="69">
        <v>1.4521852397329459E-2</v>
      </c>
    </row>
    <row r="4461" spans="1:6" x14ac:dyDescent="0.3">
      <c r="A4461" s="24">
        <v>39339</v>
      </c>
      <c r="B4461" s="66">
        <v>593.54899999999998</v>
      </c>
      <c r="C4461" s="67"/>
      <c r="D4461" s="68">
        <v>0</v>
      </c>
      <c r="E4461" s="110">
        <f t="shared" si="70"/>
        <v>37193</v>
      </c>
      <c r="F4461" s="69">
        <v>1.4521852397329459E-2</v>
      </c>
    </row>
    <row r="4462" spans="1:6" x14ac:dyDescent="0.3">
      <c r="A4462" s="24">
        <v>39340</v>
      </c>
      <c r="B4462" s="66">
        <v>593.54899999999998</v>
      </c>
      <c r="C4462" s="67"/>
      <c r="D4462" s="68">
        <v>0</v>
      </c>
      <c r="E4462" s="110">
        <f t="shared" si="70"/>
        <v>37193</v>
      </c>
      <c r="F4462" s="69">
        <v>1.4521852397329459E-2</v>
      </c>
    </row>
    <row r="4463" spans="1:6" x14ac:dyDescent="0.3">
      <c r="A4463" s="24">
        <v>39341</v>
      </c>
      <c r="B4463" s="66">
        <v>593.54899999999998</v>
      </c>
      <c r="C4463" s="67"/>
      <c r="D4463" s="68">
        <v>0</v>
      </c>
      <c r="E4463" s="110">
        <f t="shared" si="70"/>
        <v>37193</v>
      </c>
      <c r="F4463" s="69">
        <v>1.4521852397329459E-2</v>
      </c>
    </row>
    <row r="4464" spans="1:6" x14ac:dyDescent="0.3">
      <c r="A4464" s="24">
        <v>39342</v>
      </c>
      <c r="B4464" s="66">
        <v>593.54899999999998</v>
      </c>
      <c r="C4464" s="67"/>
      <c r="D4464" s="68">
        <v>0</v>
      </c>
      <c r="E4464" s="110">
        <f t="shared" si="70"/>
        <v>37193</v>
      </c>
      <c r="F4464" s="69">
        <v>1.4521852397329459E-2</v>
      </c>
    </row>
    <row r="4465" spans="1:6" x14ac:dyDescent="0.3">
      <c r="A4465" s="24">
        <v>39343</v>
      </c>
      <c r="B4465" s="66">
        <v>593.54899999999998</v>
      </c>
      <c r="C4465" s="67"/>
      <c r="D4465" s="68">
        <v>0</v>
      </c>
      <c r="E4465" s="110">
        <f t="shared" si="70"/>
        <v>37193</v>
      </c>
      <c r="F4465" s="69">
        <v>1.4521852397329459E-2</v>
      </c>
    </row>
    <row r="4466" spans="1:6" x14ac:dyDescent="0.3">
      <c r="A4466" s="24">
        <v>39344</v>
      </c>
      <c r="B4466" s="66">
        <v>593.54899999999998</v>
      </c>
      <c r="C4466" s="67"/>
      <c r="D4466" s="68">
        <v>0</v>
      </c>
      <c r="E4466" s="110">
        <f t="shared" si="70"/>
        <v>37193</v>
      </c>
      <c r="F4466" s="69">
        <v>1.4521852397329459E-2</v>
      </c>
    </row>
    <row r="4467" spans="1:6" x14ac:dyDescent="0.3">
      <c r="A4467" s="24">
        <v>39345</v>
      </c>
      <c r="B4467" s="66">
        <v>593.54899999999998</v>
      </c>
      <c r="C4467" s="67"/>
      <c r="D4467" s="68">
        <v>0</v>
      </c>
      <c r="E4467" s="110">
        <f t="shared" si="70"/>
        <v>37193</v>
      </c>
      <c r="F4467" s="69">
        <v>1.4521852397329459E-2</v>
      </c>
    </row>
    <row r="4468" spans="1:6" x14ac:dyDescent="0.3">
      <c r="A4468" s="24">
        <v>39346</v>
      </c>
      <c r="B4468" s="66">
        <v>593.54899999999998</v>
      </c>
      <c r="C4468" s="67"/>
      <c r="D4468" s="68">
        <v>0</v>
      </c>
      <c r="E4468" s="110">
        <f t="shared" si="70"/>
        <v>37193</v>
      </c>
      <c r="F4468" s="69">
        <v>1.4521852397329459E-2</v>
      </c>
    </row>
    <row r="4469" spans="1:6" x14ac:dyDescent="0.3">
      <c r="A4469" s="24">
        <v>39347</v>
      </c>
      <c r="B4469" s="66">
        <v>593.54899999999998</v>
      </c>
      <c r="C4469" s="67"/>
      <c r="D4469" s="68">
        <v>0</v>
      </c>
      <c r="E4469" s="110">
        <f t="shared" si="70"/>
        <v>37193</v>
      </c>
      <c r="F4469" s="69">
        <v>1.4521852397329459E-2</v>
      </c>
    </row>
    <row r="4470" spans="1:6" x14ac:dyDescent="0.3">
      <c r="A4470" s="24">
        <v>39348</v>
      </c>
      <c r="B4470" s="66">
        <v>593.54899999999998</v>
      </c>
      <c r="C4470" s="67"/>
      <c r="D4470" s="68">
        <v>0</v>
      </c>
      <c r="E4470" s="110">
        <f t="shared" si="70"/>
        <v>37193</v>
      </c>
      <c r="F4470" s="69">
        <v>1.4521852397329459E-2</v>
      </c>
    </row>
    <row r="4471" spans="1:6" x14ac:dyDescent="0.3">
      <c r="A4471" s="24">
        <v>39349</v>
      </c>
      <c r="B4471" s="66">
        <v>593.54899999999998</v>
      </c>
      <c r="C4471" s="67"/>
      <c r="D4471" s="68">
        <v>0</v>
      </c>
      <c r="E4471" s="110">
        <f t="shared" si="70"/>
        <v>37193</v>
      </c>
      <c r="F4471" s="69">
        <v>1.4521852397329459E-2</v>
      </c>
    </row>
    <row r="4472" spans="1:6" x14ac:dyDescent="0.3">
      <c r="A4472" s="24">
        <v>39350</v>
      </c>
      <c r="B4472" s="66">
        <v>593.54899999999998</v>
      </c>
      <c r="C4472" s="67"/>
      <c r="D4472" s="68">
        <v>0</v>
      </c>
      <c r="E4472" s="110">
        <f t="shared" si="70"/>
        <v>37193</v>
      </c>
      <c r="F4472" s="69">
        <v>1.4521852397329459E-2</v>
      </c>
    </row>
    <row r="4473" spans="1:6" x14ac:dyDescent="0.3">
      <c r="A4473" s="24">
        <v>39351</v>
      </c>
      <c r="B4473" s="66">
        <v>593.54899999999998</v>
      </c>
      <c r="C4473" s="67"/>
      <c r="D4473" s="68">
        <v>0</v>
      </c>
      <c r="E4473" s="110">
        <f t="shared" si="70"/>
        <v>37193</v>
      </c>
      <c r="F4473" s="69">
        <v>1.4521852397329459E-2</v>
      </c>
    </row>
    <row r="4474" spans="1:6" x14ac:dyDescent="0.3">
      <c r="A4474" s="24">
        <v>39352</v>
      </c>
      <c r="B4474" s="66">
        <v>593.54899999999998</v>
      </c>
      <c r="C4474" s="67"/>
      <c r="D4474" s="68">
        <v>0</v>
      </c>
      <c r="E4474" s="110">
        <f t="shared" si="70"/>
        <v>37193</v>
      </c>
      <c r="F4474" s="69">
        <v>1.4521852397329459E-2</v>
      </c>
    </row>
    <row r="4475" spans="1:6" x14ac:dyDescent="0.3">
      <c r="A4475" s="24">
        <v>39353</v>
      </c>
      <c r="B4475" s="66">
        <v>593.54899999999998</v>
      </c>
      <c r="C4475" s="67"/>
      <c r="D4475" s="68">
        <v>0</v>
      </c>
      <c r="E4475" s="110">
        <f t="shared" si="70"/>
        <v>37193</v>
      </c>
      <c r="F4475" s="69">
        <v>1.4521852397329459E-2</v>
      </c>
    </row>
    <row r="4476" spans="1:6" x14ac:dyDescent="0.3">
      <c r="A4476" s="24">
        <v>39354</v>
      </c>
      <c r="B4476" s="66">
        <v>593.54899999999998</v>
      </c>
      <c r="C4476" s="67"/>
      <c r="D4476" s="68">
        <v>0</v>
      </c>
      <c r="E4476" s="110">
        <f t="shared" si="70"/>
        <v>37193</v>
      </c>
      <c r="F4476" s="69">
        <v>1.4100297788676079E-2</v>
      </c>
    </row>
    <row r="4477" spans="1:6" x14ac:dyDescent="0.3">
      <c r="A4477" s="24">
        <v>39355</v>
      </c>
      <c r="B4477" s="66">
        <v>620.76700000000005</v>
      </c>
      <c r="C4477" s="67"/>
      <c r="D4477" s="68">
        <v>0</v>
      </c>
      <c r="E4477" s="110">
        <f t="shared" si="70"/>
        <v>37193</v>
      </c>
      <c r="F4477" s="69">
        <v>1.4100297788676079E-2</v>
      </c>
    </row>
    <row r="4478" spans="1:6" x14ac:dyDescent="0.3">
      <c r="A4478" s="24">
        <v>39356</v>
      </c>
      <c r="B4478" s="66">
        <v>620.76700000000005</v>
      </c>
      <c r="C4478" s="67"/>
      <c r="D4478" s="68">
        <v>0</v>
      </c>
      <c r="E4478" s="110">
        <f t="shared" si="70"/>
        <v>37193</v>
      </c>
      <c r="F4478" s="69">
        <v>1.4100297788676079E-2</v>
      </c>
    </row>
    <row r="4479" spans="1:6" x14ac:dyDescent="0.3">
      <c r="A4479" s="24">
        <v>39357</v>
      </c>
      <c r="B4479" s="66">
        <v>620.76700000000005</v>
      </c>
      <c r="C4479" s="67"/>
      <c r="D4479" s="68">
        <v>0</v>
      </c>
      <c r="E4479" s="110">
        <f t="shared" si="70"/>
        <v>37193</v>
      </c>
      <c r="F4479" s="69">
        <v>1.4100297788676079E-2</v>
      </c>
    </row>
    <row r="4480" spans="1:6" x14ac:dyDescent="0.3">
      <c r="A4480" s="24">
        <v>39358</v>
      </c>
      <c r="B4480" s="66">
        <v>620.76700000000005</v>
      </c>
      <c r="C4480" s="67"/>
      <c r="D4480" s="68">
        <v>0</v>
      </c>
      <c r="E4480" s="110">
        <f t="shared" si="70"/>
        <v>37193</v>
      </c>
      <c r="F4480" s="69">
        <v>1.4100297788676079E-2</v>
      </c>
    </row>
    <row r="4481" spans="1:6" x14ac:dyDescent="0.3">
      <c r="A4481" s="24">
        <v>39359</v>
      </c>
      <c r="B4481" s="66">
        <v>620.76700000000005</v>
      </c>
      <c r="C4481" s="67"/>
      <c r="D4481" s="68">
        <v>0</v>
      </c>
      <c r="E4481" s="110">
        <f t="shared" si="70"/>
        <v>37193</v>
      </c>
      <c r="F4481" s="69">
        <v>1.4100297788676079E-2</v>
      </c>
    </row>
    <row r="4482" spans="1:6" x14ac:dyDescent="0.3">
      <c r="A4482" s="24">
        <v>39360</v>
      </c>
      <c r="B4482" s="66">
        <v>620.76700000000005</v>
      </c>
      <c r="C4482" s="67"/>
      <c r="D4482" s="68">
        <v>0</v>
      </c>
      <c r="E4482" s="110">
        <f t="shared" si="70"/>
        <v>37193</v>
      </c>
      <c r="F4482" s="69">
        <v>1.4100297788676079E-2</v>
      </c>
    </row>
    <row r="4483" spans="1:6" x14ac:dyDescent="0.3">
      <c r="A4483" s="24">
        <v>39361</v>
      </c>
      <c r="B4483" s="66">
        <v>620.76700000000005</v>
      </c>
      <c r="C4483" s="67"/>
      <c r="D4483" s="68">
        <v>0</v>
      </c>
      <c r="E4483" s="110">
        <f t="shared" si="70"/>
        <v>37193</v>
      </c>
      <c r="F4483" s="69">
        <v>1.4100297788676079E-2</v>
      </c>
    </row>
    <row r="4484" spans="1:6" x14ac:dyDescent="0.3">
      <c r="A4484" s="24">
        <v>39362</v>
      </c>
      <c r="B4484" s="66">
        <v>620.76700000000005</v>
      </c>
      <c r="C4484" s="67"/>
      <c r="D4484" s="68">
        <v>0</v>
      </c>
      <c r="E4484" s="110">
        <f t="shared" si="70"/>
        <v>37193</v>
      </c>
      <c r="F4484" s="69">
        <v>1.4100297788676079E-2</v>
      </c>
    </row>
    <row r="4485" spans="1:6" x14ac:dyDescent="0.3">
      <c r="A4485" s="24">
        <v>39363</v>
      </c>
      <c r="B4485" s="66">
        <v>620.76700000000005</v>
      </c>
      <c r="C4485" s="67"/>
      <c r="D4485" s="68">
        <v>0</v>
      </c>
      <c r="E4485" s="110">
        <f t="shared" si="70"/>
        <v>37193</v>
      </c>
      <c r="F4485" s="69">
        <v>1.4100297788676079E-2</v>
      </c>
    </row>
    <row r="4486" spans="1:6" x14ac:dyDescent="0.3">
      <c r="A4486" s="24">
        <v>39364</v>
      </c>
      <c r="B4486" s="66">
        <v>620.76700000000005</v>
      </c>
      <c r="C4486" s="67"/>
      <c r="D4486" s="68">
        <v>0</v>
      </c>
      <c r="E4486" s="110">
        <f t="shared" si="70"/>
        <v>37193</v>
      </c>
      <c r="F4486" s="69">
        <v>1.4100297788676079E-2</v>
      </c>
    </row>
    <row r="4487" spans="1:6" x14ac:dyDescent="0.3">
      <c r="A4487" s="24">
        <v>39365</v>
      </c>
      <c r="B4487" s="66">
        <v>620.76700000000005</v>
      </c>
      <c r="C4487" s="67"/>
      <c r="D4487" s="68">
        <v>0</v>
      </c>
      <c r="E4487" s="110">
        <f t="shared" si="70"/>
        <v>37193</v>
      </c>
      <c r="F4487" s="69">
        <v>1.4100297788676079E-2</v>
      </c>
    </row>
    <row r="4488" spans="1:6" x14ac:dyDescent="0.3">
      <c r="A4488" s="24">
        <v>39366</v>
      </c>
      <c r="B4488" s="66">
        <v>620.76700000000005</v>
      </c>
      <c r="C4488" s="67"/>
      <c r="D4488" s="68">
        <v>0</v>
      </c>
      <c r="E4488" s="110">
        <f t="shared" si="70"/>
        <v>37193</v>
      </c>
      <c r="F4488" s="69">
        <v>1.4100297788676079E-2</v>
      </c>
    </row>
    <row r="4489" spans="1:6" x14ac:dyDescent="0.3">
      <c r="A4489" s="24">
        <v>39367</v>
      </c>
      <c r="B4489" s="66">
        <v>620.76700000000005</v>
      </c>
      <c r="C4489" s="67"/>
      <c r="D4489" s="68">
        <v>0</v>
      </c>
      <c r="E4489" s="110">
        <f t="shared" si="70"/>
        <v>37193</v>
      </c>
      <c r="F4489" s="69">
        <v>1.4100297788676079E-2</v>
      </c>
    </row>
    <row r="4490" spans="1:6" x14ac:dyDescent="0.3">
      <c r="A4490" s="24">
        <v>39368</v>
      </c>
      <c r="B4490" s="66">
        <v>620.76700000000005</v>
      </c>
      <c r="C4490" s="67"/>
      <c r="D4490" s="68">
        <v>0</v>
      </c>
      <c r="E4490" s="110">
        <f t="shared" si="70"/>
        <v>37193</v>
      </c>
      <c r="F4490" s="69">
        <v>1.4100297788676079E-2</v>
      </c>
    </row>
    <row r="4491" spans="1:6" x14ac:dyDescent="0.3">
      <c r="A4491" s="24">
        <v>39369</v>
      </c>
      <c r="B4491" s="66">
        <v>620.76700000000005</v>
      </c>
      <c r="C4491" s="67"/>
      <c r="D4491" s="68">
        <v>0</v>
      </c>
      <c r="E4491" s="110">
        <f t="shared" si="70"/>
        <v>37193</v>
      </c>
      <c r="F4491" s="69">
        <v>1.4100297788676079E-2</v>
      </c>
    </row>
    <row r="4492" spans="1:6" x14ac:dyDescent="0.3">
      <c r="A4492" s="24">
        <v>39370</v>
      </c>
      <c r="B4492" s="66">
        <v>620.76700000000005</v>
      </c>
      <c r="C4492" s="67"/>
      <c r="D4492" s="68">
        <v>0</v>
      </c>
      <c r="E4492" s="110">
        <f t="shared" si="70"/>
        <v>37193</v>
      </c>
      <c r="F4492" s="69">
        <v>1.4100297788676079E-2</v>
      </c>
    </row>
    <row r="4493" spans="1:6" x14ac:dyDescent="0.3">
      <c r="A4493" s="24">
        <v>39371</v>
      </c>
      <c r="B4493" s="66">
        <v>620.76700000000005</v>
      </c>
      <c r="C4493" s="67"/>
      <c r="D4493" s="68">
        <v>0</v>
      </c>
      <c r="E4493" s="110">
        <f t="shared" si="70"/>
        <v>37193</v>
      </c>
      <c r="F4493" s="69">
        <v>1.4100297788676079E-2</v>
      </c>
    </row>
    <row r="4494" spans="1:6" x14ac:dyDescent="0.3">
      <c r="A4494" s="24">
        <v>39372</v>
      </c>
      <c r="B4494" s="66">
        <v>620.76700000000005</v>
      </c>
      <c r="C4494" s="67"/>
      <c r="D4494" s="68">
        <v>0</v>
      </c>
      <c r="E4494" s="110">
        <f t="shared" si="70"/>
        <v>37193</v>
      </c>
      <c r="F4494" s="69">
        <v>1.4100297788676079E-2</v>
      </c>
    </row>
    <row r="4495" spans="1:6" x14ac:dyDescent="0.3">
      <c r="A4495" s="24">
        <v>39373</v>
      </c>
      <c r="B4495" s="66">
        <v>620.76700000000005</v>
      </c>
      <c r="C4495" s="67"/>
      <c r="D4495" s="68">
        <v>0</v>
      </c>
      <c r="E4495" s="110">
        <f t="shared" si="70"/>
        <v>37193</v>
      </c>
      <c r="F4495" s="69">
        <v>1.4100297788676079E-2</v>
      </c>
    </row>
    <row r="4496" spans="1:6" x14ac:dyDescent="0.3">
      <c r="A4496" s="24">
        <v>39374</v>
      </c>
      <c r="B4496" s="66">
        <v>620.76700000000005</v>
      </c>
      <c r="C4496" s="67"/>
      <c r="D4496" s="68">
        <v>0</v>
      </c>
      <c r="E4496" s="110">
        <f t="shared" si="70"/>
        <v>37193</v>
      </c>
      <c r="F4496" s="69">
        <v>1.4100297788676079E-2</v>
      </c>
    </row>
    <row r="4497" spans="1:6" x14ac:dyDescent="0.3">
      <c r="A4497" s="24">
        <v>39375</v>
      </c>
      <c r="B4497" s="66">
        <v>620.76700000000005</v>
      </c>
      <c r="C4497" s="67"/>
      <c r="D4497" s="68">
        <v>0</v>
      </c>
      <c r="E4497" s="110">
        <f t="shared" si="70"/>
        <v>37193</v>
      </c>
      <c r="F4497" s="69">
        <v>1.4100297788676079E-2</v>
      </c>
    </row>
    <row r="4498" spans="1:6" x14ac:dyDescent="0.3">
      <c r="A4498" s="24">
        <v>39376</v>
      </c>
      <c r="B4498" s="66">
        <v>620.76700000000005</v>
      </c>
      <c r="C4498" s="67"/>
      <c r="D4498" s="68">
        <v>0</v>
      </c>
      <c r="E4498" s="110">
        <f t="shared" ref="E4498:E4561" si="71">+E4497</f>
        <v>37193</v>
      </c>
      <c r="F4498" s="69">
        <v>1.4100297788676079E-2</v>
      </c>
    </row>
    <row r="4499" spans="1:6" x14ac:dyDescent="0.3">
      <c r="A4499" s="24">
        <v>39377</v>
      </c>
      <c r="B4499" s="66">
        <v>620.76700000000005</v>
      </c>
      <c r="C4499" s="67"/>
      <c r="D4499" s="68">
        <v>0</v>
      </c>
      <c r="E4499" s="110">
        <f t="shared" si="71"/>
        <v>37193</v>
      </c>
      <c r="F4499" s="69">
        <v>1.4100297788676079E-2</v>
      </c>
    </row>
    <row r="4500" spans="1:6" x14ac:dyDescent="0.3">
      <c r="A4500" s="24">
        <v>39378</v>
      </c>
      <c r="B4500" s="66">
        <v>620.76700000000005</v>
      </c>
      <c r="C4500" s="67"/>
      <c r="D4500" s="68">
        <v>0</v>
      </c>
      <c r="E4500" s="110">
        <f t="shared" si="71"/>
        <v>37193</v>
      </c>
      <c r="F4500" s="69">
        <v>1.4100297788676079E-2</v>
      </c>
    </row>
    <row r="4501" spans="1:6" x14ac:dyDescent="0.3">
      <c r="A4501" s="24">
        <v>39379</v>
      </c>
      <c r="B4501" s="66">
        <v>620.76700000000005</v>
      </c>
      <c r="C4501" s="67"/>
      <c r="D4501" s="68">
        <v>0</v>
      </c>
      <c r="E4501" s="110">
        <f t="shared" si="71"/>
        <v>37193</v>
      </c>
      <c r="F4501" s="69">
        <v>1.4100297788676079E-2</v>
      </c>
    </row>
    <row r="4502" spans="1:6" x14ac:dyDescent="0.3">
      <c r="A4502" s="24">
        <v>39380</v>
      </c>
      <c r="B4502" s="66">
        <v>620.76700000000005</v>
      </c>
      <c r="C4502" s="67"/>
      <c r="D4502" s="68">
        <v>0</v>
      </c>
      <c r="E4502" s="110">
        <f t="shared" si="71"/>
        <v>37193</v>
      </c>
      <c r="F4502" s="69">
        <v>1.4100297788676079E-2</v>
      </c>
    </row>
    <row r="4503" spans="1:6" x14ac:dyDescent="0.3">
      <c r="A4503" s="24">
        <v>39381</v>
      </c>
      <c r="B4503" s="66">
        <v>620.76700000000005</v>
      </c>
      <c r="C4503" s="67"/>
      <c r="D4503" s="68">
        <v>0</v>
      </c>
      <c r="E4503" s="110">
        <f t="shared" si="71"/>
        <v>37193</v>
      </c>
      <c r="F4503" s="69">
        <v>1.4100297788676079E-2</v>
      </c>
    </row>
    <row r="4504" spans="1:6" x14ac:dyDescent="0.3">
      <c r="A4504" s="24">
        <v>39382</v>
      </c>
      <c r="B4504" s="66">
        <v>620.76700000000005</v>
      </c>
      <c r="C4504" s="67"/>
      <c r="D4504" s="68">
        <v>0</v>
      </c>
      <c r="E4504" s="110">
        <f t="shared" si="71"/>
        <v>37193</v>
      </c>
      <c r="F4504" s="69">
        <v>1.4100297788676079E-2</v>
      </c>
    </row>
    <row r="4505" spans="1:6" x14ac:dyDescent="0.3">
      <c r="A4505" s="24">
        <v>39383</v>
      </c>
      <c r="B4505" s="66">
        <v>620.76700000000005</v>
      </c>
      <c r="C4505" s="67"/>
      <c r="D4505" s="68">
        <v>0</v>
      </c>
      <c r="E4505" s="110">
        <f t="shared" si="71"/>
        <v>37193</v>
      </c>
      <c r="F4505" s="69">
        <v>1.4100297788676079E-2</v>
      </c>
    </row>
    <row r="4506" spans="1:6" x14ac:dyDescent="0.3">
      <c r="A4506" s="24">
        <v>39384</v>
      </c>
      <c r="B4506" s="66">
        <v>620.76700000000005</v>
      </c>
      <c r="C4506" s="67"/>
      <c r="D4506" s="68">
        <v>0</v>
      </c>
      <c r="E4506" s="110">
        <f t="shared" si="71"/>
        <v>37193</v>
      </c>
      <c r="F4506" s="69">
        <v>1.4100297788676079E-2</v>
      </c>
    </row>
    <row r="4507" spans="1:6" x14ac:dyDescent="0.3">
      <c r="A4507" s="24">
        <v>39385</v>
      </c>
      <c r="B4507" s="66">
        <v>620.76700000000005</v>
      </c>
      <c r="C4507" s="67"/>
      <c r="D4507" s="68">
        <v>0</v>
      </c>
      <c r="E4507" s="110">
        <f t="shared" si="71"/>
        <v>37193</v>
      </c>
      <c r="F4507" s="69">
        <v>1.4100297788676079E-2</v>
      </c>
    </row>
    <row r="4508" spans="1:6" x14ac:dyDescent="0.3">
      <c r="A4508" s="24">
        <v>39386</v>
      </c>
      <c r="B4508" s="66">
        <v>620.76700000000005</v>
      </c>
      <c r="C4508" s="67"/>
      <c r="D4508" s="68">
        <v>0</v>
      </c>
      <c r="E4508" s="110">
        <f t="shared" si="71"/>
        <v>37193</v>
      </c>
      <c r="F4508" s="69">
        <v>1.4100297788676079E-2</v>
      </c>
    </row>
    <row r="4509" spans="1:6" x14ac:dyDescent="0.3">
      <c r="A4509" s="24">
        <v>39387</v>
      </c>
      <c r="B4509" s="66">
        <v>620.76700000000005</v>
      </c>
      <c r="C4509" s="67"/>
      <c r="D4509" s="68">
        <v>0</v>
      </c>
      <c r="E4509" s="110">
        <f t="shared" si="71"/>
        <v>37193</v>
      </c>
      <c r="F4509" s="69">
        <v>1.4100297788676079E-2</v>
      </c>
    </row>
    <row r="4510" spans="1:6" x14ac:dyDescent="0.3">
      <c r="A4510" s="24">
        <v>39388</v>
      </c>
      <c r="B4510" s="66">
        <v>620.76700000000005</v>
      </c>
      <c r="C4510" s="67"/>
      <c r="D4510" s="68">
        <v>0</v>
      </c>
      <c r="E4510" s="110">
        <f t="shared" si="71"/>
        <v>37193</v>
      </c>
      <c r="F4510" s="69">
        <v>1.4100297788676079E-2</v>
      </c>
    </row>
    <row r="4511" spans="1:6" x14ac:dyDescent="0.3">
      <c r="A4511" s="24">
        <v>39389</v>
      </c>
      <c r="B4511" s="66">
        <v>620.76700000000005</v>
      </c>
      <c r="C4511" s="67"/>
      <c r="D4511" s="68">
        <v>0</v>
      </c>
      <c r="E4511" s="110">
        <f t="shared" si="71"/>
        <v>37193</v>
      </c>
      <c r="F4511" s="69">
        <v>1.4100297788676079E-2</v>
      </c>
    </row>
    <row r="4512" spans="1:6" x14ac:dyDescent="0.3">
      <c r="A4512" s="24">
        <v>39390</v>
      </c>
      <c r="B4512" s="66">
        <v>620.76700000000005</v>
      </c>
      <c r="C4512" s="67"/>
      <c r="D4512" s="68">
        <v>0</v>
      </c>
      <c r="E4512" s="110">
        <f t="shared" si="71"/>
        <v>37193</v>
      </c>
      <c r="F4512" s="69">
        <v>1.4100297788676079E-2</v>
      </c>
    </row>
    <row r="4513" spans="1:6" x14ac:dyDescent="0.3">
      <c r="A4513" s="24">
        <v>39391</v>
      </c>
      <c r="B4513" s="66">
        <v>620.76700000000005</v>
      </c>
      <c r="C4513" s="67"/>
      <c r="D4513" s="68">
        <v>0</v>
      </c>
      <c r="E4513" s="110">
        <f t="shared" si="71"/>
        <v>37193</v>
      </c>
      <c r="F4513" s="69">
        <v>1.4100297788676079E-2</v>
      </c>
    </row>
    <row r="4514" spans="1:6" x14ac:dyDescent="0.3">
      <c r="A4514" s="24">
        <v>39392</v>
      </c>
      <c r="B4514" s="66">
        <v>620.76700000000005</v>
      </c>
      <c r="C4514" s="67"/>
      <c r="D4514" s="68">
        <v>0</v>
      </c>
      <c r="E4514" s="110">
        <f t="shared" si="71"/>
        <v>37193</v>
      </c>
      <c r="F4514" s="69">
        <v>1.4100297788676079E-2</v>
      </c>
    </row>
    <row r="4515" spans="1:6" x14ac:dyDescent="0.3">
      <c r="A4515" s="24">
        <v>39393</v>
      </c>
      <c r="B4515" s="66">
        <v>620.76700000000005</v>
      </c>
      <c r="C4515" s="67"/>
      <c r="D4515" s="68">
        <v>0</v>
      </c>
      <c r="E4515" s="110">
        <f t="shared" si="71"/>
        <v>37193</v>
      </c>
      <c r="F4515" s="69">
        <v>1.4100297788676079E-2</v>
      </c>
    </row>
    <row r="4516" spans="1:6" x14ac:dyDescent="0.3">
      <c r="A4516" s="24">
        <v>39394</v>
      </c>
      <c r="B4516" s="66">
        <v>620.76700000000005</v>
      </c>
      <c r="C4516" s="67"/>
      <c r="D4516" s="68">
        <v>0</v>
      </c>
      <c r="E4516" s="110">
        <f t="shared" si="71"/>
        <v>37193</v>
      </c>
      <c r="F4516" s="69">
        <v>1.4100297788676079E-2</v>
      </c>
    </row>
    <row r="4517" spans="1:6" x14ac:dyDescent="0.3">
      <c r="A4517" s="24">
        <v>39395</v>
      </c>
      <c r="B4517" s="66">
        <v>620.76700000000005</v>
      </c>
      <c r="C4517" s="67"/>
      <c r="D4517" s="68">
        <v>0</v>
      </c>
      <c r="E4517" s="110">
        <f t="shared" si="71"/>
        <v>37193</v>
      </c>
      <c r="F4517" s="69">
        <v>1.4100297788676079E-2</v>
      </c>
    </row>
    <row r="4518" spans="1:6" x14ac:dyDescent="0.3">
      <c r="A4518" s="24">
        <v>39396</v>
      </c>
      <c r="B4518" s="66">
        <v>620.76700000000005</v>
      </c>
      <c r="C4518" s="67"/>
      <c r="D4518" s="68">
        <v>0</v>
      </c>
      <c r="E4518" s="110">
        <f t="shared" si="71"/>
        <v>37193</v>
      </c>
      <c r="F4518" s="69">
        <v>1.4100297788676079E-2</v>
      </c>
    </row>
    <row r="4519" spans="1:6" x14ac:dyDescent="0.3">
      <c r="A4519" s="24">
        <v>39397</v>
      </c>
      <c r="B4519" s="66">
        <v>620.76700000000005</v>
      </c>
      <c r="C4519" s="67"/>
      <c r="D4519" s="68">
        <v>0</v>
      </c>
      <c r="E4519" s="110">
        <f t="shared" si="71"/>
        <v>37193</v>
      </c>
      <c r="F4519" s="69">
        <v>1.4100297788676079E-2</v>
      </c>
    </row>
    <row r="4520" spans="1:6" x14ac:dyDescent="0.3">
      <c r="A4520" s="24">
        <v>39398</v>
      </c>
      <c r="B4520" s="66">
        <v>620.76700000000005</v>
      </c>
      <c r="C4520" s="67"/>
      <c r="D4520" s="68">
        <v>0</v>
      </c>
      <c r="E4520" s="110">
        <f t="shared" si="71"/>
        <v>37193</v>
      </c>
      <c r="F4520" s="69">
        <v>1.4100297788676079E-2</v>
      </c>
    </row>
    <row r="4521" spans="1:6" x14ac:dyDescent="0.3">
      <c r="A4521" s="24">
        <v>39399</v>
      </c>
      <c r="B4521" s="66">
        <v>620.76700000000005</v>
      </c>
      <c r="C4521" s="67"/>
      <c r="D4521" s="68">
        <v>0</v>
      </c>
      <c r="E4521" s="110">
        <f t="shared" si="71"/>
        <v>37193</v>
      </c>
      <c r="F4521" s="69">
        <v>1.4100297788676079E-2</v>
      </c>
    </row>
    <row r="4522" spans="1:6" x14ac:dyDescent="0.3">
      <c r="A4522" s="24">
        <v>39400</v>
      </c>
      <c r="B4522" s="66">
        <v>620.76700000000005</v>
      </c>
      <c r="C4522" s="67"/>
      <c r="D4522" s="68">
        <v>0</v>
      </c>
      <c r="E4522" s="110">
        <f t="shared" si="71"/>
        <v>37193</v>
      </c>
      <c r="F4522" s="69">
        <v>1.4100297788676079E-2</v>
      </c>
    </row>
    <row r="4523" spans="1:6" x14ac:dyDescent="0.3">
      <c r="A4523" s="24">
        <v>39401</v>
      </c>
      <c r="B4523" s="66">
        <v>620.76700000000005</v>
      </c>
      <c r="C4523" s="67"/>
      <c r="D4523" s="68">
        <v>0</v>
      </c>
      <c r="E4523" s="110">
        <f t="shared" si="71"/>
        <v>37193</v>
      </c>
      <c r="F4523" s="69">
        <v>1.4100297788676079E-2</v>
      </c>
    </row>
    <row r="4524" spans="1:6" x14ac:dyDescent="0.3">
      <c r="A4524" s="24">
        <v>39402</v>
      </c>
      <c r="B4524" s="66">
        <v>620.76700000000005</v>
      </c>
      <c r="C4524" s="67"/>
      <c r="D4524" s="68">
        <v>0</v>
      </c>
      <c r="E4524" s="110">
        <f t="shared" si="71"/>
        <v>37193</v>
      </c>
      <c r="F4524" s="69">
        <v>1.4100297788676079E-2</v>
      </c>
    </row>
    <row r="4525" spans="1:6" x14ac:dyDescent="0.3">
      <c r="A4525" s="24">
        <v>39403</v>
      </c>
      <c r="B4525" s="66">
        <v>620.76700000000005</v>
      </c>
      <c r="C4525" s="67"/>
      <c r="D4525" s="68">
        <v>0</v>
      </c>
      <c r="E4525" s="110">
        <f t="shared" si="71"/>
        <v>37193</v>
      </c>
      <c r="F4525" s="69">
        <v>1.4100297788676079E-2</v>
      </c>
    </row>
    <row r="4526" spans="1:6" x14ac:dyDescent="0.3">
      <c r="A4526" s="24">
        <v>39404</v>
      </c>
      <c r="B4526" s="66">
        <v>620.76700000000005</v>
      </c>
      <c r="C4526" s="67"/>
      <c r="D4526" s="68">
        <v>0</v>
      </c>
      <c r="E4526" s="110">
        <f t="shared" si="71"/>
        <v>37193</v>
      </c>
      <c r="F4526" s="69">
        <v>1.4100297788676079E-2</v>
      </c>
    </row>
    <row r="4527" spans="1:6" x14ac:dyDescent="0.3">
      <c r="A4527" s="24">
        <v>39405</v>
      </c>
      <c r="B4527" s="66">
        <v>620.76700000000005</v>
      </c>
      <c r="C4527" s="67"/>
      <c r="D4527" s="68">
        <v>0</v>
      </c>
      <c r="E4527" s="110">
        <f t="shared" si="71"/>
        <v>37193</v>
      </c>
      <c r="F4527" s="69">
        <v>1.4100297788676079E-2</v>
      </c>
    </row>
    <row r="4528" spans="1:6" x14ac:dyDescent="0.3">
      <c r="A4528" s="24">
        <v>39406</v>
      </c>
      <c r="B4528" s="66">
        <v>620.76700000000005</v>
      </c>
      <c r="C4528" s="67"/>
      <c r="D4528" s="68">
        <v>0</v>
      </c>
      <c r="E4528" s="110">
        <f t="shared" si="71"/>
        <v>37193</v>
      </c>
      <c r="F4528" s="69">
        <v>1.4100297788676079E-2</v>
      </c>
    </row>
    <row r="4529" spans="1:6" x14ac:dyDescent="0.3">
      <c r="A4529" s="24">
        <v>39407</v>
      </c>
      <c r="B4529" s="66">
        <v>620.76700000000005</v>
      </c>
      <c r="C4529" s="67"/>
      <c r="D4529" s="68">
        <v>0</v>
      </c>
      <c r="E4529" s="110">
        <f t="shared" si="71"/>
        <v>37193</v>
      </c>
      <c r="F4529" s="69">
        <v>1.4100297788676079E-2</v>
      </c>
    </row>
    <row r="4530" spans="1:6" x14ac:dyDescent="0.3">
      <c r="A4530" s="24">
        <v>39408</v>
      </c>
      <c r="B4530" s="66">
        <v>620.76700000000005</v>
      </c>
      <c r="C4530" s="67"/>
      <c r="D4530" s="68">
        <v>0</v>
      </c>
      <c r="E4530" s="110">
        <f t="shared" si="71"/>
        <v>37193</v>
      </c>
      <c r="F4530" s="69">
        <v>1.4100297788676079E-2</v>
      </c>
    </row>
    <row r="4531" spans="1:6" x14ac:dyDescent="0.3">
      <c r="A4531" s="24">
        <v>39409</v>
      </c>
      <c r="B4531" s="66">
        <v>620.76700000000005</v>
      </c>
      <c r="C4531" s="67"/>
      <c r="D4531" s="68">
        <v>0</v>
      </c>
      <c r="E4531" s="110">
        <f t="shared" si="71"/>
        <v>37193</v>
      </c>
      <c r="F4531" s="69">
        <v>1.4100297788676079E-2</v>
      </c>
    </row>
    <row r="4532" spans="1:6" x14ac:dyDescent="0.3">
      <c r="A4532" s="24">
        <v>39410</v>
      </c>
      <c r="B4532" s="66">
        <v>620.76700000000005</v>
      </c>
      <c r="C4532" s="67"/>
      <c r="D4532" s="68">
        <v>0</v>
      </c>
      <c r="E4532" s="110">
        <f t="shared" si="71"/>
        <v>37193</v>
      </c>
      <c r="F4532" s="69">
        <v>1.4100297788676079E-2</v>
      </c>
    </row>
    <row r="4533" spans="1:6" x14ac:dyDescent="0.3">
      <c r="A4533" s="24">
        <v>39411</v>
      </c>
      <c r="B4533" s="66">
        <v>620.76700000000005</v>
      </c>
      <c r="C4533" s="67"/>
      <c r="D4533" s="68">
        <v>0</v>
      </c>
      <c r="E4533" s="110">
        <f t="shared" si="71"/>
        <v>37193</v>
      </c>
      <c r="F4533" s="69">
        <v>1.4100297788676079E-2</v>
      </c>
    </row>
    <row r="4534" spans="1:6" x14ac:dyDescent="0.3">
      <c r="A4534" s="24">
        <v>39412</v>
      </c>
      <c r="B4534" s="66">
        <v>620.76700000000005</v>
      </c>
      <c r="C4534" s="67"/>
      <c r="D4534" s="68">
        <v>0</v>
      </c>
      <c r="E4534" s="110">
        <f t="shared" si="71"/>
        <v>37193</v>
      </c>
      <c r="F4534" s="69">
        <v>1.4100297788676079E-2</v>
      </c>
    </row>
    <row r="4535" spans="1:6" x14ac:dyDescent="0.3">
      <c r="A4535" s="24">
        <v>39413</v>
      </c>
      <c r="B4535" s="66">
        <v>620.76700000000005</v>
      </c>
      <c r="C4535" s="67"/>
      <c r="D4535" s="68">
        <v>0</v>
      </c>
      <c r="E4535" s="110">
        <f t="shared" si="71"/>
        <v>37193</v>
      </c>
      <c r="F4535" s="69">
        <v>1.4100297788676079E-2</v>
      </c>
    </row>
    <row r="4536" spans="1:6" x14ac:dyDescent="0.3">
      <c r="A4536" s="24">
        <v>39414</v>
      </c>
      <c r="B4536" s="66">
        <v>620.76700000000005</v>
      </c>
      <c r="C4536" s="67"/>
      <c r="D4536" s="68">
        <v>0</v>
      </c>
      <c r="E4536" s="110">
        <f t="shared" si="71"/>
        <v>37193</v>
      </c>
      <c r="F4536" s="69">
        <v>1.4100297788676079E-2</v>
      </c>
    </row>
    <row r="4537" spans="1:6" x14ac:dyDescent="0.3">
      <c r="A4537" s="24">
        <v>39415</v>
      </c>
      <c r="B4537" s="66">
        <v>620.76700000000005</v>
      </c>
      <c r="C4537" s="67"/>
      <c r="D4537" s="68">
        <v>0</v>
      </c>
      <c r="E4537" s="110">
        <f t="shared" si="71"/>
        <v>37193</v>
      </c>
      <c r="F4537" s="69">
        <v>1.4100297788676079E-2</v>
      </c>
    </row>
    <row r="4538" spans="1:6" x14ac:dyDescent="0.3">
      <c r="A4538" s="24">
        <v>39416</v>
      </c>
      <c r="B4538" s="66">
        <v>620.76700000000005</v>
      </c>
      <c r="C4538" s="67"/>
      <c r="D4538" s="68">
        <v>0</v>
      </c>
      <c r="E4538" s="110">
        <f t="shared" si="71"/>
        <v>37193</v>
      </c>
      <c r="F4538" s="69">
        <v>1.4100297788676079E-2</v>
      </c>
    </row>
    <row r="4539" spans="1:6" x14ac:dyDescent="0.3">
      <c r="A4539" s="24">
        <v>39417</v>
      </c>
      <c r="B4539" s="66">
        <v>620.76700000000005</v>
      </c>
      <c r="C4539" s="67"/>
      <c r="D4539" s="68">
        <v>0</v>
      </c>
      <c r="E4539" s="110">
        <f t="shared" si="71"/>
        <v>37193</v>
      </c>
      <c r="F4539" s="69">
        <v>1.4100297788676079E-2</v>
      </c>
    </row>
    <row r="4540" spans="1:6" x14ac:dyDescent="0.3">
      <c r="A4540" s="24">
        <v>39418</v>
      </c>
      <c r="B4540" s="66">
        <v>620.76700000000005</v>
      </c>
      <c r="C4540" s="67"/>
      <c r="D4540" s="68">
        <v>0</v>
      </c>
      <c r="E4540" s="110">
        <f t="shared" si="71"/>
        <v>37193</v>
      </c>
      <c r="F4540" s="69">
        <v>1.4100297788676079E-2</v>
      </c>
    </row>
    <row r="4541" spans="1:6" x14ac:dyDescent="0.3">
      <c r="A4541" s="24">
        <v>39419</v>
      </c>
      <c r="B4541" s="66">
        <v>620.76700000000005</v>
      </c>
      <c r="C4541" s="67"/>
      <c r="D4541" s="68">
        <v>0</v>
      </c>
      <c r="E4541" s="110">
        <f t="shared" si="71"/>
        <v>37193</v>
      </c>
      <c r="F4541" s="69">
        <v>1.4100297788676079E-2</v>
      </c>
    </row>
    <row r="4542" spans="1:6" x14ac:dyDescent="0.3">
      <c r="A4542" s="24">
        <v>39420</v>
      </c>
      <c r="B4542" s="66">
        <v>620.76700000000005</v>
      </c>
      <c r="C4542" s="67"/>
      <c r="D4542" s="68">
        <v>0</v>
      </c>
      <c r="E4542" s="110">
        <f t="shared" si="71"/>
        <v>37193</v>
      </c>
      <c r="F4542" s="69">
        <v>1.4100297788676079E-2</v>
      </c>
    </row>
    <row r="4543" spans="1:6" x14ac:dyDescent="0.3">
      <c r="A4543" s="24">
        <v>39421</v>
      </c>
      <c r="B4543" s="66">
        <v>620.76700000000005</v>
      </c>
      <c r="C4543" s="67"/>
      <c r="D4543" s="68">
        <v>0</v>
      </c>
      <c r="E4543" s="110">
        <f t="shared" si="71"/>
        <v>37193</v>
      </c>
      <c r="F4543" s="69">
        <v>1.4100297788676079E-2</v>
      </c>
    </row>
    <row r="4544" spans="1:6" x14ac:dyDescent="0.3">
      <c r="A4544" s="24">
        <v>39422</v>
      </c>
      <c r="B4544" s="66">
        <v>620.76700000000005</v>
      </c>
      <c r="C4544" s="67"/>
      <c r="D4544" s="68">
        <v>0</v>
      </c>
      <c r="E4544" s="110">
        <f t="shared" si="71"/>
        <v>37193</v>
      </c>
      <c r="F4544" s="69">
        <v>1.4100297788676079E-2</v>
      </c>
    </row>
    <row r="4545" spans="1:6" x14ac:dyDescent="0.3">
      <c r="A4545" s="24">
        <v>39423</v>
      </c>
      <c r="B4545" s="66">
        <v>620.76700000000005</v>
      </c>
      <c r="C4545" s="67"/>
      <c r="D4545" s="68">
        <v>0</v>
      </c>
      <c r="E4545" s="110">
        <f t="shared" si="71"/>
        <v>37193</v>
      </c>
      <c r="F4545" s="69">
        <v>1.4100297788676079E-2</v>
      </c>
    </row>
    <row r="4546" spans="1:6" x14ac:dyDescent="0.3">
      <c r="A4546" s="24">
        <v>39424</v>
      </c>
      <c r="B4546" s="66">
        <v>620.76700000000005</v>
      </c>
      <c r="C4546" s="67"/>
      <c r="D4546" s="68">
        <v>0</v>
      </c>
      <c r="E4546" s="110">
        <f t="shared" si="71"/>
        <v>37193</v>
      </c>
      <c r="F4546" s="69">
        <v>1.4100297788676079E-2</v>
      </c>
    </row>
    <row r="4547" spans="1:6" x14ac:dyDescent="0.3">
      <c r="A4547" s="24">
        <v>39425</v>
      </c>
      <c r="B4547" s="66">
        <v>620.76700000000005</v>
      </c>
      <c r="C4547" s="67"/>
      <c r="D4547" s="68">
        <v>0</v>
      </c>
      <c r="E4547" s="110">
        <f t="shared" si="71"/>
        <v>37193</v>
      </c>
      <c r="F4547" s="69">
        <v>1.4100297788676079E-2</v>
      </c>
    </row>
    <row r="4548" spans="1:6" x14ac:dyDescent="0.3">
      <c r="A4548" s="24">
        <v>39426</v>
      </c>
      <c r="B4548" s="66">
        <v>620.76700000000005</v>
      </c>
      <c r="C4548" s="67"/>
      <c r="D4548" s="68">
        <v>0</v>
      </c>
      <c r="E4548" s="110">
        <f t="shared" si="71"/>
        <v>37193</v>
      </c>
      <c r="F4548" s="69">
        <v>1.4100297788676079E-2</v>
      </c>
    </row>
    <row r="4549" spans="1:6" x14ac:dyDescent="0.3">
      <c r="A4549" s="24">
        <v>39427</v>
      </c>
      <c r="B4549" s="66">
        <v>620.76700000000005</v>
      </c>
      <c r="C4549" s="67"/>
      <c r="D4549" s="68">
        <v>0</v>
      </c>
      <c r="E4549" s="110">
        <f t="shared" si="71"/>
        <v>37193</v>
      </c>
      <c r="F4549" s="69">
        <v>1.4100297788676079E-2</v>
      </c>
    </row>
    <row r="4550" spans="1:6" x14ac:dyDescent="0.3">
      <c r="A4550" s="24">
        <v>39428</v>
      </c>
      <c r="B4550" s="66">
        <v>620.76700000000005</v>
      </c>
      <c r="C4550" s="67"/>
      <c r="D4550" s="68">
        <v>0</v>
      </c>
      <c r="E4550" s="110">
        <f t="shared" si="71"/>
        <v>37193</v>
      </c>
      <c r="F4550" s="69">
        <v>1.4100297788676079E-2</v>
      </c>
    </row>
    <row r="4551" spans="1:6" x14ac:dyDescent="0.3">
      <c r="A4551" s="24">
        <v>39429</v>
      </c>
      <c r="B4551" s="66">
        <v>620.76700000000005</v>
      </c>
      <c r="C4551" s="67"/>
      <c r="D4551" s="68">
        <v>0</v>
      </c>
      <c r="E4551" s="110">
        <f t="shared" si="71"/>
        <v>37193</v>
      </c>
      <c r="F4551" s="69">
        <v>1.4100297788676079E-2</v>
      </c>
    </row>
    <row r="4552" spans="1:6" x14ac:dyDescent="0.3">
      <c r="A4552" s="24">
        <v>39430</v>
      </c>
      <c r="B4552" s="66">
        <v>620.76700000000005</v>
      </c>
      <c r="C4552" s="67"/>
      <c r="D4552" s="68">
        <v>0</v>
      </c>
      <c r="E4552" s="110">
        <f t="shared" si="71"/>
        <v>37193</v>
      </c>
      <c r="F4552" s="69">
        <v>1.4100297788676079E-2</v>
      </c>
    </row>
    <row r="4553" spans="1:6" x14ac:dyDescent="0.3">
      <c r="A4553" s="24">
        <v>39431</v>
      </c>
      <c r="B4553" s="66">
        <v>620.76700000000005</v>
      </c>
      <c r="C4553" s="67"/>
      <c r="D4553" s="68">
        <v>0</v>
      </c>
      <c r="E4553" s="110">
        <f t="shared" si="71"/>
        <v>37193</v>
      </c>
      <c r="F4553" s="69">
        <v>1.4100297788676079E-2</v>
      </c>
    </row>
    <row r="4554" spans="1:6" x14ac:dyDescent="0.3">
      <c r="A4554" s="24">
        <v>39432</v>
      </c>
      <c r="B4554" s="66">
        <v>620.76700000000005</v>
      </c>
      <c r="C4554" s="67"/>
      <c r="D4554" s="68">
        <v>0</v>
      </c>
      <c r="E4554" s="110">
        <f t="shared" si="71"/>
        <v>37193</v>
      </c>
      <c r="F4554" s="69">
        <v>1.4100297788676079E-2</v>
      </c>
    </row>
    <row r="4555" spans="1:6" x14ac:dyDescent="0.3">
      <c r="A4555" s="24">
        <v>39433</v>
      </c>
      <c r="B4555" s="66">
        <v>620.76700000000005</v>
      </c>
      <c r="C4555" s="67"/>
      <c r="D4555" s="68">
        <v>0</v>
      </c>
      <c r="E4555" s="110">
        <f t="shared" si="71"/>
        <v>37193</v>
      </c>
      <c r="F4555" s="69">
        <v>1.4100297788676079E-2</v>
      </c>
    </row>
    <row r="4556" spans="1:6" x14ac:dyDescent="0.3">
      <c r="A4556" s="24">
        <v>39434</v>
      </c>
      <c r="B4556" s="66">
        <v>620.76700000000005</v>
      </c>
      <c r="C4556" s="67"/>
      <c r="D4556" s="68">
        <v>0</v>
      </c>
      <c r="E4556" s="110">
        <f t="shared" si="71"/>
        <v>37193</v>
      </c>
      <c r="F4556" s="69">
        <v>1.4100297788676079E-2</v>
      </c>
    </row>
    <row r="4557" spans="1:6" x14ac:dyDescent="0.3">
      <c r="A4557" s="24">
        <v>39435</v>
      </c>
      <c r="B4557" s="66">
        <v>620.76700000000005</v>
      </c>
      <c r="C4557" s="67"/>
      <c r="D4557" s="68">
        <v>0</v>
      </c>
      <c r="E4557" s="110">
        <f t="shared" si="71"/>
        <v>37193</v>
      </c>
      <c r="F4557" s="69">
        <v>1.4100297788676079E-2</v>
      </c>
    </row>
    <row r="4558" spans="1:6" x14ac:dyDescent="0.3">
      <c r="A4558" s="24">
        <v>39436</v>
      </c>
      <c r="B4558" s="66">
        <v>620.76700000000005</v>
      </c>
      <c r="C4558" s="67"/>
      <c r="D4558" s="68">
        <v>0</v>
      </c>
      <c r="E4558" s="110">
        <f t="shared" si="71"/>
        <v>37193</v>
      </c>
      <c r="F4558" s="69">
        <v>1.4100297788676079E-2</v>
      </c>
    </row>
    <row r="4559" spans="1:6" x14ac:dyDescent="0.3">
      <c r="A4559" s="24">
        <v>39437</v>
      </c>
      <c r="B4559" s="66">
        <v>620.76700000000005</v>
      </c>
      <c r="C4559" s="67"/>
      <c r="D4559" s="68">
        <v>0</v>
      </c>
      <c r="E4559" s="110">
        <f t="shared" si="71"/>
        <v>37193</v>
      </c>
      <c r="F4559" s="69">
        <v>1.4100297788676079E-2</v>
      </c>
    </row>
    <row r="4560" spans="1:6" x14ac:dyDescent="0.3">
      <c r="A4560" s="24">
        <v>39438</v>
      </c>
      <c r="B4560" s="66">
        <v>620.76700000000005</v>
      </c>
      <c r="C4560" s="67"/>
      <c r="D4560" s="68">
        <v>0</v>
      </c>
      <c r="E4560" s="110">
        <f t="shared" si="71"/>
        <v>37193</v>
      </c>
      <c r="F4560" s="69">
        <v>1.4100297788676079E-2</v>
      </c>
    </row>
    <row r="4561" spans="1:6" x14ac:dyDescent="0.3">
      <c r="A4561" s="24">
        <v>39439</v>
      </c>
      <c r="B4561" s="66">
        <v>620.76700000000005</v>
      </c>
      <c r="C4561" s="67"/>
      <c r="D4561" s="68">
        <v>0</v>
      </c>
      <c r="E4561" s="110">
        <f t="shared" si="71"/>
        <v>37193</v>
      </c>
      <c r="F4561" s="69">
        <v>1.4100297788676079E-2</v>
      </c>
    </row>
    <row r="4562" spans="1:6" x14ac:dyDescent="0.3">
      <c r="A4562" s="24">
        <v>39440</v>
      </c>
      <c r="B4562" s="66">
        <v>620.76700000000005</v>
      </c>
      <c r="C4562" s="67"/>
      <c r="D4562" s="68">
        <v>0</v>
      </c>
      <c r="E4562" s="110">
        <f t="shared" ref="E4562:E4625" si="72">+E4561</f>
        <v>37193</v>
      </c>
      <c r="F4562" s="69">
        <v>1.4100297788676079E-2</v>
      </c>
    </row>
    <row r="4563" spans="1:6" x14ac:dyDescent="0.3">
      <c r="A4563" s="24">
        <v>39441</v>
      </c>
      <c r="B4563" s="66">
        <v>620.76700000000005</v>
      </c>
      <c r="C4563" s="67"/>
      <c r="D4563" s="68">
        <v>0</v>
      </c>
      <c r="E4563" s="110">
        <f t="shared" si="72"/>
        <v>37193</v>
      </c>
      <c r="F4563" s="69">
        <v>1.4100297788676079E-2</v>
      </c>
    </row>
    <row r="4564" spans="1:6" x14ac:dyDescent="0.3">
      <c r="A4564" s="24">
        <v>39442</v>
      </c>
      <c r="B4564" s="66">
        <v>620.76700000000005</v>
      </c>
      <c r="C4564" s="67"/>
      <c r="D4564" s="68">
        <v>0</v>
      </c>
      <c r="E4564" s="110">
        <f t="shared" si="72"/>
        <v>37193</v>
      </c>
      <c r="F4564" s="69">
        <v>1.4100297788676079E-2</v>
      </c>
    </row>
    <row r="4565" spans="1:6" x14ac:dyDescent="0.3">
      <c r="A4565" s="24">
        <v>39443</v>
      </c>
      <c r="B4565" s="66">
        <v>620.76700000000005</v>
      </c>
      <c r="C4565" s="67"/>
      <c r="D4565" s="68">
        <v>0</v>
      </c>
      <c r="E4565" s="110">
        <f t="shared" si="72"/>
        <v>37193</v>
      </c>
      <c r="F4565" s="69">
        <v>1.4100297788676079E-2</v>
      </c>
    </row>
    <row r="4566" spans="1:6" x14ac:dyDescent="0.3">
      <c r="A4566" s="24">
        <v>39444</v>
      </c>
      <c r="B4566" s="66">
        <v>620.76700000000005</v>
      </c>
      <c r="C4566" s="67"/>
      <c r="D4566" s="68">
        <v>0</v>
      </c>
      <c r="E4566" s="110">
        <f t="shared" si="72"/>
        <v>37193</v>
      </c>
      <c r="F4566" s="69">
        <v>1.4100297788676079E-2</v>
      </c>
    </row>
    <row r="4567" spans="1:6" x14ac:dyDescent="0.3">
      <c r="A4567" s="24">
        <v>39445</v>
      </c>
      <c r="B4567" s="66">
        <v>620.76700000000005</v>
      </c>
      <c r="C4567" s="67"/>
      <c r="D4567" s="68">
        <v>0</v>
      </c>
      <c r="E4567" s="110">
        <f t="shared" si="72"/>
        <v>37193</v>
      </c>
      <c r="F4567" s="69">
        <v>1.4100297788676079E-2</v>
      </c>
    </row>
    <row r="4568" spans="1:6" x14ac:dyDescent="0.3">
      <c r="A4568" s="24">
        <v>39446</v>
      </c>
      <c r="B4568" s="66">
        <v>620.76700000000005</v>
      </c>
      <c r="C4568" s="67"/>
      <c r="D4568" s="68">
        <v>0</v>
      </c>
      <c r="E4568" s="110">
        <f t="shared" si="72"/>
        <v>37193</v>
      </c>
      <c r="F4568" s="69">
        <v>1.4046006553469477E-2</v>
      </c>
    </row>
    <row r="4569" spans="1:6" x14ac:dyDescent="0.3">
      <c r="A4569" s="24">
        <v>39447</v>
      </c>
      <c r="B4569" s="66">
        <v>677.41300000000001</v>
      </c>
      <c r="C4569" s="67"/>
      <c r="D4569" s="68">
        <v>0</v>
      </c>
      <c r="E4569" s="110">
        <f t="shared" si="72"/>
        <v>37193</v>
      </c>
      <c r="F4569" s="69">
        <v>1.4046006553469477E-2</v>
      </c>
    </row>
    <row r="4570" spans="1:6" x14ac:dyDescent="0.3">
      <c r="A4570" s="24">
        <v>39448</v>
      </c>
      <c r="B4570" s="66">
        <v>677.41300000000001</v>
      </c>
      <c r="C4570" s="67"/>
      <c r="D4570" s="68">
        <v>0</v>
      </c>
      <c r="E4570" s="110">
        <f t="shared" si="72"/>
        <v>37193</v>
      </c>
      <c r="F4570" s="69">
        <v>1.4046006553469477E-2</v>
      </c>
    </row>
    <row r="4571" spans="1:6" x14ac:dyDescent="0.3">
      <c r="A4571" s="24">
        <v>39449</v>
      </c>
      <c r="B4571" s="66">
        <v>677.41300000000001</v>
      </c>
      <c r="C4571" s="67"/>
      <c r="D4571" s="68">
        <v>0</v>
      </c>
      <c r="E4571" s="110">
        <f t="shared" si="72"/>
        <v>37193</v>
      </c>
      <c r="F4571" s="69">
        <v>1.4046006553469477E-2</v>
      </c>
    </row>
    <row r="4572" spans="1:6" x14ac:dyDescent="0.3">
      <c r="A4572" s="24">
        <v>39450</v>
      </c>
      <c r="B4572" s="66">
        <v>677.41300000000001</v>
      </c>
      <c r="C4572" s="67"/>
      <c r="D4572" s="68">
        <v>0</v>
      </c>
      <c r="E4572" s="110">
        <f t="shared" si="72"/>
        <v>37193</v>
      </c>
      <c r="F4572" s="69">
        <v>1.4046006553469477E-2</v>
      </c>
    </row>
    <row r="4573" spans="1:6" x14ac:dyDescent="0.3">
      <c r="A4573" s="24">
        <v>39451</v>
      </c>
      <c r="B4573" s="66">
        <v>677.41300000000001</v>
      </c>
      <c r="C4573" s="67"/>
      <c r="D4573" s="68">
        <v>0</v>
      </c>
      <c r="E4573" s="110">
        <f t="shared" si="72"/>
        <v>37193</v>
      </c>
      <c r="F4573" s="69">
        <v>1.4046006553469477E-2</v>
      </c>
    </row>
    <row r="4574" spans="1:6" x14ac:dyDescent="0.3">
      <c r="A4574" s="24">
        <v>39452</v>
      </c>
      <c r="B4574" s="66">
        <v>677.41300000000001</v>
      </c>
      <c r="C4574" s="67"/>
      <c r="D4574" s="68">
        <v>0</v>
      </c>
      <c r="E4574" s="110">
        <f t="shared" si="72"/>
        <v>37193</v>
      </c>
      <c r="F4574" s="69">
        <v>1.4046006553469477E-2</v>
      </c>
    </row>
    <row r="4575" spans="1:6" x14ac:dyDescent="0.3">
      <c r="A4575" s="24">
        <v>39453</v>
      </c>
      <c r="B4575" s="66">
        <v>677.41300000000001</v>
      </c>
      <c r="C4575" s="67"/>
      <c r="D4575" s="68">
        <v>0</v>
      </c>
      <c r="E4575" s="110">
        <f t="shared" si="72"/>
        <v>37193</v>
      </c>
      <c r="F4575" s="69">
        <v>1.4046006553469477E-2</v>
      </c>
    </row>
    <row r="4576" spans="1:6" x14ac:dyDescent="0.3">
      <c r="A4576" s="24">
        <v>39454</v>
      </c>
      <c r="B4576" s="66">
        <v>677.41300000000001</v>
      </c>
      <c r="C4576" s="67"/>
      <c r="D4576" s="68">
        <v>0</v>
      </c>
      <c r="E4576" s="110">
        <f t="shared" si="72"/>
        <v>37193</v>
      </c>
      <c r="F4576" s="69">
        <v>1.4046006553469477E-2</v>
      </c>
    </row>
    <row r="4577" spans="1:6" x14ac:dyDescent="0.3">
      <c r="A4577" s="24">
        <v>39455</v>
      </c>
      <c r="B4577" s="66">
        <v>677.41300000000001</v>
      </c>
      <c r="C4577" s="67"/>
      <c r="D4577" s="68">
        <v>0</v>
      </c>
      <c r="E4577" s="110">
        <f t="shared" si="72"/>
        <v>37193</v>
      </c>
      <c r="F4577" s="69">
        <v>1.4046006553469477E-2</v>
      </c>
    </row>
    <row r="4578" spans="1:6" x14ac:dyDescent="0.3">
      <c r="A4578" s="24">
        <v>39456</v>
      </c>
      <c r="B4578" s="66">
        <v>677.41300000000001</v>
      </c>
      <c r="C4578" s="67"/>
      <c r="D4578" s="68">
        <v>0</v>
      </c>
      <c r="E4578" s="110">
        <f t="shared" si="72"/>
        <v>37193</v>
      </c>
      <c r="F4578" s="69">
        <v>1.4046006553469477E-2</v>
      </c>
    </row>
    <row r="4579" spans="1:6" x14ac:dyDescent="0.3">
      <c r="A4579" s="24">
        <v>39457</v>
      </c>
      <c r="B4579" s="66">
        <v>677.41300000000001</v>
      </c>
      <c r="C4579" s="67"/>
      <c r="D4579" s="68">
        <v>0</v>
      </c>
      <c r="E4579" s="110">
        <f t="shared" si="72"/>
        <v>37193</v>
      </c>
      <c r="F4579" s="69">
        <v>1.4046006553469477E-2</v>
      </c>
    </row>
    <row r="4580" spans="1:6" x14ac:dyDescent="0.3">
      <c r="A4580" s="24">
        <v>39458</v>
      </c>
      <c r="B4580" s="66">
        <v>677.41300000000001</v>
      </c>
      <c r="C4580" s="67"/>
      <c r="D4580" s="68">
        <v>0</v>
      </c>
      <c r="E4580" s="110">
        <f t="shared" si="72"/>
        <v>37193</v>
      </c>
      <c r="F4580" s="69">
        <v>1.4046006553469477E-2</v>
      </c>
    </row>
    <row r="4581" spans="1:6" x14ac:dyDescent="0.3">
      <c r="A4581" s="24">
        <v>39459</v>
      </c>
      <c r="B4581" s="66">
        <v>677.41300000000001</v>
      </c>
      <c r="C4581" s="67"/>
      <c r="D4581" s="68">
        <v>0</v>
      </c>
      <c r="E4581" s="110">
        <f t="shared" si="72"/>
        <v>37193</v>
      </c>
      <c r="F4581" s="69">
        <v>1.4046006553469477E-2</v>
      </c>
    </row>
    <row r="4582" spans="1:6" x14ac:dyDescent="0.3">
      <c r="A4582" s="24">
        <v>39460</v>
      </c>
      <c r="B4582" s="66">
        <v>677.41300000000001</v>
      </c>
      <c r="C4582" s="67"/>
      <c r="D4582" s="68">
        <v>0</v>
      </c>
      <c r="E4582" s="110">
        <f t="shared" si="72"/>
        <v>37193</v>
      </c>
      <c r="F4582" s="69">
        <v>1.4046006553469477E-2</v>
      </c>
    </row>
    <row r="4583" spans="1:6" x14ac:dyDescent="0.3">
      <c r="A4583" s="24">
        <v>39461</v>
      </c>
      <c r="B4583" s="66">
        <v>677.41300000000001</v>
      </c>
      <c r="C4583" s="67"/>
      <c r="D4583" s="68">
        <v>0</v>
      </c>
      <c r="E4583" s="110">
        <f t="shared" si="72"/>
        <v>37193</v>
      </c>
      <c r="F4583" s="69">
        <v>1.4046006553469477E-2</v>
      </c>
    </row>
    <row r="4584" spans="1:6" x14ac:dyDescent="0.3">
      <c r="A4584" s="24">
        <v>39462</v>
      </c>
      <c r="B4584" s="66">
        <v>677.41300000000001</v>
      </c>
      <c r="C4584" s="67"/>
      <c r="D4584" s="68">
        <v>0</v>
      </c>
      <c r="E4584" s="110">
        <f t="shared" si="72"/>
        <v>37193</v>
      </c>
      <c r="F4584" s="69">
        <v>1.4046006553469477E-2</v>
      </c>
    </row>
    <row r="4585" spans="1:6" x14ac:dyDescent="0.3">
      <c r="A4585" s="24">
        <v>39463</v>
      </c>
      <c r="B4585" s="66">
        <v>677.41300000000001</v>
      </c>
      <c r="C4585" s="67"/>
      <c r="D4585" s="68">
        <v>0</v>
      </c>
      <c r="E4585" s="110">
        <f t="shared" si="72"/>
        <v>37193</v>
      </c>
      <c r="F4585" s="69">
        <v>1.4046006553469477E-2</v>
      </c>
    </row>
    <row r="4586" spans="1:6" x14ac:dyDescent="0.3">
      <c r="A4586" s="24">
        <v>39464</v>
      </c>
      <c r="B4586" s="66">
        <v>677.41300000000001</v>
      </c>
      <c r="C4586" s="67"/>
      <c r="D4586" s="68">
        <v>0</v>
      </c>
      <c r="E4586" s="110">
        <f t="shared" si="72"/>
        <v>37193</v>
      </c>
      <c r="F4586" s="69">
        <v>1.4046006553469477E-2</v>
      </c>
    </row>
    <row r="4587" spans="1:6" x14ac:dyDescent="0.3">
      <c r="A4587" s="24">
        <v>39465</v>
      </c>
      <c r="B4587" s="66">
        <v>677.41300000000001</v>
      </c>
      <c r="C4587" s="67"/>
      <c r="D4587" s="68">
        <v>0</v>
      </c>
      <c r="E4587" s="110">
        <f t="shared" si="72"/>
        <v>37193</v>
      </c>
      <c r="F4587" s="69">
        <v>1.4046006553469477E-2</v>
      </c>
    </row>
    <row r="4588" spans="1:6" x14ac:dyDescent="0.3">
      <c r="A4588" s="24">
        <v>39466</v>
      </c>
      <c r="B4588" s="66">
        <v>677.41300000000001</v>
      </c>
      <c r="C4588" s="67"/>
      <c r="D4588" s="68">
        <v>0</v>
      </c>
      <c r="E4588" s="110">
        <f t="shared" si="72"/>
        <v>37193</v>
      </c>
      <c r="F4588" s="69">
        <v>1.4046006553469477E-2</v>
      </c>
    </row>
    <row r="4589" spans="1:6" x14ac:dyDescent="0.3">
      <c r="A4589" s="24">
        <v>39467</v>
      </c>
      <c r="B4589" s="66">
        <v>677.41300000000001</v>
      </c>
      <c r="C4589" s="67"/>
      <c r="D4589" s="68">
        <v>0</v>
      </c>
      <c r="E4589" s="110">
        <f t="shared" si="72"/>
        <v>37193</v>
      </c>
      <c r="F4589" s="69">
        <v>1.4046006553469477E-2</v>
      </c>
    </row>
    <row r="4590" spans="1:6" x14ac:dyDescent="0.3">
      <c r="A4590" s="24">
        <v>39468</v>
      </c>
      <c r="B4590" s="66">
        <v>677.41300000000001</v>
      </c>
      <c r="C4590" s="67"/>
      <c r="D4590" s="68">
        <v>0</v>
      </c>
      <c r="E4590" s="110">
        <f t="shared" si="72"/>
        <v>37193</v>
      </c>
      <c r="F4590" s="69">
        <v>1.4046006553469477E-2</v>
      </c>
    </row>
    <row r="4591" spans="1:6" x14ac:dyDescent="0.3">
      <c r="A4591" s="24">
        <v>39469</v>
      </c>
      <c r="B4591" s="66">
        <v>677.41300000000001</v>
      </c>
      <c r="C4591" s="67"/>
      <c r="D4591" s="68">
        <v>0</v>
      </c>
      <c r="E4591" s="110">
        <f t="shared" si="72"/>
        <v>37193</v>
      </c>
      <c r="F4591" s="69">
        <v>1.4046006553469477E-2</v>
      </c>
    </row>
    <row r="4592" spans="1:6" x14ac:dyDescent="0.3">
      <c r="A4592" s="24">
        <v>39470</v>
      </c>
      <c r="B4592" s="66">
        <v>677.41300000000001</v>
      </c>
      <c r="C4592" s="67"/>
      <c r="D4592" s="68">
        <v>0</v>
      </c>
      <c r="E4592" s="110">
        <f t="shared" si="72"/>
        <v>37193</v>
      </c>
      <c r="F4592" s="69">
        <v>1.4046006553469477E-2</v>
      </c>
    </row>
    <row r="4593" spans="1:6" x14ac:dyDescent="0.3">
      <c r="A4593" s="24">
        <v>39471</v>
      </c>
      <c r="B4593" s="66">
        <v>677.41300000000001</v>
      </c>
      <c r="C4593" s="67"/>
      <c r="D4593" s="68">
        <v>0</v>
      </c>
      <c r="E4593" s="110">
        <f t="shared" si="72"/>
        <v>37193</v>
      </c>
      <c r="F4593" s="69">
        <v>1.4046006553469477E-2</v>
      </c>
    </row>
    <row r="4594" spans="1:6" x14ac:dyDescent="0.3">
      <c r="A4594" s="24">
        <v>39472</v>
      </c>
      <c r="B4594" s="66">
        <v>677.41300000000001</v>
      </c>
      <c r="C4594" s="67"/>
      <c r="D4594" s="68">
        <v>0</v>
      </c>
      <c r="E4594" s="110">
        <f t="shared" si="72"/>
        <v>37193</v>
      </c>
      <c r="F4594" s="69">
        <v>1.4046006553469477E-2</v>
      </c>
    </row>
    <row r="4595" spans="1:6" x14ac:dyDescent="0.3">
      <c r="A4595" s="24">
        <v>39473</v>
      </c>
      <c r="B4595" s="66">
        <v>677.41300000000001</v>
      </c>
      <c r="C4595" s="67"/>
      <c r="D4595" s="68">
        <v>0</v>
      </c>
      <c r="E4595" s="110">
        <f t="shared" si="72"/>
        <v>37193</v>
      </c>
      <c r="F4595" s="69">
        <v>1.4046006553469477E-2</v>
      </c>
    </row>
    <row r="4596" spans="1:6" x14ac:dyDescent="0.3">
      <c r="A4596" s="24">
        <v>39474</v>
      </c>
      <c r="B4596" s="66">
        <v>677.41300000000001</v>
      </c>
      <c r="C4596" s="67"/>
      <c r="D4596" s="68">
        <v>0</v>
      </c>
      <c r="E4596" s="110">
        <f t="shared" si="72"/>
        <v>37193</v>
      </c>
      <c r="F4596" s="69">
        <v>1.4046006553469477E-2</v>
      </c>
    </row>
    <row r="4597" spans="1:6" x14ac:dyDescent="0.3">
      <c r="A4597" s="24">
        <v>39475</v>
      </c>
      <c r="B4597" s="66">
        <v>677.41300000000001</v>
      </c>
      <c r="C4597" s="67"/>
      <c r="D4597" s="68">
        <v>0</v>
      </c>
      <c r="E4597" s="110">
        <f t="shared" si="72"/>
        <v>37193</v>
      </c>
      <c r="F4597" s="69">
        <v>1.4046006553469477E-2</v>
      </c>
    </row>
    <row r="4598" spans="1:6" x14ac:dyDescent="0.3">
      <c r="A4598" s="24">
        <v>39476</v>
      </c>
      <c r="B4598" s="66">
        <v>677.41300000000001</v>
      </c>
      <c r="C4598" s="67"/>
      <c r="D4598" s="68">
        <v>0</v>
      </c>
      <c r="E4598" s="110">
        <f t="shared" si="72"/>
        <v>37193</v>
      </c>
      <c r="F4598" s="69">
        <v>1.4046006553469477E-2</v>
      </c>
    </row>
    <row r="4599" spans="1:6" x14ac:dyDescent="0.3">
      <c r="A4599" s="24">
        <v>39477</v>
      </c>
      <c r="B4599" s="66">
        <v>677.41300000000001</v>
      </c>
      <c r="C4599" s="67"/>
      <c r="D4599" s="68">
        <v>0</v>
      </c>
      <c r="E4599" s="110">
        <f t="shared" si="72"/>
        <v>37193</v>
      </c>
      <c r="F4599" s="69">
        <v>1.4046006553469477E-2</v>
      </c>
    </row>
    <row r="4600" spans="1:6" x14ac:dyDescent="0.3">
      <c r="A4600" s="24">
        <v>39478</v>
      </c>
      <c r="B4600" s="66">
        <v>677.41300000000001</v>
      </c>
      <c r="C4600" s="67"/>
      <c r="D4600" s="68">
        <v>0</v>
      </c>
      <c r="E4600" s="110">
        <f t="shared" si="72"/>
        <v>37193</v>
      </c>
      <c r="F4600" s="69">
        <v>1.4046006553469477E-2</v>
      </c>
    </row>
    <row r="4601" spans="1:6" x14ac:dyDescent="0.3">
      <c r="A4601" s="24">
        <v>39479</v>
      </c>
      <c r="B4601" s="66">
        <v>677.41300000000001</v>
      </c>
      <c r="C4601" s="67"/>
      <c r="D4601" s="68">
        <v>0</v>
      </c>
      <c r="E4601" s="110">
        <f t="shared" si="72"/>
        <v>37193</v>
      </c>
      <c r="F4601" s="69">
        <v>1.4046006553469477E-2</v>
      </c>
    </row>
    <row r="4602" spans="1:6" x14ac:dyDescent="0.3">
      <c r="A4602" s="24">
        <v>39480</v>
      </c>
      <c r="B4602" s="66">
        <v>677.41300000000001</v>
      </c>
      <c r="C4602" s="67"/>
      <c r="D4602" s="68">
        <v>0</v>
      </c>
      <c r="E4602" s="110">
        <f t="shared" si="72"/>
        <v>37193</v>
      </c>
      <c r="F4602" s="69">
        <v>1.4046006553469477E-2</v>
      </c>
    </row>
    <row r="4603" spans="1:6" x14ac:dyDescent="0.3">
      <c r="A4603" s="24">
        <v>39481</v>
      </c>
      <c r="B4603" s="66">
        <v>677.41300000000001</v>
      </c>
      <c r="C4603" s="67"/>
      <c r="D4603" s="68">
        <v>0</v>
      </c>
      <c r="E4603" s="110">
        <f t="shared" si="72"/>
        <v>37193</v>
      </c>
      <c r="F4603" s="69">
        <v>1.4046006553469477E-2</v>
      </c>
    </row>
    <row r="4604" spans="1:6" x14ac:dyDescent="0.3">
      <c r="A4604" s="24">
        <v>39482</v>
      </c>
      <c r="B4604" s="66">
        <v>677.41300000000001</v>
      </c>
      <c r="C4604" s="67"/>
      <c r="D4604" s="68">
        <v>0</v>
      </c>
      <c r="E4604" s="110">
        <f t="shared" si="72"/>
        <v>37193</v>
      </c>
      <c r="F4604" s="69">
        <v>1.4046006553469477E-2</v>
      </c>
    </row>
    <row r="4605" spans="1:6" x14ac:dyDescent="0.3">
      <c r="A4605" s="24">
        <v>39483</v>
      </c>
      <c r="B4605" s="66">
        <v>677.41300000000001</v>
      </c>
      <c r="C4605" s="67"/>
      <c r="D4605" s="68">
        <v>0</v>
      </c>
      <c r="E4605" s="110">
        <f t="shared" si="72"/>
        <v>37193</v>
      </c>
      <c r="F4605" s="69">
        <v>1.4046006553469477E-2</v>
      </c>
    </row>
    <row r="4606" spans="1:6" x14ac:dyDescent="0.3">
      <c r="A4606" s="24">
        <v>39484</v>
      </c>
      <c r="B4606" s="66">
        <v>677.41300000000001</v>
      </c>
      <c r="C4606" s="67"/>
      <c r="D4606" s="68">
        <v>0</v>
      </c>
      <c r="E4606" s="110">
        <f t="shared" si="72"/>
        <v>37193</v>
      </c>
      <c r="F4606" s="69">
        <v>1.4046006553469477E-2</v>
      </c>
    </row>
    <row r="4607" spans="1:6" x14ac:dyDescent="0.3">
      <c r="A4607" s="24">
        <v>39485</v>
      </c>
      <c r="B4607" s="66">
        <v>677.41300000000001</v>
      </c>
      <c r="C4607" s="67"/>
      <c r="D4607" s="68">
        <v>0</v>
      </c>
      <c r="E4607" s="110">
        <f t="shared" si="72"/>
        <v>37193</v>
      </c>
      <c r="F4607" s="69">
        <v>1.4046006553469477E-2</v>
      </c>
    </row>
    <row r="4608" spans="1:6" x14ac:dyDescent="0.3">
      <c r="A4608" s="24">
        <v>39486</v>
      </c>
      <c r="B4608" s="66">
        <v>677.41300000000001</v>
      </c>
      <c r="C4608" s="67"/>
      <c r="D4608" s="68">
        <v>0</v>
      </c>
      <c r="E4608" s="110">
        <f t="shared" si="72"/>
        <v>37193</v>
      </c>
      <c r="F4608" s="69">
        <v>1.4046006553469477E-2</v>
      </c>
    </row>
    <row r="4609" spans="1:6" x14ac:dyDescent="0.3">
      <c r="A4609" s="24">
        <v>39487</v>
      </c>
      <c r="B4609" s="66">
        <v>677.41300000000001</v>
      </c>
      <c r="C4609" s="67"/>
      <c r="D4609" s="68">
        <v>0</v>
      </c>
      <c r="E4609" s="110">
        <f t="shared" si="72"/>
        <v>37193</v>
      </c>
      <c r="F4609" s="69">
        <v>1.4046006553469477E-2</v>
      </c>
    </row>
    <row r="4610" spans="1:6" x14ac:dyDescent="0.3">
      <c r="A4610" s="24">
        <v>39488</v>
      </c>
      <c r="B4610" s="66">
        <v>677.41300000000001</v>
      </c>
      <c r="C4610" s="67"/>
      <c r="D4610" s="68">
        <v>0</v>
      </c>
      <c r="E4610" s="110">
        <f t="shared" si="72"/>
        <v>37193</v>
      </c>
      <c r="F4610" s="69">
        <v>1.4046006553469477E-2</v>
      </c>
    </row>
    <row r="4611" spans="1:6" x14ac:dyDescent="0.3">
      <c r="A4611" s="24">
        <v>39489</v>
      </c>
      <c r="B4611" s="66">
        <v>677.41300000000001</v>
      </c>
      <c r="C4611" s="67"/>
      <c r="D4611" s="68">
        <v>0</v>
      </c>
      <c r="E4611" s="110">
        <f t="shared" si="72"/>
        <v>37193</v>
      </c>
      <c r="F4611" s="69">
        <v>1.4046006553469477E-2</v>
      </c>
    </row>
    <row r="4612" spans="1:6" x14ac:dyDescent="0.3">
      <c r="A4612" s="24">
        <v>39490</v>
      </c>
      <c r="B4612" s="66">
        <v>677.41300000000001</v>
      </c>
      <c r="C4612" s="67"/>
      <c r="D4612" s="68">
        <v>0</v>
      </c>
      <c r="E4612" s="110">
        <f t="shared" si="72"/>
        <v>37193</v>
      </c>
      <c r="F4612" s="69">
        <v>1.4046006553469477E-2</v>
      </c>
    </row>
    <row r="4613" spans="1:6" x14ac:dyDescent="0.3">
      <c r="A4613" s="24">
        <v>39491</v>
      </c>
      <c r="B4613" s="66">
        <v>677.41300000000001</v>
      </c>
      <c r="C4613" s="67"/>
      <c r="D4613" s="68">
        <v>0</v>
      </c>
      <c r="E4613" s="110">
        <f t="shared" si="72"/>
        <v>37193</v>
      </c>
      <c r="F4613" s="69">
        <v>1.4046006553469477E-2</v>
      </c>
    </row>
    <row r="4614" spans="1:6" x14ac:dyDescent="0.3">
      <c r="A4614" s="24">
        <v>39492</v>
      </c>
      <c r="B4614" s="66">
        <v>677.41300000000001</v>
      </c>
      <c r="C4614" s="67"/>
      <c r="D4614" s="68">
        <v>0</v>
      </c>
      <c r="E4614" s="110">
        <f t="shared" si="72"/>
        <v>37193</v>
      </c>
      <c r="F4614" s="69">
        <v>1.4046006553469477E-2</v>
      </c>
    </row>
    <row r="4615" spans="1:6" x14ac:dyDescent="0.3">
      <c r="A4615" s="24">
        <v>39493</v>
      </c>
      <c r="B4615" s="66">
        <v>677.41300000000001</v>
      </c>
      <c r="C4615" s="67"/>
      <c r="D4615" s="68">
        <v>0</v>
      </c>
      <c r="E4615" s="110">
        <f t="shared" si="72"/>
        <v>37193</v>
      </c>
      <c r="F4615" s="69">
        <v>1.4046006553469477E-2</v>
      </c>
    </row>
    <row r="4616" spans="1:6" x14ac:dyDescent="0.3">
      <c r="A4616" s="24">
        <v>39494</v>
      </c>
      <c r="B4616" s="66">
        <v>677.41300000000001</v>
      </c>
      <c r="C4616" s="67"/>
      <c r="D4616" s="68">
        <v>0</v>
      </c>
      <c r="E4616" s="110">
        <f t="shared" si="72"/>
        <v>37193</v>
      </c>
      <c r="F4616" s="69">
        <v>1.4046006553469477E-2</v>
      </c>
    </row>
    <row r="4617" spans="1:6" x14ac:dyDescent="0.3">
      <c r="A4617" s="24">
        <v>39495</v>
      </c>
      <c r="B4617" s="66">
        <v>677.41300000000001</v>
      </c>
      <c r="C4617" s="67"/>
      <c r="D4617" s="68">
        <v>0</v>
      </c>
      <c r="E4617" s="110">
        <f t="shared" si="72"/>
        <v>37193</v>
      </c>
      <c r="F4617" s="69">
        <v>1.4046006553469477E-2</v>
      </c>
    </row>
    <row r="4618" spans="1:6" x14ac:dyDescent="0.3">
      <c r="A4618" s="24">
        <v>39496</v>
      </c>
      <c r="B4618" s="66">
        <v>677.41300000000001</v>
      </c>
      <c r="C4618" s="67"/>
      <c r="D4618" s="68">
        <v>0</v>
      </c>
      <c r="E4618" s="110">
        <f t="shared" si="72"/>
        <v>37193</v>
      </c>
      <c r="F4618" s="69">
        <v>1.4046006553469477E-2</v>
      </c>
    </row>
    <row r="4619" spans="1:6" x14ac:dyDescent="0.3">
      <c r="A4619" s="24">
        <v>39497</v>
      </c>
      <c r="B4619" s="66">
        <v>677.41300000000001</v>
      </c>
      <c r="C4619" s="67"/>
      <c r="D4619" s="68">
        <v>0</v>
      </c>
      <c r="E4619" s="110">
        <f t="shared" si="72"/>
        <v>37193</v>
      </c>
      <c r="F4619" s="69">
        <v>1.4046006553469477E-2</v>
      </c>
    </row>
    <row r="4620" spans="1:6" x14ac:dyDescent="0.3">
      <c r="A4620" s="24">
        <v>39498</v>
      </c>
      <c r="B4620" s="66">
        <v>677.41300000000001</v>
      </c>
      <c r="C4620" s="67"/>
      <c r="D4620" s="68">
        <v>0</v>
      </c>
      <c r="E4620" s="110">
        <f t="shared" si="72"/>
        <v>37193</v>
      </c>
      <c r="F4620" s="69">
        <v>1.4046006553469477E-2</v>
      </c>
    </row>
    <row r="4621" spans="1:6" x14ac:dyDescent="0.3">
      <c r="A4621" s="24">
        <v>39499</v>
      </c>
      <c r="B4621" s="66">
        <v>677.41300000000001</v>
      </c>
      <c r="C4621" s="67"/>
      <c r="D4621" s="68">
        <v>0</v>
      </c>
      <c r="E4621" s="110">
        <f t="shared" si="72"/>
        <v>37193</v>
      </c>
      <c r="F4621" s="69">
        <v>1.4046006553469477E-2</v>
      </c>
    </row>
    <row r="4622" spans="1:6" x14ac:dyDescent="0.3">
      <c r="A4622" s="24">
        <v>39500</v>
      </c>
      <c r="B4622" s="66">
        <v>677.41300000000001</v>
      </c>
      <c r="C4622" s="67"/>
      <c r="D4622" s="68">
        <v>0</v>
      </c>
      <c r="E4622" s="110">
        <f t="shared" si="72"/>
        <v>37193</v>
      </c>
      <c r="F4622" s="69">
        <v>1.4046006553469477E-2</v>
      </c>
    </row>
    <row r="4623" spans="1:6" x14ac:dyDescent="0.3">
      <c r="A4623" s="24">
        <v>39501</v>
      </c>
      <c r="B4623" s="66">
        <v>677.41300000000001</v>
      </c>
      <c r="C4623" s="67"/>
      <c r="D4623" s="68">
        <v>0</v>
      </c>
      <c r="E4623" s="110">
        <f t="shared" si="72"/>
        <v>37193</v>
      </c>
      <c r="F4623" s="69">
        <v>1.4046006553469477E-2</v>
      </c>
    </row>
    <row r="4624" spans="1:6" x14ac:dyDescent="0.3">
      <c r="A4624" s="24">
        <v>39502</v>
      </c>
      <c r="B4624" s="66">
        <v>677.41300000000001</v>
      </c>
      <c r="C4624" s="67"/>
      <c r="D4624" s="68">
        <v>0</v>
      </c>
      <c r="E4624" s="110">
        <f t="shared" si="72"/>
        <v>37193</v>
      </c>
      <c r="F4624" s="69">
        <v>1.4046006553469477E-2</v>
      </c>
    </row>
    <row r="4625" spans="1:6" x14ac:dyDescent="0.3">
      <c r="A4625" s="24">
        <v>39503</v>
      </c>
      <c r="B4625" s="66">
        <v>677.41300000000001</v>
      </c>
      <c r="C4625" s="67"/>
      <c r="D4625" s="68">
        <v>0</v>
      </c>
      <c r="E4625" s="110">
        <f t="shared" si="72"/>
        <v>37193</v>
      </c>
      <c r="F4625" s="69">
        <v>1.4046006553469477E-2</v>
      </c>
    </row>
    <row r="4626" spans="1:6" x14ac:dyDescent="0.3">
      <c r="A4626" s="24">
        <v>39504</v>
      </c>
      <c r="B4626" s="66">
        <v>677.41300000000001</v>
      </c>
      <c r="C4626" s="67"/>
      <c r="D4626" s="68">
        <v>0</v>
      </c>
      <c r="E4626" s="110">
        <f t="shared" ref="E4626:E4689" si="73">+E4625</f>
        <v>37193</v>
      </c>
      <c r="F4626" s="69">
        <v>1.4046006553469477E-2</v>
      </c>
    </row>
    <row r="4627" spans="1:6" x14ac:dyDescent="0.3">
      <c r="A4627" s="24">
        <v>39505</v>
      </c>
      <c r="B4627" s="66">
        <v>677.41300000000001</v>
      </c>
      <c r="C4627" s="67"/>
      <c r="D4627" s="68">
        <v>0</v>
      </c>
      <c r="E4627" s="110">
        <f t="shared" si="73"/>
        <v>37193</v>
      </c>
      <c r="F4627" s="69">
        <v>1.4046006553469477E-2</v>
      </c>
    </row>
    <row r="4628" spans="1:6" x14ac:dyDescent="0.3">
      <c r="A4628" s="24">
        <v>39506</v>
      </c>
      <c r="B4628" s="66">
        <v>677.41300000000001</v>
      </c>
      <c r="C4628" s="67"/>
      <c r="D4628" s="68">
        <v>0</v>
      </c>
      <c r="E4628" s="110">
        <f t="shared" si="73"/>
        <v>37193</v>
      </c>
      <c r="F4628" s="69">
        <v>1.4046006553469477E-2</v>
      </c>
    </row>
    <row r="4629" spans="1:6" x14ac:dyDescent="0.3">
      <c r="A4629" s="24">
        <v>39507</v>
      </c>
      <c r="B4629" s="66">
        <v>677.41300000000001</v>
      </c>
      <c r="C4629" s="67"/>
      <c r="D4629" s="68">
        <v>0</v>
      </c>
      <c r="E4629" s="110">
        <f t="shared" si="73"/>
        <v>37193</v>
      </c>
      <c r="F4629" s="69">
        <v>1.4046006553469477E-2</v>
      </c>
    </row>
    <row r="4630" spans="1:6" x14ac:dyDescent="0.3">
      <c r="A4630" s="24">
        <v>39508</v>
      </c>
      <c r="B4630" s="66">
        <v>677.41300000000001</v>
      </c>
      <c r="C4630" s="67"/>
      <c r="D4630" s="68">
        <v>0</v>
      </c>
      <c r="E4630" s="110">
        <f t="shared" si="73"/>
        <v>37193</v>
      </c>
      <c r="F4630" s="69">
        <v>1.4046006553469477E-2</v>
      </c>
    </row>
    <row r="4631" spans="1:6" x14ac:dyDescent="0.3">
      <c r="A4631" s="24">
        <v>39509</v>
      </c>
      <c r="B4631" s="66">
        <v>677.41300000000001</v>
      </c>
      <c r="C4631" s="67"/>
      <c r="D4631" s="68">
        <v>0</v>
      </c>
      <c r="E4631" s="110">
        <f t="shared" si="73"/>
        <v>37193</v>
      </c>
      <c r="F4631" s="69">
        <v>1.4046006553469477E-2</v>
      </c>
    </row>
    <row r="4632" spans="1:6" x14ac:dyDescent="0.3">
      <c r="A4632" s="24">
        <v>39510</v>
      </c>
      <c r="B4632" s="66">
        <v>677.41300000000001</v>
      </c>
      <c r="C4632" s="67"/>
      <c r="D4632" s="68">
        <v>0</v>
      </c>
      <c r="E4632" s="110">
        <f t="shared" si="73"/>
        <v>37193</v>
      </c>
      <c r="F4632" s="69">
        <v>1.4046006553469477E-2</v>
      </c>
    </row>
    <row r="4633" spans="1:6" x14ac:dyDescent="0.3">
      <c r="A4633" s="24">
        <v>39511</v>
      </c>
      <c r="B4633" s="66">
        <v>677.41300000000001</v>
      </c>
      <c r="C4633" s="67"/>
      <c r="D4633" s="68">
        <v>0</v>
      </c>
      <c r="E4633" s="110">
        <f t="shared" si="73"/>
        <v>37193</v>
      </c>
      <c r="F4633" s="69">
        <v>1.4046006553469477E-2</v>
      </c>
    </row>
    <row r="4634" spans="1:6" x14ac:dyDescent="0.3">
      <c r="A4634" s="24">
        <v>39512</v>
      </c>
      <c r="B4634" s="66">
        <v>677.41300000000001</v>
      </c>
      <c r="C4634" s="67"/>
      <c r="D4634" s="68">
        <v>0</v>
      </c>
      <c r="E4634" s="110">
        <f t="shared" si="73"/>
        <v>37193</v>
      </c>
      <c r="F4634" s="69">
        <v>1.4046006553469477E-2</v>
      </c>
    </row>
    <row r="4635" spans="1:6" x14ac:dyDescent="0.3">
      <c r="A4635" s="24">
        <v>39513</v>
      </c>
      <c r="B4635" s="66">
        <v>677.41300000000001</v>
      </c>
      <c r="C4635" s="67"/>
      <c r="D4635" s="68">
        <v>0</v>
      </c>
      <c r="E4635" s="110">
        <f t="shared" si="73"/>
        <v>37193</v>
      </c>
      <c r="F4635" s="69">
        <v>1.4046006553469477E-2</v>
      </c>
    </row>
    <row r="4636" spans="1:6" x14ac:dyDescent="0.3">
      <c r="A4636" s="24">
        <v>39514</v>
      </c>
      <c r="B4636" s="66">
        <v>677.41300000000001</v>
      </c>
      <c r="C4636" s="67"/>
      <c r="D4636" s="68">
        <v>0</v>
      </c>
      <c r="E4636" s="110">
        <f t="shared" si="73"/>
        <v>37193</v>
      </c>
      <c r="F4636" s="69">
        <v>1.4046006553469477E-2</v>
      </c>
    </row>
    <row r="4637" spans="1:6" x14ac:dyDescent="0.3">
      <c r="A4637" s="24">
        <v>39515</v>
      </c>
      <c r="B4637" s="66">
        <v>677.41300000000001</v>
      </c>
      <c r="C4637" s="67"/>
      <c r="D4637" s="68">
        <v>0</v>
      </c>
      <c r="E4637" s="110">
        <f t="shared" si="73"/>
        <v>37193</v>
      </c>
      <c r="F4637" s="69">
        <v>1.4046006553469477E-2</v>
      </c>
    </row>
    <row r="4638" spans="1:6" x14ac:dyDescent="0.3">
      <c r="A4638" s="24">
        <v>39516</v>
      </c>
      <c r="B4638" s="66">
        <v>677.41300000000001</v>
      </c>
      <c r="C4638" s="67"/>
      <c r="D4638" s="68">
        <v>0</v>
      </c>
      <c r="E4638" s="110">
        <f t="shared" si="73"/>
        <v>37193</v>
      </c>
      <c r="F4638" s="69">
        <v>1.4046006553469477E-2</v>
      </c>
    </row>
    <row r="4639" spans="1:6" x14ac:dyDescent="0.3">
      <c r="A4639" s="24">
        <v>39517</v>
      </c>
      <c r="B4639" s="66">
        <v>677.41300000000001</v>
      </c>
      <c r="C4639" s="67"/>
      <c r="D4639" s="68">
        <v>0</v>
      </c>
      <c r="E4639" s="110">
        <f t="shared" si="73"/>
        <v>37193</v>
      </c>
      <c r="F4639" s="69">
        <v>1.4046006553469477E-2</v>
      </c>
    </row>
    <row r="4640" spans="1:6" x14ac:dyDescent="0.3">
      <c r="A4640" s="24">
        <v>39518</v>
      </c>
      <c r="B4640" s="66">
        <v>677.41300000000001</v>
      </c>
      <c r="C4640" s="67"/>
      <c r="D4640" s="68">
        <v>0</v>
      </c>
      <c r="E4640" s="110">
        <f t="shared" si="73"/>
        <v>37193</v>
      </c>
      <c r="F4640" s="69">
        <v>1.4046006553469477E-2</v>
      </c>
    </row>
    <row r="4641" spans="1:6" x14ac:dyDescent="0.3">
      <c r="A4641" s="24">
        <v>39519</v>
      </c>
      <c r="B4641" s="66">
        <v>677.41300000000001</v>
      </c>
      <c r="C4641" s="67"/>
      <c r="D4641" s="68">
        <v>0</v>
      </c>
      <c r="E4641" s="110">
        <f t="shared" si="73"/>
        <v>37193</v>
      </c>
      <c r="F4641" s="69">
        <v>1.4046006553469477E-2</v>
      </c>
    </row>
    <row r="4642" spans="1:6" x14ac:dyDescent="0.3">
      <c r="A4642" s="24">
        <v>39520</v>
      </c>
      <c r="B4642" s="66">
        <v>677.41300000000001</v>
      </c>
      <c r="C4642" s="67"/>
      <c r="D4642" s="68">
        <v>0</v>
      </c>
      <c r="E4642" s="110">
        <f t="shared" si="73"/>
        <v>37193</v>
      </c>
      <c r="F4642" s="69">
        <v>1.4046006553469477E-2</v>
      </c>
    </row>
    <row r="4643" spans="1:6" x14ac:dyDescent="0.3">
      <c r="A4643" s="24">
        <v>39521</v>
      </c>
      <c r="B4643" s="66">
        <v>677.41300000000001</v>
      </c>
      <c r="C4643" s="67"/>
      <c r="D4643" s="68">
        <v>0</v>
      </c>
      <c r="E4643" s="110">
        <f t="shared" si="73"/>
        <v>37193</v>
      </c>
      <c r="F4643" s="69">
        <v>1.4046006553469477E-2</v>
      </c>
    </row>
    <row r="4644" spans="1:6" x14ac:dyDescent="0.3">
      <c r="A4644" s="24">
        <v>39522</v>
      </c>
      <c r="B4644" s="66">
        <v>677.41300000000001</v>
      </c>
      <c r="C4644" s="67"/>
      <c r="D4644" s="68">
        <v>0</v>
      </c>
      <c r="E4644" s="110">
        <f t="shared" si="73"/>
        <v>37193</v>
      </c>
      <c r="F4644" s="69">
        <v>1.4046006553469477E-2</v>
      </c>
    </row>
    <row r="4645" spans="1:6" x14ac:dyDescent="0.3">
      <c r="A4645" s="24">
        <v>39523</v>
      </c>
      <c r="B4645" s="66">
        <v>677.41300000000001</v>
      </c>
      <c r="C4645" s="67"/>
      <c r="D4645" s="68">
        <v>0</v>
      </c>
      <c r="E4645" s="110">
        <f t="shared" si="73"/>
        <v>37193</v>
      </c>
      <c r="F4645" s="69">
        <v>1.4046006553469477E-2</v>
      </c>
    </row>
    <row r="4646" spans="1:6" x14ac:dyDescent="0.3">
      <c r="A4646" s="24">
        <v>39524</v>
      </c>
      <c r="B4646" s="66">
        <v>677.41300000000001</v>
      </c>
      <c r="C4646" s="67"/>
      <c r="D4646" s="68">
        <v>0</v>
      </c>
      <c r="E4646" s="110">
        <f t="shared" si="73"/>
        <v>37193</v>
      </c>
      <c r="F4646" s="69">
        <v>1.4046006553469477E-2</v>
      </c>
    </row>
    <row r="4647" spans="1:6" x14ac:dyDescent="0.3">
      <c r="A4647" s="24">
        <v>39525</v>
      </c>
      <c r="B4647" s="66">
        <v>677.41300000000001</v>
      </c>
      <c r="C4647" s="67"/>
      <c r="D4647" s="68">
        <v>0</v>
      </c>
      <c r="E4647" s="110">
        <f t="shared" si="73"/>
        <v>37193</v>
      </c>
      <c r="F4647" s="69">
        <v>1.4046006553469477E-2</v>
      </c>
    </row>
    <row r="4648" spans="1:6" x14ac:dyDescent="0.3">
      <c r="A4648" s="24">
        <v>39526</v>
      </c>
      <c r="B4648" s="66">
        <v>677.41300000000001</v>
      </c>
      <c r="C4648" s="67"/>
      <c r="D4648" s="68">
        <v>0</v>
      </c>
      <c r="E4648" s="110">
        <f t="shared" si="73"/>
        <v>37193</v>
      </c>
      <c r="F4648" s="69">
        <v>1.4046006553469477E-2</v>
      </c>
    </row>
    <row r="4649" spans="1:6" x14ac:dyDescent="0.3">
      <c r="A4649" s="24">
        <v>39527</v>
      </c>
      <c r="B4649" s="66">
        <v>677.41300000000001</v>
      </c>
      <c r="C4649" s="67"/>
      <c r="D4649" s="68">
        <v>0</v>
      </c>
      <c r="E4649" s="110">
        <f t="shared" si="73"/>
        <v>37193</v>
      </c>
      <c r="F4649" s="69">
        <v>1.4046006553469477E-2</v>
      </c>
    </row>
    <row r="4650" spans="1:6" x14ac:dyDescent="0.3">
      <c r="A4650" s="24">
        <v>39528</v>
      </c>
      <c r="B4650" s="66">
        <v>677.41300000000001</v>
      </c>
      <c r="C4650" s="67"/>
      <c r="D4650" s="68">
        <v>0</v>
      </c>
      <c r="E4650" s="110">
        <f t="shared" si="73"/>
        <v>37193</v>
      </c>
      <c r="F4650" s="69">
        <v>1.4046006553469477E-2</v>
      </c>
    </row>
    <row r="4651" spans="1:6" x14ac:dyDescent="0.3">
      <c r="A4651" s="24">
        <v>39529</v>
      </c>
      <c r="B4651" s="66">
        <v>677.41300000000001</v>
      </c>
      <c r="C4651" s="67"/>
      <c r="D4651" s="68">
        <v>0</v>
      </c>
      <c r="E4651" s="110">
        <f t="shared" si="73"/>
        <v>37193</v>
      </c>
      <c r="F4651" s="69">
        <v>1.4046006553469477E-2</v>
      </c>
    </row>
    <row r="4652" spans="1:6" x14ac:dyDescent="0.3">
      <c r="A4652" s="24">
        <v>39530</v>
      </c>
      <c r="B4652" s="66">
        <v>677.41300000000001</v>
      </c>
      <c r="C4652" s="67"/>
      <c r="D4652" s="68">
        <v>0</v>
      </c>
      <c r="E4652" s="110">
        <f t="shared" si="73"/>
        <v>37193</v>
      </c>
      <c r="F4652" s="69">
        <v>1.4046006553469477E-2</v>
      </c>
    </row>
    <row r="4653" spans="1:6" x14ac:dyDescent="0.3">
      <c r="A4653" s="24">
        <v>39531</v>
      </c>
      <c r="B4653" s="66">
        <v>677.41300000000001</v>
      </c>
      <c r="C4653" s="67"/>
      <c r="D4653" s="68">
        <v>0</v>
      </c>
      <c r="E4653" s="110">
        <f t="shared" si="73"/>
        <v>37193</v>
      </c>
      <c r="F4653" s="69">
        <v>1.4046006553469477E-2</v>
      </c>
    </row>
    <row r="4654" spans="1:6" x14ac:dyDescent="0.3">
      <c r="A4654" s="24">
        <v>39532</v>
      </c>
      <c r="B4654" s="66">
        <v>677.41300000000001</v>
      </c>
      <c r="C4654" s="67"/>
      <c r="D4654" s="68">
        <v>0</v>
      </c>
      <c r="E4654" s="110">
        <f t="shared" si="73"/>
        <v>37193</v>
      </c>
      <c r="F4654" s="69">
        <v>1.4046006553469477E-2</v>
      </c>
    </row>
    <row r="4655" spans="1:6" x14ac:dyDescent="0.3">
      <c r="A4655" s="24">
        <v>39533</v>
      </c>
      <c r="B4655" s="66">
        <v>677.41300000000001</v>
      </c>
      <c r="C4655" s="67"/>
      <c r="D4655" s="68">
        <v>0</v>
      </c>
      <c r="E4655" s="110">
        <f t="shared" si="73"/>
        <v>37193</v>
      </c>
      <c r="F4655" s="69">
        <v>1.4046006553469477E-2</v>
      </c>
    </row>
    <row r="4656" spans="1:6" x14ac:dyDescent="0.3">
      <c r="A4656" s="24">
        <v>39534</v>
      </c>
      <c r="B4656" s="66">
        <v>677.41300000000001</v>
      </c>
      <c r="C4656" s="67"/>
      <c r="D4656" s="68">
        <v>0</v>
      </c>
      <c r="E4656" s="110">
        <f t="shared" si="73"/>
        <v>37193</v>
      </c>
      <c r="F4656" s="69">
        <v>1.4046006553469477E-2</v>
      </c>
    </row>
    <row r="4657" spans="1:6" x14ac:dyDescent="0.3">
      <c r="A4657" s="24">
        <v>39535</v>
      </c>
      <c r="B4657" s="66">
        <v>677.41300000000001</v>
      </c>
      <c r="C4657" s="67"/>
      <c r="D4657" s="68">
        <v>0</v>
      </c>
      <c r="E4657" s="110">
        <f t="shared" si="73"/>
        <v>37193</v>
      </c>
      <c r="F4657" s="69">
        <v>1.4046006553469477E-2</v>
      </c>
    </row>
    <row r="4658" spans="1:6" x14ac:dyDescent="0.3">
      <c r="A4658" s="24">
        <v>39536</v>
      </c>
      <c r="B4658" s="66">
        <v>677.41300000000001</v>
      </c>
      <c r="C4658" s="67"/>
      <c r="D4658" s="68">
        <v>0</v>
      </c>
      <c r="E4658" s="110">
        <f t="shared" si="73"/>
        <v>37193</v>
      </c>
      <c r="F4658" s="69">
        <v>1.3759371600273837E-2</v>
      </c>
    </row>
    <row r="4659" spans="1:6" x14ac:dyDescent="0.3">
      <c r="A4659" s="24">
        <v>39537</v>
      </c>
      <c r="B4659" s="66">
        <v>677.41300000000001</v>
      </c>
      <c r="C4659" s="67"/>
      <c r="D4659" s="68">
        <v>0</v>
      </c>
      <c r="E4659" s="110">
        <f t="shared" si="73"/>
        <v>37193</v>
      </c>
      <c r="F4659" s="69">
        <v>1.3759371600273837E-2</v>
      </c>
    </row>
    <row r="4660" spans="1:6" x14ac:dyDescent="0.3">
      <c r="A4660" s="24">
        <v>39538</v>
      </c>
      <c r="B4660" s="66">
        <v>684.12900000000002</v>
      </c>
      <c r="C4660" s="67"/>
      <c r="D4660" s="68">
        <v>0</v>
      </c>
      <c r="E4660" s="110">
        <f t="shared" si="73"/>
        <v>37193</v>
      </c>
      <c r="F4660" s="69">
        <v>1.3759371600273837E-2</v>
      </c>
    </row>
    <row r="4661" spans="1:6" x14ac:dyDescent="0.3">
      <c r="A4661" s="24">
        <v>39539</v>
      </c>
      <c r="B4661" s="66">
        <v>684.12900000000002</v>
      </c>
      <c r="C4661" s="67"/>
      <c r="D4661" s="68">
        <v>0</v>
      </c>
      <c r="E4661" s="110">
        <f t="shared" si="73"/>
        <v>37193</v>
      </c>
      <c r="F4661" s="69">
        <v>1.3759371600273837E-2</v>
      </c>
    </row>
    <row r="4662" spans="1:6" x14ac:dyDescent="0.3">
      <c r="A4662" s="24">
        <v>39540</v>
      </c>
      <c r="B4662" s="66">
        <v>684.12900000000002</v>
      </c>
      <c r="C4662" s="67"/>
      <c r="D4662" s="68">
        <v>0</v>
      </c>
      <c r="E4662" s="110">
        <f t="shared" si="73"/>
        <v>37193</v>
      </c>
      <c r="F4662" s="69">
        <v>1.3759371600273837E-2</v>
      </c>
    </row>
    <row r="4663" spans="1:6" x14ac:dyDescent="0.3">
      <c r="A4663" s="24">
        <v>39541</v>
      </c>
      <c r="B4663" s="66">
        <v>684.12900000000002</v>
      </c>
      <c r="C4663" s="67"/>
      <c r="D4663" s="68">
        <v>0</v>
      </c>
      <c r="E4663" s="110">
        <f t="shared" si="73"/>
        <v>37193</v>
      </c>
      <c r="F4663" s="69">
        <v>1.3759371600273837E-2</v>
      </c>
    </row>
    <row r="4664" spans="1:6" x14ac:dyDescent="0.3">
      <c r="A4664" s="24">
        <v>39542</v>
      </c>
      <c r="B4664" s="66">
        <v>684.12900000000002</v>
      </c>
      <c r="C4664" s="67"/>
      <c r="D4664" s="68">
        <v>0</v>
      </c>
      <c r="E4664" s="110">
        <f t="shared" si="73"/>
        <v>37193</v>
      </c>
      <c r="F4664" s="69">
        <v>1.3759371600273837E-2</v>
      </c>
    </row>
    <row r="4665" spans="1:6" x14ac:dyDescent="0.3">
      <c r="A4665" s="24">
        <v>39543</v>
      </c>
      <c r="B4665" s="66">
        <v>684.12900000000002</v>
      </c>
      <c r="C4665" s="67"/>
      <c r="D4665" s="68">
        <v>0</v>
      </c>
      <c r="E4665" s="110">
        <f t="shared" si="73"/>
        <v>37193</v>
      </c>
      <c r="F4665" s="69">
        <v>1.3759371600273837E-2</v>
      </c>
    </row>
    <row r="4666" spans="1:6" x14ac:dyDescent="0.3">
      <c r="A4666" s="24">
        <v>39544</v>
      </c>
      <c r="B4666" s="66">
        <v>684.12900000000002</v>
      </c>
      <c r="C4666" s="67"/>
      <c r="D4666" s="68">
        <v>0</v>
      </c>
      <c r="E4666" s="110">
        <f t="shared" si="73"/>
        <v>37193</v>
      </c>
      <c r="F4666" s="69">
        <v>1.3759371600273837E-2</v>
      </c>
    </row>
    <row r="4667" spans="1:6" x14ac:dyDescent="0.3">
      <c r="A4667" s="24">
        <v>39545</v>
      </c>
      <c r="B4667" s="66">
        <v>684.12900000000002</v>
      </c>
      <c r="C4667" s="67"/>
      <c r="D4667" s="68">
        <v>0</v>
      </c>
      <c r="E4667" s="110">
        <f t="shared" si="73"/>
        <v>37193</v>
      </c>
      <c r="F4667" s="69">
        <v>1.3759371600273837E-2</v>
      </c>
    </row>
    <row r="4668" spans="1:6" x14ac:dyDescent="0.3">
      <c r="A4668" s="24">
        <v>39546</v>
      </c>
      <c r="B4668" s="66">
        <v>684.12900000000002</v>
      </c>
      <c r="C4668" s="67"/>
      <c r="D4668" s="68">
        <v>0</v>
      </c>
      <c r="E4668" s="110">
        <f t="shared" si="73"/>
        <v>37193</v>
      </c>
      <c r="F4668" s="69">
        <v>1.3759371600273837E-2</v>
      </c>
    </row>
    <row r="4669" spans="1:6" x14ac:dyDescent="0.3">
      <c r="A4669" s="24">
        <v>39547</v>
      </c>
      <c r="B4669" s="66">
        <v>684.12900000000002</v>
      </c>
      <c r="C4669" s="67"/>
      <c r="D4669" s="68">
        <v>0</v>
      </c>
      <c r="E4669" s="110">
        <f t="shared" si="73"/>
        <v>37193</v>
      </c>
      <c r="F4669" s="69">
        <v>1.3759371600273837E-2</v>
      </c>
    </row>
    <row r="4670" spans="1:6" x14ac:dyDescent="0.3">
      <c r="A4670" s="24">
        <v>39548</v>
      </c>
      <c r="B4670" s="66">
        <v>684.12900000000002</v>
      </c>
      <c r="C4670" s="67"/>
      <c r="D4670" s="68">
        <v>0</v>
      </c>
      <c r="E4670" s="110">
        <f t="shared" si="73"/>
        <v>37193</v>
      </c>
      <c r="F4670" s="69">
        <v>1.3759371600273837E-2</v>
      </c>
    </row>
    <row r="4671" spans="1:6" x14ac:dyDescent="0.3">
      <c r="A4671" s="24">
        <v>39549</v>
      </c>
      <c r="B4671" s="66">
        <v>684.12900000000002</v>
      </c>
      <c r="C4671" s="67"/>
      <c r="D4671" s="68">
        <v>0</v>
      </c>
      <c r="E4671" s="110">
        <f t="shared" si="73"/>
        <v>37193</v>
      </c>
      <c r="F4671" s="69">
        <v>1.3759371600273837E-2</v>
      </c>
    </row>
    <row r="4672" spans="1:6" x14ac:dyDescent="0.3">
      <c r="A4672" s="24">
        <v>39550</v>
      </c>
      <c r="B4672" s="66">
        <v>684.12900000000002</v>
      </c>
      <c r="C4672" s="67"/>
      <c r="D4672" s="68">
        <v>0</v>
      </c>
      <c r="E4672" s="110">
        <f t="shared" si="73"/>
        <v>37193</v>
      </c>
      <c r="F4672" s="69">
        <v>1.3759371600273837E-2</v>
      </c>
    </row>
    <row r="4673" spans="1:6" x14ac:dyDescent="0.3">
      <c r="A4673" s="24">
        <v>39551</v>
      </c>
      <c r="B4673" s="66">
        <v>684.12900000000002</v>
      </c>
      <c r="C4673" s="67"/>
      <c r="D4673" s="68">
        <v>0</v>
      </c>
      <c r="E4673" s="110">
        <f t="shared" si="73"/>
        <v>37193</v>
      </c>
      <c r="F4673" s="69">
        <v>1.3759371600273837E-2</v>
      </c>
    </row>
    <row r="4674" spans="1:6" x14ac:dyDescent="0.3">
      <c r="A4674" s="24">
        <v>39552</v>
      </c>
      <c r="B4674" s="66">
        <v>684.12900000000002</v>
      </c>
      <c r="C4674" s="67"/>
      <c r="D4674" s="68">
        <v>0</v>
      </c>
      <c r="E4674" s="110">
        <f t="shared" si="73"/>
        <v>37193</v>
      </c>
      <c r="F4674" s="69">
        <v>1.3759371600273837E-2</v>
      </c>
    </row>
    <row r="4675" spans="1:6" x14ac:dyDescent="0.3">
      <c r="A4675" s="24">
        <v>39553</v>
      </c>
      <c r="B4675" s="66">
        <v>684.12900000000002</v>
      </c>
      <c r="C4675" s="67"/>
      <c r="D4675" s="68">
        <v>0</v>
      </c>
      <c r="E4675" s="110">
        <f t="shared" si="73"/>
        <v>37193</v>
      </c>
      <c r="F4675" s="69">
        <v>1.3759371600273837E-2</v>
      </c>
    </row>
    <row r="4676" spans="1:6" x14ac:dyDescent="0.3">
      <c r="A4676" s="24">
        <v>39554</v>
      </c>
      <c r="B4676" s="66">
        <v>684.12900000000002</v>
      </c>
      <c r="C4676" s="67"/>
      <c r="D4676" s="68">
        <v>0</v>
      </c>
      <c r="E4676" s="110">
        <f t="shared" si="73"/>
        <v>37193</v>
      </c>
      <c r="F4676" s="69">
        <v>1.3759371600273837E-2</v>
      </c>
    </row>
    <row r="4677" spans="1:6" x14ac:dyDescent="0.3">
      <c r="A4677" s="24">
        <v>39555</v>
      </c>
      <c r="B4677" s="66">
        <v>684.12900000000002</v>
      </c>
      <c r="C4677" s="67"/>
      <c r="D4677" s="68">
        <v>0</v>
      </c>
      <c r="E4677" s="110">
        <f t="shared" si="73"/>
        <v>37193</v>
      </c>
      <c r="F4677" s="69">
        <v>1.3759371600273837E-2</v>
      </c>
    </row>
    <row r="4678" spans="1:6" x14ac:dyDescent="0.3">
      <c r="A4678" s="24">
        <v>39556</v>
      </c>
      <c r="B4678" s="66">
        <v>684.12900000000002</v>
      </c>
      <c r="C4678" s="67"/>
      <c r="D4678" s="68">
        <v>0</v>
      </c>
      <c r="E4678" s="110">
        <f t="shared" si="73"/>
        <v>37193</v>
      </c>
      <c r="F4678" s="69">
        <v>1.3759371600273837E-2</v>
      </c>
    </row>
    <row r="4679" spans="1:6" x14ac:dyDescent="0.3">
      <c r="A4679" s="24">
        <v>39557</v>
      </c>
      <c r="B4679" s="66">
        <v>684.12900000000002</v>
      </c>
      <c r="C4679" s="67"/>
      <c r="D4679" s="68">
        <v>0</v>
      </c>
      <c r="E4679" s="110">
        <f t="shared" si="73"/>
        <v>37193</v>
      </c>
      <c r="F4679" s="69">
        <v>1.3759371600273837E-2</v>
      </c>
    </row>
    <row r="4680" spans="1:6" x14ac:dyDescent="0.3">
      <c r="A4680" s="24">
        <v>39558</v>
      </c>
      <c r="B4680" s="66">
        <v>684.12900000000002</v>
      </c>
      <c r="C4680" s="67"/>
      <c r="D4680" s="68">
        <v>0</v>
      </c>
      <c r="E4680" s="110">
        <f t="shared" si="73"/>
        <v>37193</v>
      </c>
      <c r="F4680" s="69">
        <v>1.3759371600273837E-2</v>
      </c>
    </row>
    <row r="4681" spans="1:6" x14ac:dyDescent="0.3">
      <c r="A4681" s="24">
        <v>39559</v>
      </c>
      <c r="B4681" s="66">
        <v>684.12900000000002</v>
      </c>
      <c r="C4681" s="67"/>
      <c r="D4681" s="68">
        <v>0</v>
      </c>
      <c r="E4681" s="110">
        <f t="shared" si="73"/>
        <v>37193</v>
      </c>
      <c r="F4681" s="69">
        <v>1.3759371600273837E-2</v>
      </c>
    </row>
    <row r="4682" spans="1:6" x14ac:dyDescent="0.3">
      <c r="A4682" s="24">
        <v>39560</v>
      </c>
      <c r="B4682" s="66">
        <v>684.12900000000002</v>
      </c>
      <c r="C4682" s="67"/>
      <c r="D4682" s="68">
        <v>0</v>
      </c>
      <c r="E4682" s="110">
        <f t="shared" si="73"/>
        <v>37193</v>
      </c>
      <c r="F4682" s="69">
        <v>1.3759371600273837E-2</v>
      </c>
    </row>
    <row r="4683" spans="1:6" x14ac:dyDescent="0.3">
      <c r="A4683" s="24">
        <v>39561</v>
      </c>
      <c r="B4683" s="66">
        <v>684.12900000000002</v>
      </c>
      <c r="C4683" s="67"/>
      <c r="D4683" s="68">
        <v>0</v>
      </c>
      <c r="E4683" s="110">
        <f t="shared" si="73"/>
        <v>37193</v>
      </c>
      <c r="F4683" s="69">
        <v>1.3759371600273837E-2</v>
      </c>
    </row>
    <row r="4684" spans="1:6" x14ac:dyDescent="0.3">
      <c r="A4684" s="24">
        <v>39562</v>
      </c>
      <c r="B4684" s="66">
        <v>684.12900000000002</v>
      </c>
      <c r="C4684" s="67"/>
      <c r="D4684" s="68">
        <v>0</v>
      </c>
      <c r="E4684" s="110">
        <f t="shared" si="73"/>
        <v>37193</v>
      </c>
      <c r="F4684" s="69">
        <v>1.3759371600273837E-2</v>
      </c>
    </row>
    <row r="4685" spans="1:6" x14ac:dyDescent="0.3">
      <c r="A4685" s="24">
        <v>39563</v>
      </c>
      <c r="B4685" s="66">
        <v>684.12900000000002</v>
      </c>
      <c r="C4685" s="67"/>
      <c r="D4685" s="68">
        <v>0</v>
      </c>
      <c r="E4685" s="110">
        <f t="shared" si="73"/>
        <v>37193</v>
      </c>
      <c r="F4685" s="69">
        <v>1.3759371600273837E-2</v>
      </c>
    </row>
    <row r="4686" spans="1:6" x14ac:dyDescent="0.3">
      <c r="A4686" s="24">
        <v>39564</v>
      </c>
      <c r="B4686" s="66">
        <v>684.12900000000002</v>
      </c>
      <c r="C4686" s="67"/>
      <c r="D4686" s="68">
        <v>0</v>
      </c>
      <c r="E4686" s="110">
        <f t="shared" si="73"/>
        <v>37193</v>
      </c>
      <c r="F4686" s="69">
        <v>1.3759371600273837E-2</v>
      </c>
    </row>
    <row r="4687" spans="1:6" x14ac:dyDescent="0.3">
      <c r="A4687" s="24">
        <v>39565</v>
      </c>
      <c r="B4687" s="66">
        <v>684.12900000000002</v>
      </c>
      <c r="C4687" s="67"/>
      <c r="D4687" s="68">
        <v>0</v>
      </c>
      <c r="E4687" s="110">
        <f t="shared" si="73"/>
        <v>37193</v>
      </c>
      <c r="F4687" s="69">
        <v>1.3759371600273837E-2</v>
      </c>
    </row>
    <row r="4688" spans="1:6" x14ac:dyDescent="0.3">
      <c r="A4688" s="24">
        <v>39566</v>
      </c>
      <c r="B4688" s="66">
        <v>684.12900000000002</v>
      </c>
      <c r="C4688" s="67"/>
      <c r="D4688" s="68">
        <v>0</v>
      </c>
      <c r="E4688" s="110">
        <f t="shared" si="73"/>
        <v>37193</v>
      </c>
      <c r="F4688" s="69">
        <v>1.3759371600273837E-2</v>
      </c>
    </row>
    <row r="4689" spans="1:6" x14ac:dyDescent="0.3">
      <c r="A4689" s="24">
        <v>39567</v>
      </c>
      <c r="B4689" s="66">
        <v>684.12900000000002</v>
      </c>
      <c r="C4689" s="67"/>
      <c r="D4689" s="68">
        <v>0</v>
      </c>
      <c r="E4689" s="110">
        <f t="shared" si="73"/>
        <v>37193</v>
      </c>
      <c r="F4689" s="69">
        <v>1.3759371600273837E-2</v>
      </c>
    </row>
    <row r="4690" spans="1:6" x14ac:dyDescent="0.3">
      <c r="A4690" s="24">
        <v>39568</v>
      </c>
      <c r="B4690" s="66">
        <v>684.12900000000002</v>
      </c>
      <c r="C4690" s="67"/>
      <c r="D4690" s="68">
        <v>0</v>
      </c>
      <c r="E4690" s="110">
        <f t="shared" ref="E4690:E4753" si="74">+E4689</f>
        <v>37193</v>
      </c>
      <c r="F4690" s="69">
        <v>1.3759371600273837E-2</v>
      </c>
    </row>
    <row r="4691" spans="1:6" x14ac:dyDescent="0.3">
      <c r="A4691" s="24">
        <v>39569</v>
      </c>
      <c r="B4691" s="66">
        <v>684.12900000000002</v>
      </c>
      <c r="C4691" s="67"/>
      <c r="D4691" s="68">
        <v>0</v>
      </c>
      <c r="E4691" s="110">
        <f t="shared" si="74"/>
        <v>37193</v>
      </c>
      <c r="F4691" s="69">
        <v>1.3759371600273837E-2</v>
      </c>
    </row>
    <row r="4692" spans="1:6" x14ac:dyDescent="0.3">
      <c r="A4692" s="24">
        <v>39570</v>
      </c>
      <c r="B4692" s="66">
        <v>684.12900000000002</v>
      </c>
      <c r="C4692" s="67"/>
      <c r="D4692" s="68">
        <v>0</v>
      </c>
      <c r="E4692" s="110">
        <f t="shared" si="74"/>
        <v>37193</v>
      </c>
      <c r="F4692" s="69">
        <v>0</v>
      </c>
    </row>
    <row r="4693" spans="1:6" x14ac:dyDescent="0.3">
      <c r="A4693" s="24">
        <v>39571</v>
      </c>
      <c r="B4693" s="66">
        <v>684.12900000000002</v>
      </c>
      <c r="C4693" s="67"/>
      <c r="D4693" s="68">
        <v>0</v>
      </c>
      <c r="E4693" s="110">
        <f t="shared" si="74"/>
        <v>37193</v>
      </c>
      <c r="F4693" s="69">
        <v>0</v>
      </c>
    </row>
    <row r="4694" spans="1:6" x14ac:dyDescent="0.3">
      <c r="A4694" s="24">
        <v>39572</v>
      </c>
      <c r="B4694" s="66">
        <v>684.12900000000002</v>
      </c>
      <c r="C4694" s="67"/>
      <c r="D4694" s="68">
        <v>0</v>
      </c>
      <c r="E4694" s="110">
        <f t="shared" si="74"/>
        <v>37193</v>
      </c>
      <c r="F4694" s="69">
        <v>0</v>
      </c>
    </row>
    <row r="4695" spans="1:6" x14ac:dyDescent="0.3">
      <c r="A4695" s="24">
        <v>39573</v>
      </c>
      <c r="B4695" s="66">
        <v>684.12900000000002</v>
      </c>
      <c r="C4695" s="67"/>
      <c r="D4695" s="68">
        <v>0</v>
      </c>
      <c r="E4695" s="110">
        <f t="shared" si="74"/>
        <v>37193</v>
      </c>
      <c r="F4695" s="69">
        <v>0</v>
      </c>
    </row>
    <row r="4696" spans="1:6" x14ac:dyDescent="0.3">
      <c r="A4696" s="24">
        <v>39574</v>
      </c>
      <c r="B4696" s="66">
        <v>684.12900000000002</v>
      </c>
      <c r="C4696" s="67"/>
      <c r="D4696" s="68">
        <v>0</v>
      </c>
      <c r="E4696" s="110">
        <f t="shared" si="74"/>
        <v>37193</v>
      </c>
      <c r="F4696" s="69">
        <v>0</v>
      </c>
    </row>
    <row r="4697" spans="1:6" x14ac:dyDescent="0.3">
      <c r="A4697" s="24">
        <v>39575</v>
      </c>
      <c r="B4697" s="66">
        <v>684.12900000000002</v>
      </c>
      <c r="C4697" s="67"/>
      <c r="D4697" s="68">
        <v>0</v>
      </c>
      <c r="E4697" s="110">
        <f t="shared" si="74"/>
        <v>37193</v>
      </c>
      <c r="F4697" s="69">
        <v>0</v>
      </c>
    </row>
    <row r="4698" spans="1:6" x14ac:dyDescent="0.3">
      <c r="A4698" s="24">
        <v>39576</v>
      </c>
      <c r="B4698" s="66">
        <v>684.12900000000002</v>
      </c>
      <c r="C4698" s="67"/>
      <c r="D4698" s="68">
        <v>0</v>
      </c>
      <c r="E4698" s="110">
        <f t="shared" si="74"/>
        <v>37193</v>
      </c>
      <c r="F4698" s="69">
        <v>0</v>
      </c>
    </row>
    <row r="4699" spans="1:6" x14ac:dyDescent="0.3">
      <c r="A4699" s="24">
        <v>39577</v>
      </c>
      <c r="B4699" s="66">
        <v>684.12900000000002</v>
      </c>
      <c r="C4699" s="67"/>
      <c r="D4699" s="68">
        <v>0</v>
      </c>
      <c r="E4699" s="110">
        <f t="shared" si="74"/>
        <v>37193</v>
      </c>
      <c r="F4699" s="69">
        <v>0</v>
      </c>
    </row>
    <row r="4700" spans="1:6" x14ac:dyDescent="0.3">
      <c r="A4700" s="24">
        <v>39578</v>
      </c>
      <c r="B4700" s="66">
        <v>684.12900000000002</v>
      </c>
      <c r="C4700" s="67"/>
      <c r="D4700" s="68">
        <v>0</v>
      </c>
      <c r="E4700" s="110">
        <f t="shared" si="74"/>
        <v>37193</v>
      </c>
      <c r="F4700" s="69">
        <v>0</v>
      </c>
    </row>
    <row r="4701" spans="1:6" x14ac:dyDescent="0.3">
      <c r="A4701" s="24">
        <v>39579</v>
      </c>
      <c r="B4701" s="66">
        <v>684.12900000000002</v>
      </c>
      <c r="C4701" s="67"/>
      <c r="D4701" s="68">
        <v>0</v>
      </c>
      <c r="E4701" s="110">
        <f t="shared" si="74"/>
        <v>37193</v>
      </c>
      <c r="F4701" s="69">
        <v>0</v>
      </c>
    </row>
    <row r="4702" spans="1:6" x14ac:dyDescent="0.3">
      <c r="A4702" s="24">
        <v>39580</v>
      </c>
      <c r="B4702" s="66">
        <v>684.12900000000002</v>
      </c>
      <c r="C4702" s="67"/>
      <c r="D4702" s="68">
        <v>0</v>
      </c>
      <c r="E4702" s="110">
        <f t="shared" si="74"/>
        <v>37193</v>
      </c>
      <c r="F4702" s="69">
        <v>0</v>
      </c>
    </row>
    <row r="4703" spans="1:6" x14ac:dyDescent="0.3">
      <c r="A4703" s="24">
        <v>39581</v>
      </c>
      <c r="B4703" s="66">
        <v>684.12900000000002</v>
      </c>
      <c r="C4703" s="67"/>
      <c r="D4703" s="68">
        <v>0</v>
      </c>
      <c r="E4703" s="110">
        <f t="shared" si="74"/>
        <v>37193</v>
      </c>
      <c r="F4703" s="69">
        <v>0</v>
      </c>
    </row>
    <row r="4704" spans="1:6" x14ac:dyDescent="0.3">
      <c r="A4704" s="24">
        <v>39582</v>
      </c>
      <c r="B4704" s="66">
        <v>684.12900000000002</v>
      </c>
      <c r="C4704" s="67"/>
      <c r="D4704" s="68">
        <v>0</v>
      </c>
      <c r="E4704" s="110">
        <f t="shared" si="74"/>
        <v>37193</v>
      </c>
      <c r="F4704" s="69">
        <v>0</v>
      </c>
    </row>
    <row r="4705" spans="1:6" x14ac:dyDescent="0.3">
      <c r="A4705" s="24">
        <v>39583</v>
      </c>
      <c r="B4705" s="66">
        <v>684.12900000000002</v>
      </c>
      <c r="C4705" s="67"/>
      <c r="D4705" s="68">
        <v>8.6</v>
      </c>
      <c r="E4705" s="110">
        <f t="shared" si="74"/>
        <v>37193</v>
      </c>
      <c r="F4705" s="69">
        <v>1.4791321965801086E-2</v>
      </c>
    </row>
    <row r="4706" spans="1:6" x14ac:dyDescent="0.3">
      <c r="A4706" s="24">
        <v>39584</v>
      </c>
      <c r="B4706" s="66">
        <v>684.12900000000002</v>
      </c>
      <c r="C4706" s="67"/>
      <c r="D4706" s="68">
        <v>0</v>
      </c>
      <c r="E4706" s="110">
        <f t="shared" si="74"/>
        <v>37193</v>
      </c>
      <c r="F4706" s="69">
        <v>1.4791321965801086E-2</v>
      </c>
    </row>
    <row r="4707" spans="1:6" x14ac:dyDescent="0.3">
      <c r="A4707" s="24">
        <v>39585</v>
      </c>
      <c r="B4707" s="66">
        <v>684.12900000000002</v>
      </c>
      <c r="C4707" s="67"/>
      <c r="D4707" s="68">
        <v>0</v>
      </c>
      <c r="E4707" s="110">
        <f t="shared" si="74"/>
        <v>37193</v>
      </c>
      <c r="F4707" s="69">
        <v>1.4791321965801086E-2</v>
      </c>
    </row>
    <row r="4708" spans="1:6" x14ac:dyDescent="0.3">
      <c r="A4708" s="24">
        <v>39586</v>
      </c>
      <c r="B4708" s="66">
        <v>684.12900000000002</v>
      </c>
      <c r="C4708" s="67"/>
      <c r="D4708" s="68">
        <v>0</v>
      </c>
      <c r="E4708" s="110">
        <f t="shared" si="74"/>
        <v>37193</v>
      </c>
      <c r="F4708" s="69">
        <v>1.4791321965801086E-2</v>
      </c>
    </row>
    <row r="4709" spans="1:6" x14ac:dyDescent="0.3">
      <c r="A4709" s="24">
        <v>39587</v>
      </c>
      <c r="B4709" s="66">
        <v>684.12900000000002</v>
      </c>
      <c r="C4709" s="67"/>
      <c r="D4709" s="68">
        <v>0</v>
      </c>
      <c r="E4709" s="110">
        <f t="shared" si="74"/>
        <v>37193</v>
      </c>
      <c r="F4709" s="69">
        <v>1.4791321965801086E-2</v>
      </c>
    </row>
    <row r="4710" spans="1:6" x14ac:dyDescent="0.3">
      <c r="A4710" s="24">
        <v>39588</v>
      </c>
      <c r="B4710" s="66">
        <v>684.12900000000002</v>
      </c>
      <c r="C4710" s="67"/>
      <c r="D4710" s="68">
        <v>0</v>
      </c>
      <c r="E4710" s="110">
        <f t="shared" si="74"/>
        <v>37193</v>
      </c>
      <c r="F4710" s="69">
        <v>1.4791321965801086E-2</v>
      </c>
    </row>
    <row r="4711" spans="1:6" x14ac:dyDescent="0.3">
      <c r="A4711" s="24">
        <v>39589</v>
      </c>
      <c r="B4711" s="66">
        <v>684.12900000000002</v>
      </c>
      <c r="C4711" s="67"/>
      <c r="D4711" s="68">
        <v>0</v>
      </c>
      <c r="E4711" s="110">
        <f t="shared" si="74"/>
        <v>37193</v>
      </c>
      <c r="F4711" s="69">
        <v>1.4791321965801086E-2</v>
      </c>
    </row>
    <row r="4712" spans="1:6" x14ac:dyDescent="0.3">
      <c r="A4712" s="24">
        <v>39590</v>
      </c>
      <c r="B4712" s="66">
        <v>684.12900000000002</v>
      </c>
      <c r="C4712" s="67"/>
      <c r="D4712" s="68">
        <v>0</v>
      </c>
      <c r="E4712" s="110">
        <f t="shared" si="74"/>
        <v>37193</v>
      </c>
      <c r="F4712" s="69">
        <v>1.4791321965801086E-2</v>
      </c>
    </row>
    <row r="4713" spans="1:6" x14ac:dyDescent="0.3">
      <c r="A4713" s="24">
        <v>39591</v>
      </c>
      <c r="B4713" s="66">
        <v>684.12900000000002</v>
      </c>
      <c r="C4713" s="67"/>
      <c r="D4713" s="68">
        <v>0</v>
      </c>
      <c r="E4713" s="110">
        <f t="shared" si="74"/>
        <v>37193</v>
      </c>
      <c r="F4713" s="69">
        <v>1.4791321965801086E-2</v>
      </c>
    </row>
    <row r="4714" spans="1:6" x14ac:dyDescent="0.3">
      <c r="A4714" s="24">
        <v>39592</v>
      </c>
      <c r="B4714" s="66">
        <v>684.12900000000002</v>
      </c>
      <c r="C4714" s="67"/>
      <c r="D4714" s="68">
        <v>0</v>
      </c>
      <c r="E4714" s="110">
        <f t="shared" si="74"/>
        <v>37193</v>
      </c>
      <c r="F4714" s="69">
        <v>1.4791321965801086E-2</v>
      </c>
    </row>
    <row r="4715" spans="1:6" x14ac:dyDescent="0.3">
      <c r="A4715" s="24">
        <v>39593</v>
      </c>
      <c r="B4715" s="66">
        <v>684.12900000000002</v>
      </c>
      <c r="C4715" s="67"/>
      <c r="D4715" s="68">
        <v>0</v>
      </c>
      <c r="E4715" s="110">
        <f t="shared" si="74"/>
        <v>37193</v>
      </c>
      <c r="F4715" s="69">
        <v>1.4791321965801086E-2</v>
      </c>
    </row>
    <row r="4716" spans="1:6" x14ac:dyDescent="0.3">
      <c r="A4716" s="24">
        <v>39594</v>
      </c>
      <c r="B4716" s="66">
        <v>684.12900000000002</v>
      </c>
      <c r="C4716" s="67"/>
      <c r="D4716" s="68">
        <v>0</v>
      </c>
      <c r="E4716" s="110">
        <f t="shared" si="74"/>
        <v>37193</v>
      </c>
      <c r="F4716" s="69">
        <v>1.4791321965801086E-2</v>
      </c>
    </row>
    <row r="4717" spans="1:6" x14ac:dyDescent="0.3">
      <c r="A4717" s="24">
        <v>39595</v>
      </c>
      <c r="B4717" s="66">
        <v>684.12900000000002</v>
      </c>
      <c r="C4717" s="67"/>
      <c r="D4717" s="68">
        <v>0</v>
      </c>
      <c r="E4717" s="110">
        <f t="shared" si="74"/>
        <v>37193</v>
      </c>
      <c r="F4717" s="69">
        <v>1.4791321965801086E-2</v>
      </c>
    </row>
    <row r="4718" spans="1:6" x14ac:dyDescent="0.3">
      <c r="A4718" s="24">
        <v>39596</v>
      </c>
      <c r="B4718" s="66">
        <v>684.12900000000002</v>
      </c>
      <c r="C4718" s="67"/>
      <c r="D4718" s="68">
        <v>0</v>
      </c>
      <c r="E4718" s="110">
        <f t="shared" si="74"/>
        <v>37193</v>
      </c>
      <c r="F4718" s="69">
        <v>1.4791321965801086E-2</v>
      </c>
    </row>
    <row r="4719" spans="1:6" x14ac:dyDescent="0.3">
      <c r="A4719" s="24">
        <v>39597</v>
      </c>
      <c r="B4719" s="66">
        <v>684.12900000000002</v>
      </c>
      <c r="C4719" s="67"/>
      <c r="D4719" s="68">
        <v>0</v>
      </c>
      <c r="E4719" s="110">
        <f t="shared" si="74"/>
        <v>37193</v>
      </c>
      <c r="F4719" s="69">
        <v>1.4791321965801086E-2</v>
      </c>
    </row>
    <row r="4720" spans="1:6" x14ac:dyDescent="0.3">
      <c r="A4720" s="24">
        <v>39598</v>
      </c>
      <c r="B4720" s="66">
        <v>684.12900000000002</v>
      </c>
      <c r="C4720" s="67"/>
      <c r="D4720" s="68">
        <v>0</v>
      </c>
      <c r="E4720" s="110">
        <f t="shared" si="74"/>
        <v>37193</v>
      </c>
      <c r="F4720" s="69">
        <v>1.4791321965801086E-2</v>
      </c>
    </row>
    <row r="4721" spans="1:6" x14ac:dyDescent="0.3">
      <c r="A4721" s="24">
        <v>39599</v>
      </c>
      <c r="B4721" s="66">
        <v>684.12900000000002</v>
      </c>
      <c r="C4721" s="67"/>
      <c r="D4721" s="68">
        <v>0</v>
      </c>
      <c r="E4721" s="110">
        <f t="shared" si="74"/>
        <v>37193</v>
      </c>
      <c r="F4721" s="69">
        <v>1.4791321965801086E-2</v>
      </c>
    </row>
    <row r="4722" spans="1:6" x14ac:dyDescent="0.3">
      <c r="A4722" s="24">
        <v>39600</v>
      </c>
      <c r="B4722" s="66">
        <v>684.12900000000002</v>
      </c>
      <c r="C4722" s="67"/>
      <c r="D4722" s="68">
        <v>0</v>
      </c>
      <c r="E4722" s="110">
        <f t="shared" si="74"/>
        <v>37193</v>
      </c>
      <c r="F4722" s="69">
        <v>1.4791321965801086E-2</v>
      </c>
    </row>
    <row r="4723" spans="1:6" x14ac:dyDescent="0.3">
      <c r="A4723" s="24">
        <v>39601</v>
      </c>
      <c r="B4723" s="66">
        <v>684.12900000000002</v>
      </c>
      <c r="C4723" s="67"/>
      <c r="D4723" s="68">
        <v>0</v>
      </c>
      <c r="E4723" s="110">
        <f t="shared" si="74"/>
        <v>37193</v>
      </c>
      <c r="F4723" s="69">
        <v>1.4791321965801086E-2</v>
      </c>
    </row>
    <row r="4724" spans="1:6" x14ac:dyDescent="0.3">
      <c r="A4724" s="24">
        <v>39602</v>
      </c>
      <c r="B4724" s="66">
        <v>684.12900000000002</v>
      </c>
      <c r="C4724" s="67"/>
      <c r="D4724" s="68">
        <v>0</v>
      </c>
      <c r="E4724" s="110">
        <f t="shared" si="74"/>
        <v>37193</v>
      </c>
      <c r="F4724" s="69">
        <v>1.4791321965801086E-2</v>
      </c>
    </row>
    <row r="4725" spans="1:6" x14ac:dyDescent="0.3">
      <c r="A4725" s="24">
        <v>39603</v>
      </c>
      <c r="B4725" s="66">
        <v>684.12900000000002</v>
      </c>
      <c r="C4725" s="67"/>
      <c r="D4725" s="68">
        <v>0</v>
      </c>
      <c r="E4725" s="110">
        <f t="shared" si="74"/>
        <v>37193</v>
      </c>
      <c r="F4725" s="69">
        <v>1.4791321965801086E-2</v>
      </c>
    </row>
    <row r="4726" spans="1:6" x14ac:dyDescent="0.3">
      <c r="A4726" s="24">
        <v>39604</v>
      </c>
      <c r="B4726" s="66">
        <v>684.12900000000002</v>
      </c>
      <c r="C4726" s="67"/>
      <c r="D4726" s="68">
        <v>0</v>
      </c>
      <c r="E4726" s="110">
        <f t="shared" si="74"/>
        <v>37193</v>
      </c>
      <c r="F4726" s="69">
        <v>1.4791321965801086E-2</v>
      </c>
    </row>
    <row r="4727" spans="1:6" x14ac:dyDescent="0.3">
      <c r="A4727" s="24">
        <v>39605</v>
      </c>
      <c r="B4727" s="66">
        <v>684.12900000000002</v>
      </c>
      <c r="C4727" s="67"/>
      <c r="D4727" s="68">
        <v>0</v>
      </c>
      <c r="E4727" s="110">
        <f t="shared" si="74"/>
        <v>37193</v>
      </c>
      <c r="F4727" s="69">
        <v>1.4791321965801086E-2</v>
      </c>
    </row>
    <row r="4728" spans="1:6" x14ac:dyDescent="0.3">
      <c r="A4728" s="24">
        <v>39606</v>
      </c>
      <c r="B4728" s="66">
        <v>684.12900000000002</v>
      </c>
      <c r="C4728" s="67"/>
      <c r="D4728" s="68">
        <v>0</v>
      </c>
      <c r="E4728" s="110">
        <f t="shared" si="74"/>
        <v>37193</v>
      </c>
      <c r="F4728" s="69">
        <v>1.4791321965801086E-2</v>
      </c>
    </row>
    <row r="4729" spans="1:6" x14ac:dyDescent="0.3">
      <c r="A4729" s="24">
        <v>39607</v>
      </c>
      <c r="B4729" s="66">
        <v>684.12900000000002</v>
      </c>
      <c r="C4729" s="67"/>
      <c r="D4729" s="68">
        <v>0</v>
      </c>
      <c r="E4729" s="110">
        <f t="shared" si="74"/>
        <v>37193</v>
      </c>
      <c r="F4729" s="69">
        <v>1.4791321965801086E-2</v>
      </c>
    </row>
    <row r="4730" spans="1:6" x14ac:dyDescent="0.3">
      <c r="A4730" s="24">
        <v>39608</v>
      </c>
      <c r="B4730" s="66">
        <v>684.12900000000002</v>
      </c>
      <c r="C4730" s="67"/>
      <c r="D4730" s="68">
        <v>0</v>
      </c>
      <c r="E4730" s="110">
        <f t="shared" si="74"/>
        <v>37193</v>
      </c>
      <c r="F4730" s="69">
        <v>1.4791321965801086E-2</v>
      </c>
    </row>
    <row r="4731" spans="1:6" x14ac:dyDescent="0.3">
      <c r="A4731" s="24">
        <v>39609</v>
      </c>
      <c r="B4731" s="66">
        <v>684.12900000000002</v>
      </c>
      <c r="C4731" s="67"/>
      <c r="D4731" s="68">
        <v>0</v>
      </c>
      <c r="E4731" s="110">
        <f t="shared" si="74"/>
        <v>37193</v>
      </c>
      <c r="F4731" s="69">
        <v>1.4791321965801086E-2</v>
      </c>
    </row>
    <row r="4732" spans="1:6" x14ac:dyDescent="0.3">
      <c r="A4732" s="24">
        <v>39610</v>
      </c>
      <c r="B4732" s="66">
        <v>684.12900000000002</v>
      </c>
      <c r="C4732" s="67"/>
      <c r="D4732" s="68">
        <v>0</v>
      </c>
      <c r="E4732" s="110">
        <f t="shared" si="74"/>
        <v>37193</v>
      </c>
      <c r="F4732" s="69">
        <v>1.4791321965801086E-2</v>
      </c>
    </row>
    <row r="4733" spans="1:6" x14ac:dyDescent="0.3">
      <c r="A4733" s="24">
        <v>39611</v>
      </c>
      <c r="B4733" s="66">
        <v>684.12900000000002</v>
      </c>
      <c r="C4733" s="67"/>
      <c r="D4733" s="68">
        <v>0</v>
      </c>
      <c r="E4733" s="110">
        <f t="shared" si="74"/>
        <v>37193</v>
      </c>
      <c r="F4733" s="69">
        <v>1.4791321965801086E-2</v>
      </c>
    </row>
    <row r="4734" spans="1:6" x14ac:dyDescent="0.3">
      <c r="A4734" s="24">
        <v>39612</v>
      </c>
      <c r="B4734" s="66">
        <v>684.12900000000002</v>
      </c>
      <c r="C4734" s="67"/>
      <c r="D4734" s="68">
        <v>0</v>
      </c>
      <c r="E4734" s="110">
        <f t="shared" si="74"/>
        <v>37193</v>
      </c>
      <c r="F4734" s="69">
        <v>1.4791321965801086E-2</v>
      </c>
    </row>
    <row r="4735" spans="1:6" x14ac:dyDescent="0.3">
      <c r="A4735" s="24">
        <v>39613</v>
      </c>
      <c r="B4735" s="66">
        <v>684.12900000000002</v>
      </c>
      <c r="C4735" s="67"/>
      <c r="D4735" s="68">
        <v>0</v>
      </c>
      <c r="E4735" s="110">
        <f t="shared" si="74"/>
        <v>37193</v>
      </c>
      <c r="F4735" s="69">
        <v>1.4791321965801086E-2</v>
      </c>
    </row>
    <row r="4736" spans="1:6" x14ac:dyDescent="0.3">
      <c r="A4736" s="24">
        <v>39614</v>
      </c>
      <c r="B4736" s="66">
        <v>684.12900000000002</v>
      </c>
      <c r="C4736" s="67"/>
      <c r="D4736" s="68">
        <v>0</v>
      </c>
      <c r="E4736" s="110">
        <f t="shared" si="74"/>
        <v>37193</v>
      </c>
      <c r="F4736" s="69">
        <v>1.4791321965801086E-2</v>
      </c>
    </row>
    <row r="4737" spans="1:6" x14ac:dyDescent="0.3">
      <c r="A4737" s="24">
        <v>39615</v>
      </c>
      <c r="B4737" s="66">
        <v>684.12900000000002</v>
      </c>
      <c r="C4737" s="67"/>
      <c r="D4737" s="68">
        <v>0</v>
      </c>
      <c r="E4737" s="110">
        <f t="shared" si="74"/>
        <v>37193</v>
      </c>
      <c r="F4737" s="69">
        <v>1.4791321965801086E-2</v>
      </c>
    </row>
    <row r="4738" spans="1:6" x14ac:dyDescent="0.3">
      <c r="A4738" s="24">
        <v>39616</v>
      </c>
      <c r="B4738" s="66">
        <v>684.12900000000002</v>
      </c>
      <c r="C4738" s="67"/>
      <c r="D4738" s="68">
        <v>0</v>
      </c>
      <c r="E4738" s="110">
        <f t="shared" si="74"/>
        <v>37193</v>
      </c>
      <c r="F4738" s="69">
        <v>1.4791321965801086E-2</v>
      </c>
    </row>
    <row r="4739" spans="1:6" x14ac:dyDescent="0.3">
      <c r="A4739" s="24">
        <v>39617</v>
      </c>
      <c r="B4739" s="66">
        <v>684.12900000000002</v>
      </c>
      <c r="C4739" s="67"/>
      <c r="D4739" s="68">
        <v>0</v>
      </c>
      <c r="E4739" s="110">
        <f t="shared" si="74"/>
        <v>37193</v>
      </c>
      <c r="F4739" s="69">
        <v>1.4791321965801086E-2</v>
      </c>
    </row>
    <row r="4740" spans="1:6" x14ac:dyDescent="0.3">
      <c r="A4740" s="24">
        <v>39618</v>
      </c>
      <c r="B4740" s="66">
        <v>684.12900000000002</v>
      </c>
      <c r="C4740" s="67"/>
      <c r="D4740" s="68">
        <v>0</v>
      </c>
      <c r="E4740" s="110">
        <f t="shared" si="74"/>
        <v>37193</v>
      </c>
      <c r="F4740" s="69">
        <v>1.4791321965801086E-2</v>
      </c>
    </row>
    <row r="4741" spans="1:6" x14ac:dyDescent="0.3">
      <c r="A4741" s="24">
        <v>39619</v>
      </c>
      <c r="B4741" s="66">
        <v>684.12900000000002</v>
      </c>
      <c r="C4741" s="67"/>
      <c r="D4741" s="68">
        <v>0</v>
      </c>
      <c r="E4741" s="110">
        <f t="shared" si="74"/>
        <v>37193</v>
      </c>
      <c r="F4741" s="69">
        <v>1.4791321965801086E-2</v>
      </c>
    </row>
    <row r="4742" spans="1:6" x14ac:dyDescent="0.3">
      <c r="A4742" s="24">
        <v>39620</v>
      </c>
      <c r="B4742" s="66">
        <v>684.12900000000002</v>
      </c>
      <c r="C4742" s="67"/>
      <c r="D4742" s="68">
        <v>0</v>
      </c>
      <c r="E4742" s="110">
        <f t="shared" si="74"/>
        <v>37193</v>
      </c>
      <c r="F4742" s="69">
        <v>1.4791321965801086E-2</v>
      </c>
    </row>
    <row r="4743" spans="1:6" x14ac:dyDescent="0.3">
      <c r="A4743" s="24">
        <v>39621</v>
      </c>
      <c r="B4743" s="66">
        <v>684.12900000000002</v>
      </c>
      <c r="C4743" s="67"/>
      <c r="D4743" s="68">
        <v>0</v>
      </c>
      <c r="E4743" s="110">
        <f t="shared" si="74"/>
        <v>37193</v>
      </c>
      <c r="F4743" s="69">
        <v>1.4791321965801086E-2</v>
      </c>
    </row>
    <row r="4744" spans="1:6" x14ac:dyDescent="0.3">
      <c r="A4744" s="24">
        <v>39622</v>
      </c>
      <c r="B4744" s="66">
        <v>684.12900000000002</v>
      </c>
      <c r="C4744" s="67"/>
      <c r="D4744" s="68">
        <v>0</v>
      </c>
      <c r="E4744" s="110">
        <f t="shared" si="74"/>
        <v>37193</v>
      </c>
      <c r="F4744" s="69">
        <v>1.4791321965801086E-2</v>
      </c>
    </row>
    <row r="4745" spans="1:6" x14ac:dyDescent="0.3">
      <c r="A4745" s="24">
        <v>39623</v>
      </c>
      <c r="B4745" s="66">
        <v>684.12900000000002</v>
      </c>
      <c r="C4745" s="67"/>
      <c r="D4745" s="68">
        <v>0</v>
      </c>
      <c r="E4745" s="110">
        <f t="shared" si="74"/>
        <v>37193</v>
      </c>
      <c r="F4745" s="69">
        <v>1.4791321965801086E-2</v>
      </c>
    </row>
    <row r="4746" spans="1:6" x14ac:dyDescent="0.3">
      <c r="A4746" s="24">
        <v>39624</v>
      </c>
      <c r="B4746" s="66">
        <v>684.12900000000002</v>
      </c>
      <c r="C4746" s="67"/>
      <c r="D4746" s="68">
        <v>0</v>
      </c>
      <c r="E4746" s="110">
        <f t="shared" si="74"/>
        <v>37193</v>
      </c>
      <c r="F4746" s="69">
        <v>1.4791321965801086E-2</v>
      </c>
    </row>
    <row r="4747" spans="1:6" x14ac:dyDescent="0.3">
      <c r="A4747" s="24">
        <v>39625</v>
      </c>
      <c r="B4747" s="66">
        <v>684.12900000000002</v>
      </c>
      <c r="C4747" s="67"/>
      <c r="D4747" s="68">
        <v>0</v>
      </c>
      <c r="E4747" s="110">
        <f t="shared" si="74"/>
        <v>37193</v>
      </c>
      <c r="F4747" s="69">
        <v>1.4791321965801086E-2</v>
      </c>
    </row>
    <row r="4748" spans="1:6" x14ac:dyDescent="0.3">
      <c r="A4748" s="24">
        <v>39626</v>
      </c>
      <c r="B4748" s="66">
        <v>684.12900000000002</v>
      </c>
      <c r="C4748" s="67"/>
      <c r="D4748" s="68">
        <v>0</v>
      </c>
      <c r="E4748" s="110">
        <f t="shared" si="74"/>
        <v>37193</v>
      </c>
      <c r="F4748" s="69">
        <v>1.4791321965801086E-2</v>
      </c>
    </row>
    <row r="4749" spans="1:6" x14ac:dyDescent="0.3">
      <c r="A4749" s="24">
        <v>39627</v>
      </c>
      <c r="B4749" s="66">
        <v>684.12900000000002</v>
      </c>
      <c r="C4749" s="67"/>
      <c r="D4749" s="68">
        <v>0</v>
      </c>
      <c r="E4749" s="110">
        <f t="shared" si="74"/>
        <v>37193</v>
      </c>
      <c r="F4749" s="69">
        <v>1.4489115473195979E-2</v>
      </c>
    </row>
    <row r="4750" spans="1:6" x14ac:dyDescent="0.3">
      <c r="A4750" s="24">
        <v>39628</v>
      </c>
      <c r="B4750" s="66">
        <v>684.12900000000002</v>
      </c>
      <c r="C4750" s="67"/>
      <c r="D4750" s="68">
        <v>0</v>
      </c>
      <c r="E4750" s="110">
        <f t="shared" si="74"/>
        <v>37193</v>
      </c>
      <c r="F4750" s="69">
        <v>1.4489115473195979E-2</v>
      </c>
    </row>
    <row r="4751" spans="1:6" x14ac:dyDescent="0.3">
      <c r="A4751" s="24">
        <v>39629</v>
      </c>
      <c r="B4751" s="66">
        <v>718.97</v>
      </c>
      <c r="C4751" s="67"/>
      <c r="D4751" s="68">
        <v>0</v>
      </c>
      <c r="E4751" s="110">
        <f t="shared" si="74"/>
        <v>37193</v>
      </c>
      <c r="F4751" s="69">
        <v>1.4489115473195979E-2</v>
      </c>
    </row>
    <row r="4752" spans="1:6" x14ac:dyDescent="0.3">
      <c r="A4752" s="24">
        <v>39630</v>
      </c>
      <c r="B4752" s="66">
        <v>718.97</v>
      </c>
      <c r="C4752" s="67"/>
      <c r="D4752" s="68">
        <v>0</v>
      </c>
      <c r="E4752" s="110">
        <f t="shared" si="74"/>
        <v>37193</v>
      </c>
      <c r="F4752" s="69">
        <v>1.4489115473195979E-2</v>
      </c>
    </row>
    <row r="4753" spans="1:6" x14ac:dyDescent="0.3">
      <c r="A4753" s="24">
        <v>39631</v>
      </c>
      <c r="B4753" s="66">
        <v>718.97</v>
      </c>
      <c r="C4753" s="67"/>
      <c r="D4753" s="68">
        <v>0</v>
      </c>
      <c r="E4753" s="110">
        <f t="shared" si="74"/>
        <v>37193</v>
      </c>
      <c r="F4753" s="69">
        <v>1.4489115473195979E-2</v>
      </c>
    </row>
    <row r="4754" spans="1:6" x14ac:dyDescent="0.3">
      <c r="A4754" s="24">
        <v>39632</v>
      </c>
      <c r="B4754" s="66">
        <v>718.97</v>
      </c>
      <c r="C4754" s="67"/>
      <c r="D4754" s="68">
        <v>0</v>
      </c>
      <c r="E4754" s="110">
        <f t="shared" ref="E4754:E4817" si="75">+E4753</f>
        <v>37193</v>
      </c>
      <c r="F4754" s="69">
        <v>1.4489115473195979E-2</v>
      </c>
    </row>
    <row r="4755" spans="1:6" x14ac:dyDescent="0.3">
      <c r="A4755" s="24">
        <v>39633</v>
      </c>
      <c r="B4755" s="66">
        <v>718.97</v>
      </c>
      <c r="C4755" s="67"/>
      <c r="D4755" s="68">
        <v>0</v>
      </c>
      <c r="E4755" s="110">
        <f t="shared" si="75"/>
        <v>37193</v>
      </c>
      <c r="F4755" s="69">
        <v>1.4489115473195979E-2</v>
      </c>
    </row>
    <row r="4756" spans="1:6" x14ac:dyDescent="0.3">
      <c r="A4756" s="24">
        <v>39634</v>
      </c>
      <c r="B4756" s="66">
        <v>718.97</v>
      </c>
      <c r="C4756" s="67"/>
      <c r="D4756" s="68">
        <v>0</v>
      </c>
      <c r="E4756" s="110">
        <f t="shared" si="75"/>
        <v>37193</v>
      </c>
      <c r="F4756" s="69">
        <v>1.4489115473195979E-2</v>
      </c>
    </row>
    <row r="4757" spans="1:6" x14ac:dyDescent="0.3">
      <c r="A4757" s="24">
        <v>39635</v>
      </c>
      <c r="B4757" s="66">
        <v>718.97</v>
      </c>
      <c r="C4757" s="67"/>
      <c r="D4757" s="68">
        <v>0</v>
      </c>
      <c r="E4757" s="110">
        <f t="shared" si="75"/>
        <v>37193</v>
      </c>
      <c r="F4757" s="69">
        <v>1.4489115473195979E-2</v>
      </c>
    </row>
    <row r="4758" spans="1:6" x14ac:dyDescent="0.3">
      <c r="A4758" s="24">
        <v>39636</v>
      </c>
      <c r="B4758" s="66">
        <v>718.97</v>
      </c>
      <c r="C4758" s="67"/>
      <c r="D4758" s="68">
        <v>0</v>
      </c>
      <c r="E4758" s="110">
        <f t="shared" si="75"/>
        <v>37193</v>
      </c>
      <c r="F4758" s="69">
        <v>1.4489115473195979E-2</v>
      </c>
    </row>
    <row r="4759" spans="1:6" x14ac:dyDescent="0.3">
      <c r="A4759" s="24">
        <v>39637</v>
      </c>
      <c r="B4759" s="66">
        <v>718.97</v>
      </c>
      <c r="C4759" s="67"/>
      <c r="D4759" s="68">
        <v>0</v>
      </c>
      <c r="E4759" s="110">
        <f t="shared" si="75"/>
        <v>37193</v>
      </c>
      <c r="F4759" s="69">
        <v>1.4489115473195979E-2</v>
      </c>
    </row>
    <row r="4760" spans="1:6" x14ac:dyDescent="0.3">
      <c r="A4760" s="24">
        <v>39638</v>
      </c>
      <c r="B4760" s="66">
        <v>718.97</v>
      </c>
      <c r="C4760" s="67"/>
      <c r="D4760" s="68">
        <v>0</v>
      </c>
      <c r="E4760" s="110">
        <f t="shared" si="75"/>
        <v>37193</v>
      </c>
      <c r="F4760" s="69">
        <v>1.4489115473195979E-2</v>
      </c>
    </row>
    <row r="4761" spans="1:6" x14ac:dyDescent="0.3">
      <c r="A4761" s="24">
        <v>39639</v>
      </c>
      <c r="B4761" s="66">
        <v>718.97</v>
      </c>
      <c r="C4761" s="67"/>
      <c r="D4761" s="68">
        <v>0</v>
      </c>
      <c r="E4761" s="110">
        <f t="shared" si="75"/>
        <v>37193</v>
      </c>
      <c r="F4761" s="69">
        <v>1.4489115473195979E-2</v>
      </c>
    </row>
    <row r="4762" spans="1:6" x14ac:dyDescent="0.3">
      <c r="A4762" s="24">
        <v>39640</v>
      </c>
      <c r="B4762" s="66">
        <v>718.97</v>
      </c>
      <c r="C4762" s="67"/>
      <c r="D4762" s="68">
        <v>0</v>
      </c>
      <c r="E4762" s="110">
        <f t="shared" si="75"/>
        <v>37193</v>
      </c>
      <c r="F4762" s="69">
        <v>1.4489115473195979E-2</v>
      </c>
    </row>
    <row r="4763" spans="1:6" x14ac:dyDescent="0.3">
      <c r="A4763" s="24">
        <v>39641</v>
      </c>
      <c r="B4763" s="66">
        <v>718.97</v>
      </c>
      <c r="C4763" s="67"/>
      <c r="D4763" s="68">
        <v>0</v>
      </c>
      <c r="E4763" s="110">
        <f t="shared" si="75"/>
        <v>37193</v>
      </c>
      <c r="F4763" s="69">
        <v>1.4489115473195979E-2</v>
      </c>
    </row>
    <row r="4764" spans="1:6" x14ac:dyDescent="0.3">
      <c r="A4764" s="24">
        <v>39642</v>
      </c>
      <c r="B4764" s="66">
        <v>718.97</v>
      </c>
      <c r="C4764" s="67"/>
      <c r="D4764" s="68">
        <v>0</v>
      </c>
      <c r="E4764" s="110">
        <f t="shared" si="75"/>
        <v>37193</v>
      </c>
      <c r="F4764" s="69">
        <v>1.4489115473195979E-2</v>
      </c>
    </row>
    <row r="4765" spans="1:6" x14ac:dyDescent="0.3">
      <c r="A4765" s="24">
        <v>39643</v>
      </c>
      <c r="B4765" s="66">
        <v>718.97</v>
      </c>
      <c r="C4765" s="67"/>
      <c r="D4765" s="68">
        <v>0</v>
      </c>
      <c r="E4765" s="110">
        <f t="shared" si="75"/>
        <v>37193</v>
      </c>
      <c r="F4765" s="69">
        <v>1.4489115473195979E-2</v>
      </c>
    </row>
    <row r="4766" spans="1:6" x14ac:dyDescent="0.3">
      <c r="A4766" s="24">
        <v>39644</v>
      </c>
      <c r="B4766" s="66">
        <v>718.97</v>
      </c>
      <c r="C4766" s="67"/>
      <c r="D4766" s="68">
        <v>0</v>
      </c>
      <c r="E4766" s="110">
        <f t="shared" si="75"/>
        <v>37193</v>
      </c>
      <c r="F4766" s="69">
        <v>1.4489115473195979E-2</v>
      </c>
    </row>
    <row r="4767" spans="1:6" x14ac:dyDescent="0.3">
      <c r="A4767" s="24">
        <v>39645</v>
      </c>
      <c r="B4767" s="66">
        <v>718.97</v>
      </c>
      <c r="C4767" s="67"/>
      <c r="D4767" s="68">
        <v>0</v>
      </c>
      <c r="E4767" s="110">
        <f t="shared" si="75"/>
        <v>37193</v>
      </c>
      <c r="F4767" s="69">
        <v>1.4489115473195979E-2</v>
      </c>
    </row>
    <row r="4768" spans="1:6" x14ac:dyDescent="0.3">
      <c r="A4768" s="24">
        <v>39646</v>
      </c>
      <c r="B4768" s="66">
        <v>718.97</v>
      </c>
      <c r="C4768" s="67"/>
      <c r="D4768" s="68">
        <v>0</v>
      </c>
      <c r="E4768" s="110">
        <f t="shared" si="75"/>
        <v>37193</v>
      </c>
      <c r="F4768" s="69">
        <v>1.4489115473195979E-2</v>
      </c>
    </row>
    <row r="4769" spans="1:6" x14ac:dyDescent="0.3">
      <c r="A4769" s="24">
        <v>39647</v>
      </c>
      <c r="B4769" s="66">
        <v>718.97</v>
      </c>
      <c r="C4769" s="67"/>
      <c r="D4769" s="68">
        <v>0</v>
      </c>
      <c r="E4769" s="110">
        <f t="shared" si="75"/>
        <v>37193</v>
      </c>
      <c r="F4769" s="69">
        <v>1.4489115473195979E-2</v>
      </c>
    </row>
    <row r="4770" spans="1:6" x14ac:dyDescent="0.3">
      <c r="A4770" s="24">
        <v>39648</v>
      </c>
      <c r="B4770" s="66">
        <v>718.97</v>
      </c>
      <c r="C4770" s="67"/>
      <c r="D4770" s="68">
        <v>0</v>
      </c>
      <c r="E4770" s="110">
        <f t="shared" si="75"/>
        <v>37193</v>
      </c>
      <c r="F4770" s="69">
        <v>1.4489115473195979E-2</v>
      </c>
    </row>
    <row r="4771" spans="1:6" x14ac:dyDescent="0.3">
      <c r="A4771" s="24">
        <v>39649</v>
      </c>
      <c r="B4771" s="66">
        <v>718.97</v>
      </c>
      <c r="C4771" s="67"/>
      <c r="D4771" s="68">
        <v>0</v>
      </c>
      <c r="E4771" s="110">
        <f t="shared" si="75"/>
        <v>37193</v>
      </c>
      <c r="F4771" s="69">
        <v>1.4489115473195979E-2</v>
      </c>
    </row>
    <row r="4772" spans="1:6" x14ac:dyDescent="0.3">
      <c r="A4772" s="24">
        <v>39650</v>
      </c>
      <c r="B4772" s="66">
        <v>718.97</v>
      </c>
      <c r="C4772" s="67"/>
      <c r="D4772" s="68">
        <v>0</v>
      </c>
      <c r="E4772" s="110">
        <f t="shared" si="75"/>
        <v>37193</v>
      </c>
      <c r="F4772" s="69">
        <v>1.4489115473195979E-2</v>
      </c>
    </row>
    <row r="4773" spans="1:6" x14ac:dyDescent="0.3">
      <c r="A4773" s="24">
        <v>39651</v>
      </c>
      <c r="B4773" s="66">
        <v>718.97</v>
      </c>
      <c r="C4773" s="67"/>
      <c r="D4773" s="68">
        <v>0</v>
      </c>
      <c r="E4773" s="110">
        <f t="shared" si="75"/>
        <v>37193</v>
      </c>
      <c r="F4773" s="69">
        <v>1.4489115473195979E-2</v>
      </c>
    </row>
    <row r="4774" spans="1:6" x14ac:dyDescent="0.3">
      <c r="A4774" s="24">
        <v>39652</v>
      </c>
      <c r="B4774" s="66">
        <v>718.97</v>
      </c>
      <c r="C4774" s="67"/>
      <c r="D4774" s="68">
        <v>0</v>
      </c>
      <c r="E4774" s="110">
        <f t="shared" si="75"/>
        <v>37193</v>
      </c>
      <c r="F4774" s="69">
        <v>1.4489115473195979E-2</v>
      </c>
    </row>
    <row r="4775" spans="1:6" x14ac:dyDescent="0.3">
      <c r="A4775" s="24">
        <v>39653</v>
      </c>
      <c r="B4775" s="66">
        <v>718.97</v>
      </c>
      <c r="C4775" s="67"/>
      <c r="D4775" s="68">
        <v>0</v>
      </c>
      <c r="E4775" s="110">
        <f t="shared" si="75"/>
        <v>37193</v>
      </c>
      <c r="F4775" s="69">
        <v>1.4489115473195979E-2</v>
      </c>
    </row>
    <row r="4776" spans="1:6" x14ac:dyDescent="0.3">
      <c r="A4776" s="24">
        <v>39654</v>
      </c>
      <c r="B4776" s="66">
        <v>718.97</v>
      </c>
      <c r="C4776" s="67"/>
      <c r="D4776" s="68">
        <v>0</v>
      </c>
      <c r="E4776" s="110">
        <f t="shared" si="75"/>
        <v>37193</v>
      </c>
      <c r="F4776" s="69">
        <v>1.4489115473195979E-2</v>
      </c>
    </row>
    <row r="4777" spans="1:6" x14ac:dyDescent="0.3">
      <c r="A4777" s="24">
        <v>39655</v>
      </c>
      <c r="B4777" s="66">
        <v>718.97</v>
      </c>
      <c r="C4777" s="67"/>
      <c r="D4777" s="68">
        <v>0</v>
      </c>
      <c r="E4777" s="110">
        <f t="shared" si="75"/>
        <v>37193</v>
      </c>
      <c r="F4777" s="69">
        <v>1.4489115473195979E-2</v>
      </c>
    </row>
    <row r="4778" spans="1:6" x14ac:dyDescent="0.3">
      <c r="A4778" s="24">
        <v>39656</v>
      </c>
      <c r="B4778" s="66">
        <v>718.97</v>
      </c>
      <c r="C4778" s="67"/>
      <c r="D4778" s="68">
        <v>0</v>
      </c>
      <c r="E4778" s="110">
        <f t="shared" si="75"/>
        <v>37193</v>
      </c>
      <c r="F4778" s="69">
        <v>1.4489115473195979E-2</v>
      </c>
    </row>
    <row r="4779" spans="1:6" x14ac:dyDescent="0.3">
      <c r="A4779" s="24">
        <v>39657</v>
      </c>
      <c r="B4779" s="66">
        <v>718.97</v>
      </c>
      <c r="C4779" s="67"/>
      <c r="D4779" s="68">
        <v>0</v>
      </c>
      <c r="E4779" s="110">
        <f t="shared" si="75"/>
        <v>37193</v>
      </c>
      <c r="F4779" s="69">
        <v>1.4489115473195979E-2</v>
      </c>
    </row>
    <row r="4780" spans="1:6" x14ac:dyDescent="0.3">
      <c r="A4780" s="24">
        <v>39658</v>
      </c>
      <c r="B4780" s="66">
        <v>718.97</v>
      </c>
      <c r="C4780" s="67"/>
      <c r="D4780" s="68">
        <v>0</v>
      </c>
      <c r="E4780" s="110">
        <f t="shared" si="75"/>
        <v>37193</v>
      </c>
      <c r="F4780" s="69">
        <v>1.4489115473195979E-2</v>
      </c>
    </row>
    <row r="4781" spans="1:6" x14ac:dyDescent="0.3">
      <c r="A4781" s="24">
        <v>39659</v>
      </c>
      <c r="B4781" s="66">
        <v>718.97</v>
      </c>
      <c r="C4781" s="67"/>
      <c r="D4781" s="68">
        <v>0</v>
      </c>
      <c r="E4781" s="110">
        <f t="shared" si="75"/>
        <v>37193</v>
      </c>
      <c r="F4781" s="69">
        <v>1.4489115473195979E-2</v>
      </c>
    </row>
    <row r="4782" spans="1:6" x14ac:dyDescent="0.3">
      <c r="A4782" s="24">
        <v>39660</v>
      </c>
      <c r="B4782" s="66">
        <v>718.97</v>
      </c>
      <c r="C4782" s="67"/>
      <c r="D4782" s="68">
        <v>0</v>
      </c>
      <c r="E4782" s="110">
        <f t="shared" si="75"/>
        <v>37193</v>
      </c>
      <c r="F4782" s="69">
        <v>1.4489115473195979E-2</v>
      </c>
    </row>
    <row r="4783" spans="1:6" x14ac:dyDescent="0.3">
      <c r="A4783" s="24">
        <v>39661</v>
      </c>
      <c r="B4783" s="66">
        <v>718.97</v>
      </c>
      <c r="C4783" s="67"/>
      <c r="D4783" s="68">
        <v>0</v>
      </c>
      <c r="E4783" s="110">
        <f t="shared" si="75"/>
        <v>37193</v>
      </c>
      <c r="F4783" s="69">
        <v>1.4489115473195979E-2</v>
      </c>
    </row>
    <row r="4784" spans="1:6" x14ac:dyDescent="0.3">
      <c r="A4784" s="24">
        <v>39662</v>
      </c>
      <c r="B4784" s="66">
        <v>718.97</v>
      </c>
      <c r="C4784" s="67"/>
      <c r="D4784" s="68">
        <v>0</v>
      </c>
      <c r="E4784" s="110">
        <f t="shared" si="75"/>
        <v>37193</v>
      </c>
      <c r="F4784" s="69">
        <v>1.4489115473195979E-2</v>
      </c>
    </row>
    <row r="4785" spans="1:6" x14ac:dyDescent="0.3">
      <c r="A4785" s="24">
        <v>39663</v>
      </c>
      <c r="B4785" s="66">
        <v>718.97</v>
      </c>
      <c r="C4785" s="67"/>
      <c r="D4785" s="68">
        <v>0</v>
      </c>
      <c r="E4785" s="110">
        <f t="shared" si="75"/>
        <v>37193</v>
      </c>
      <c r="F4785" s="69">
        <v>1.4489115473195979E-2</v>
      </c>
    </row>
    <row r="4786" spans="1:6" x14ac:dyDescent="0.3">
      <c r="A4786" s="24">
        <v>39664</v>
      </c>
      <c r="B4786" s="66">
        <v>718.97</v>
      </c>
      <c r="C4786" s="67"/>
      <c r="D4786" s="68">
        <v>0</v>
      </c>
      <c r="E4786" s="110">
        <f t="shared" si="75"/>
        <v>37193</v>
      </c>
      <c r="F4786" s="69">
        <v>1.4489115473195979E-2</v>
      </c>
    </row>
    <row r="4787" spans="1:6" x14ac:dyDescent="0.3">
      <c r="A4787" s="24">
        <v>39665</v>
      </c>
      <c r="B4787" s="66">
        <v>718.97</v>
      </c>
      <c r="C4787" s="67"/>
      <c r="D4787" s="68">
        <v>0</v>
      </c>
      <c r="E4787" s="110">
        <f t="shared" si="75"/>
        <v>37193</v>
      </c>
      <c r="F4787" s="69">
        <v>1.4489115473195979E-2</v>
      </c>
    </row>
    <row r="4788" spans="1:6" x14ac:dyDescent="0.3">
      <c r="A4788" s="24">
        <v>39666</v>
      </c>
      <c r="B4788" s="66">
        <v>718.97</v>
      </c>
      <c r="C4788" s="67"/>
      <c r="D4788" s="68">
        <v>0</v>
      </c>
      <c r="E4788" s="110">
        <f t="shared" si="75"/>
        <v>37193</v>
      </c>
      <c r="F4788" s="69">
        <v>1.4489115473195979E-2</v>
      </c>
    </row>
    <row r="4789" spans="1:6" x14ac:dyDescent="0.3">
      <c r="A4789" s="24">
        <v>39667</v>
      </c>
      <c r="B4789" s="66">
        <v>718.97</v>
      </c>
      <c r="C4789" s="67"/>
      <c r="D4789" s="68">
        <v>0</v>
      </c>
      <c r="E4789" s="110">
        <f t="shared" si="75"/>
        <v>37193</v>
      </c>
      <c r="F4789" s="69">
        <v>1.4489115473195979E-2</v>
      </c>
    </row>
    <row r="4790" spans="1:6" x14ac:dyDescent="0.3">
      <c r="A4790" s="24">
        <v>39668</v>
      </c>
      <c r="B4790" s="66">
        <v>718.97</v>
      </c>
      <c r="C4790" s="67"/>
      <c r="D4790" s="68">
        <v>0</v>
      </c>
      <c r="E4790" s="110">
        <f t="shared" si="75"/>
        <v>37193</v>
      </c>
      <c r="F4790" s="69">
        <v>1.4489115473195979E-2</v>
      </c>
    </row>
    <row r="4791" spans="1:6" x14ac:dyDescent="0.3">
      <c r="A4791" s="24">
        <v>39669</v>
      </c>
      <c r="B4791" s="66">
        <v>718.97</v>
      </c>
      <c r="C4791" s="67"/>
      <c r="D4791" s="68">
        <v>0</v>
      </c>
      <c r="E4791" s="110">
        <f t="shared" si="75"/>
        <v>37193</v>
      </c>
      <c r="F4791" s="69">
        <v>1.4489115473195979E-2</v>
      </c>
    </row>
    <row r="4792" spans="1:6" x14ac:dyDescent="0.3">
      <c r="A4792" s="24">
        <v>39670</v>
      </c>
      <c r="B4792" s="66">
        <v>718.97</v>
      </c>
      <c r="C4792" s="67"/>
      <c r="D4792" s="68">
        <v>0</v>
      </c>
      <c r="E4792" s="110">
        <f t="shared" si="75"/>
        <v>37193</v>
      </c>
      <c r="F4792" s="69">
        <v>1.4489115473195979E-2</v>
      </c>
    </row>
    <row r="4793" spans="1:6" x14ac:dyDescent="0.3">
      <c r="A4793" s="24">
        <v>39671</v>
      </c>
      <c r="B4793" s="66">
        <v>718.97</v>
      </c>
      <c r="C4793" s="67"/>
      <c r="D4793" s="68">
        <v>0</v>
      </c>
      <c r="E4793" s="110">
        <f t="shared" si="75"/>
        <v>37193</v>
      </c>
      <c r="F4793" s="69">
        <v>1.4489115473195979E-2</v>
      </c>
    </row>
    <row r="4794" spans="1:6" x14ac:dyDescent="0.3">
      <c r="A4794" s="24">
        <v>39672</v>
      </c>
      <c r="B4794" s="66">
        <v>718.97</v>
      </c>
      <c r="C4794" s="67"/>
      <c r="D4794" s="68">
        <v>0</v>
      </c>
      <c r="E4794" s="110">
        <f t="shared" si="75"/>
        <v>37193</v>
      </c>
      <c r="F4794" s="69">
        <v>1.4489115473195979E-2</v>
      </c>
    </row>
    <row r="4795" spans="1:6" x14ac:dyDescent="0.3">
      <c r="A4795" s="24">
        <v>39673</v>
      </c>
      <c r="B4795" s="66">
        <v>718.97</v>
      </c>
      <c r="C4795" s="67"/>
      <c r="D4795" s="68">
        <v>0</v>
      </c>
      <c r="E4795" s="110">
        <f t="shared" si="75"/>
        <v>37193</v>
      </c>
      <c r="F4795" s="69">
        <v>1.4489115473195979E-2</v>
      </c>
    </row>
    <row r="4796" spans="1:6" x14ac:dyDescent="0.3">
      <c r="A4796" s="24">
        <v>39674</v>
      </c>
      <c r="B4796" s="66">
        <v>718.97</v>
      </c>
      <c r="C4796" s="67"/>
      <c r="D4796" s="68">
        <v>0</v>
      </c>
      <c r="E4796" s="110">
        <f t="shared" si="75"/>
        <v>37193</v>
      </c>
      <c r="F4796" s="69">
        <v>1.4489115473195979E-2</v>
      </c>
    </row>
    <row r="4797" spans="1:6" x14ac:dyDescent="0.3">
      <c r="A4797" s="24">
        <v>39675</v>
      </c>
      <c r="B4797" s="66">
        <v>718.97</v>
      </c>
      <c r="C4797" s="67"/>
      <c r="D4797" s="68">
        <v>0</v>
      </c>
      <c r="E4797" s="110">
        <f t="shared" si="75"/>
        <v>37193</v>
      </c>
      <c r="F4797" s="69">
        <v>1.4489115473195979E-2</v>
      </c>
    </row>
    <row r="4798" spans="1:6" x14ac:dyDescent="0.3">
      <c r="A4798" s="24">
        <v>39676</v>
      </c>
      <c r="B4798" s="66">
        <v>718.97</v>
      </c>
      <c r="C4798" s="67"/>
      <c r="D4798" s="68">
        <v>0</v>
      </c>
      <c r="E4798" s="110">
        <f t="shared" si="75"/>
        <v>37193</v>
      </c>
      <c r="F4798" s="69">
        <v>1.4489115473195979E-2</v>
      </c>
    </row>
    <row r="4799" spans="1:6" x14ac:dyDescent="0.3">
      <c r="A4799" s="24">
        <v>39677</v>
      </c>
      <c r="B4799" s="66">
        <v>718.97</v>
      </c>
      <c r="C4799" s="67"/>
      <c r="D4799" s="68">
        <v>0</v>
      </c>
      <c r="E4799" s="110">
        <f t="shared" si="75"/>
        <v>37193</v>
      </c>
      <c r="F4799" s="69">
        <v>1.4489115473195979E-2</v>
      </c>
    </row>
    <row r="4800" spans="1:6" x14ac:dyDescent="0.3">
      <c r="A4800" s="24">
        <v>39678</v>
      </c>
      <c r="B4800" s="66">
        <v>718.97</v>
      </c>
      <c r="C4800" s="67"/>
      <c r="D4800" s="68">
        <v>0</v>
      </c>
      <c r="E4800" s="110">
        <f t="shared" si="75"/>
        <v>37193</v>
      </c>
      <c r="F4800" s="69">
        <v>1.4489115473195979E-2</v>
      </c>
    </row>
    <row r="4801" spans="1:6" x14ac:dyDescent="0.3">
      <c r="A4801" s="24">
        <v>39679</v>
      </c>
      <c r="B4801" s="66">
        <v>718.97</v>
      </c>
      <c r="C4801" s="67"/>
      <c r="D4801" s="68">
        <v>0</v>
      </c>
      <c r="E4801" s="110">
        <f t="shared" si="75"/>
        <v>37193</v>
      </c>
      <c r="F4801" s="69">
        <v>1.4489115473195979E-2</v>
      </c>
    </row>
    <row r="4802" spans="1:6" x14ac:dyDescent="0.3">
      <c r="A4802" s="24">
        <v>39680</v>
      </c>
      <c r="B4802" s="66">
        <v>718.97</v>
      </c>
      <c r="C4802" s="67"/>
      <c r="D4802" s="68">
        <v>0</v>
      </c>
      <c r="E4802" s="110">
        <f t="shared" si="75"/>
        <v>37193</v>
      </c>
      <c r="F4802" s="69">
        <v>1.4489115473195979E-2</v>
      </c>
    </row>
    <row r="4803" spans="1:6" x14ac:dyDescent="0.3">
      <c r="A4803" s="24">
        <v>39681</v>
      </c>
      <c r="B4803" s="66">
        <v>718.97</v>
      </c>
      <c r="C4803" s="67"/>
      <c r="D4803" s="68">
        <v>0</v>
      </c>
      <c r="E4803" s="110">
        <f t="shared" si="75"/>
        <v>37193</v>
      </c>
      <c r="F4803" s="69">
        <v>1.4489115473195979E-2</v>
      </c>
    </row>
    <row r="4804" spans="1:6" x14ac:dyDescent="0.3">
      <c r="A4804" s="24">
        <v>39682</v>
      </c>
      <c r="B4804" s="66">
        <v>718.97</v>
      </c>
      <c r="C4804" s="67"/>
      <c r="D4804" s="68">
        <v>0</v>
      </c>
      <c r="E4804" s="110">
        <f t="shared" si="75"/>
        <v>37193</v>
      </c>
      <c r="F4804" s="69">
        <v>1.4489115473195979E-2</v>
      </c>
    </row>
    <row r="4805" spans="1:6" x14ac:dyDescent="0.3">
      <c r="A4805" s="24">
        <v>39683</v>
      </c>
      <c r="B4805" s="66">
        <v>718.97</v>
      </c>
      <c r="C4805" s="67"/>
      <c r="D4805" s="68">
        <v>0</v>
      </c>
      <c r="E4805" s="110">
        <f t="shared" si="75"/>
        <v>37193</v>
      </c>
      <c r="F4805" s="69">
        <v>1.4489115473195979E-2</v>
      </c>
    </row>
    <row r="4806" spans="1:6" x14ac:dyDescent="0.3">
      <c r="A4806" s="24">
        <v>39684</v>
      </c>
      <c r="B4806" s="66">
        <v>718.97</v>
      </c>
      <c r="C4806" s="67"/>
      <c r="D4806" s="68">
        <v>0</v>
      </c>
      <c r="E4806" s="110">
        <f t="shared" si="75"/>
        <v>37193</v>
      </c>
      <c r="F4806" s="69">
        <v>1.4489115473195979E-2</v>
      </c>
    </row>
    <row r="4807" spans="1:6" x14ac:dyDescent="0.3">
      <c r="A4807" s="24">
        <v>39685</v>
      </c>
      <c r="B4807" s="66">
        <v>718.97</v>
      </c>
      <c r="C4807" s="67"/>
      <c r="D4807" s="68">
        <v>0</v>
      </c>
      <c r="E4807" s="110">
        <f t="shared" si="75"/>
        <v>37193</v>
      </c>
      <c r="F4807" s="69">
        <v>1.4489115473195979E-2</v>
      </c>
    </row>
    <row r="4808" spans="1:6" x14ac:dyDescent="0.3">
      <c r="A4808" s="24">
        <v>39686</v>
      </c>
      <c r="B4808" s="66">
        <v>718.97</v>
      </c>
      <c r="C4808" s="67"/>
      <c r="D4808" s="68">
        <v>0</v>
      </c>
      <c r="E4808" s="110">
        <f t="shared" si="75"/>
        <v>37193</v>
      </c>
      <c r="F4808" s="69">
        <v>1.4489115473195979E-2</v>
      </c>
    </row>
    <row r="4809" spans="1:6" x14ac:dyDescent="0.3">
      <c r="A4809" s="24">
        <v>39687</v>
      </c>
      <c r="B4809" s="66">
        <v>718.97</v>
      </c>
      <c r="C4809" s="67"/>
      <c r="D4809" s="68">
        <v>0</v>
      </c>
      <c r="E4809" s="110">
        <f t="shared" si="75"/>
        <v>37193</v>
      </c>
      <c r="F4809" s="69">
        <v>1.4489115473195979E-2</v>
      </c>
    </row>
    <row r="4810" spans="1:6" x14ac:dyDescent="0.3">
      <c r="A4810" s="24">
        <v>39688</v>
      </c>
      <c r="B4810" s="66">
        <v>718.97</v>
      </c>
      <c r="C4810" s="67"/>
      <c r="D4810" s="68">
        <v>0</v>
      </c>
      <c r="E4810" s="110">
        <f t="shared" si="75"/>
        <v>37193</v>
      </c>
      <c r="F4810" s="69">
        <v>1.4489115473195979E-2</v>
      </c>
    </row>
    <row r="4811" spans="1:6" x14ac:dyDescent="0.3">
      <c r="A4811" s="24">
        <v>39689</v>
      </c>
      <c r="B4811" s="66">
        <v>718.97</v>
      </c>
      <c r="C4811" s="67"/>
      <c r="D4811" s="68">
        <v>0</v>
      </c>
      <c r="E4811" s="110">
        <f t="shared" si="75"/>
        <v>37193</v>
      </c>
      <c r="F4811" s="69">
        <v>1.4489115473195979E-2</v>
      </c>
    </row>
    <row r="4812" spans="1:6" x14ac:dyDescent="0.3">
      <c r="A4812" s="24">
        <v>39690</v>
      </c>
      <c r="B4812" s="66">
        <v>718.97</v>
      </c>
      <c r="C4812" s="67"/>
      <c r="D4812" s="68">
        <v>0</v>
      </c>
      <c r="E4812" s="110">
        <f t="shared" si="75"/>
        <v>37193</v>
      </c>
      <c r="F4812" s="69">
        <v>1.4489115473195979E-2</v>
      </c>
    </row>
    <row r="4813" spans="1:6" x14ac:dyDescent="0.3">
      <c r="A4813" s="24">
        <v>39691</v>
      </c>
      <c r="B4813" s="66">
        <v>718.97</v>
      </c>
      <c r="C4813" s="67"/>
      <c r="D4813" s="68">
        <v>0</v>
      </c>
      <c r="E4813" s="110">
        <f t="shared" si="75"/>
        <v>37193</v>
      </c>
      <c r="F4813" s="69">
        <v>1.4489115473195979E-2</v>
      </c>
    </row>
    <row r="4814" spans="1:6" x14ac:dyDescent="0.3">
      <c r="A4814" s="24">
        <v>39692</v>
      </c>
      <c r="B4814" s="66">
        <v>718.97</v>
      </c>
      <c r="C4814" s="67"/>
      <c r="D4814" s="68">
        <v>0</v>
      </c>
      <c r="E4814" s="110">
        <f t="shared" si="75"/>
        <v>37193</v>
      </c>
      <c r="F4814" s="69">
        <v>1.4489115473195979E-2</v>
      </c>
    </row>
    <row r="4815" spans="1:6" x14ac:dyDescent="0.3">
      <c r="A4815" s="24">
        <v>39693</v>
      </c>
      <c r="B4815" s="66">
        <v>718.97</v>
      </c>
      <c r="C4815" s="67"/>
      <c r="D4815" s="68">
        <v>0</v>
      </c>
      <c r="E4815" s="110">
        <f t="shared" si="75"/>
        <v>37193</v>
      </c>
      <c r="F4815" s="69">
        <v>1.4489115473195979E-2</v>
      </c>
    </row>
    <row r="4816" spans="1:6" x14ac:dyDescent="0.3">
      <c r="A4816" s="24">
        <v>39694</v>
      </c>
      <c r="B4816" s="66">
        <v>718.97</v>
      </c>
      <c r="C4816" s="67"/>
      <c r="D4816" s="68">
        <v>0</v>
      </c>
      <c r="E4816" s="110">
        <f t="shared" si="75"/>
        <v>37193</v>
      </c>
      <c r="F4816" s="69">
        <v>1.4489115473195979E-2</v>
      </c>
    </row>
    <row r="4817" spans="1:6" x14ac:dyDescent="0.3">
      <c r="A4817" s="24">
        <v>39695</v>
      </c>
      <c r="B4817" s="66">
        <v>718.97</v>
      </c>
      <c r="C4817" s="67"/>
      <c r="D4817" s="68">
        <v>0</v>
      </c>
      <c r="E4817" s="110">
        <f t="shared" si="75"/>
        <v>37193</v>
      </c>
      <c r="F4817" s="69">
        <v>1.4489115473195979E-2</v>
      </c>
    </row>
    <row r="4818" spans="1:6" x14ac:dyDescent="0.3">
      <c r="A4818" s="24">
        <v>39696</v>
      </c>
      <c r="B4818" s="66">
        <v>718.97</v>
      </c>
      <c r="C4818" s="67"/>
      <c r="D4818" s="68">
        <v>0</v>
      </c>
      <c r="E4818" s="110">
        <f t="shared" ref="E4818:E4881" si="76">+E4817</f>
        <v>37193</v>
      </c>
      <c r="F4818" s="69">
        <v>1.4489115473195979E-2</v>
      </c>
    </row>
    <row r="4819" spans="1:6" x14ac:dyDescent="0.3">
      <c r="A4819" s="24">
        <v>39697</v>
      </c>
      <c r="B4819" s="66">
        <v>718.97</v>
      </c>
      <c r="C4819" s="67"/>
      <c r="D4819" s="68">
        <v>0</v>
      </c>
      <c r="E4819" s="110">
        <f t="shared" si="76"/>
        <v>37193</v>
      </c>
      <c r="F4819" s="69">
        <v>1.4489115473195979E-2</v>
      </c>
    </row>
    <row r="4820" spans="1:6" x14ac:dyDescent="0.3">
      <c r="A4820" s="24">
        <v>39698</v>
      </c>
      <c r="B4820" s="66">
        <v>718.97</v>
      </c>
      <c r="C4820" s="67"/>
      <c r="D4820" s="68">
        <v>0</v>
      </c>
      <c r="E4820" s="110">
        <f t="shared" si="76"/>
        <v>37193</v>
      </c>
      <c r="F4820" s="69">
        <v>1.4489115473195979E-2</v>
      </c>
    </row>
    <row r="4821" spans="1:6" x14ac:dyDescent="0.3">
      <c r="A4821" s="24">
        <v>39699</v>
      </c>
      <c r="B4821" s="66">
        <v>718.97</v>
      </c>
      <c r="C4821" s="67"/>
      <c r="D4821" s="68">
        <v>0</v>
      </c>
      <c r="E4821" s="110">
        <f t="shared" si="76"/>
        <v>37193</v>
      </c>
      <c r="F4821" s="69">
        <v>1.4489115473195979E-2</v>
      </c>
    </row>
    <row r="4822" spans="1:6" x14ac:dyDescent="0.3">
      <c r="A4822" s="24">
        <v>39700</v>
      </c>
      <c r="B4822" s="66">
        <v>718.97</v>
      </c>
      <c r="C4822" s="67"/>
      <c r="D4822" s="68">
        <v>0</v>
      </c>
      <c r="E4822" s="110">
        <f t="shared" si="76"/>
        <v>37193</v>
      </c>
      <c r="F4822" s="69">
        <v>1.4489115473195979E-2</v>
      </c>
    </row>
    <row r="4823" spans="1:6" x14ac:dyDescent="0.3">
      <c r="A4823" s="24">
        <v>39701</v>
      </c>
      <c r="B4823" s="66">
        <v>718.97</v>
      </c>
      <c r="C4823" s="67"/>
      <c r="D4823" s="68">
        <v>0</v>
      </c>
      <c r="E4823" s="110">
        <f t="shared" si="76"/>
        <v>37193</v>
      </c>
      <c r="F4823" s="69">
        <v>1.4489115473195979E-2</v>
      </c>
    </row>
    <row r="4824" spans="1:6" x14ac:dyDescent="0.3">
      <c r="A4824" s="24">
        <v>39702</v>
      </c>
      <c r="B4824" s="66">
        <v>718.97</v>
      </c>
      <c r="C4824" s="67"/>
      <c r="D4824" s="68">
        <v>0</v>
      </c>
      <c r="E4824" s="110">
        <f t="shared" si="76"/>
        <v>37193</v>
      </c>
      <c r="F4824" s="69">
        <v>1.4489115473195979E-2</v>
      </c>
    </row>
    <row r="4825" spans="1:6" x14ac:dyDescent="0.3">
      <c r="A4825" s="24">
        <v>39703</v>
      </c>
      <c r="B4825" s="66">
        <v>718.97</v>
      </c>
      <c r="C4825" s="67"/>
      <c r="D4825" s="68">
        <v>0</v>
      </c>
      <c r="E4825" s="110">
        <f t="shared" si="76"/>
        <v>37193</v>
      </c>
      <c r="F4825" s="69">
        <v>1.4489115473195979E-2</v>
      </c>
    </row>
    <row r="4826" spans="1:6" x14ac:dyDescent="0.3">
      <c r="A4826" s="24">
        <v>39704</v>
      </c>
      <c r="B4826" s="66">
        <v>718.97</v>
      </c>
      <c r="C4826" s="67"/>
      <c r="D4826" s="68">
        <v>0</v>
      </c>
      <c r="E4826" s="110">
        <f t="shared" si="76"/>
        <v>37193</v>
      </c>
      <c r="F4826" s="69">
        <v>1.4489115473195979E-2</v>
      </c>
    </row>
    <row r="4827" spans="1:6" x14ac:dyDescent="0.3">
      <c r="A4827" s="24">
        <v>39705</v>
      </c>
      <c r="B4827" s="66">
        <v>718.97</v>
      </c>
      <c r="C4827" s="67"/>
      <c r="D4827" s="68">
        <v>0</v>
      </c>
      <c r="E4827" s="110">
        <f t="shared" si="76"/>
        <v>37193</v>
      </c>
      <c r="F4827" s="69">
        <v>1.4489115473195979E-2</v>
      </c>
    </row>
    <row r="4828" spans="1:6" x14ac:dyDescent="0.3">
      <c r="A4828" s="24">
        <v>39706</v>
      </c>
      <c r="B4828" s="66">
        <v>718.97</v>
      </c>
      <c r="C4828" s="67"/>
      <c r="D4828" s="68">
        <v>0</v>
      </c>
      <c r="E4828" s="110">
        <f t="shared" si="76"/>
        <v>37193</v>
      </c>
      <c r="F4828" s="69">
        <v>1.4489115473195979E-2</v>
      </c>
    </row>
    <row r="4829" spans="1:6" x14ac:dyDescent="0.3">
      <c r="A4829" s="24">
        <v>39707</v>
      </c>
      <c r="B4829" s="66">
        <v>718.97</v>
      </c>
      <c r="C4829" s="67"/>
      <c r="D4829" s="68">
        <v>0</v>
      </c>
      <c r="E4829" s="110">
        <f t="shared" si="76"/>
        <v>37193</v>
      </c>
      <c r="F4829" s="69">
        <v>1.4489115473195979E-2</v>
      </c>
    </row>
    <row r="4830" spans="1:6" x14ac:dyDescent="0.3">
      <c r="A4830" s="24">
        <v>39708</v>
      </c>
      <c r="B4830" s="66">
        <v>718.97</v>
      </c>
      <c r="C4830" s="67"/>
      <c r="D4830" s="68">
        <v>0</v>
      </c>
      <c r="E4830" s="110">
        <f t="shared" si="76"/>
        <v>37193</v>
      </c>
      <c r="F4830" s="69">
        <v>1.4489115473195979E-2</v>
      </c>
    </row>
    <row r="4831" spans="1:6" x14ac:dyDescent="0.3">
      <c r="A4831" s="24">
        <v>39709</v>
      </c>
      <c r="B4831" s="66">
        <v>718.97</v>
      </c>
      <c r="C4831" s="67"/>
      <c r="D4831" s="68">
        <v>0</v>
      </c>
      <c r="E4831" s="110">
        <f t="shared" si="76"/>
        <v>37193</v>
      </c>
      <c r="F4831" s="69">
        <v>1.4489115473195979E-2</v>
      </c>
    </row>
    <row r="4832" spans="1:6" x14ac:dyDescent="0.3">
      <c r="A4832" s="24">
        <v>39710</v>
      </c>
      <c r="B4832" s="66">
        <v>718.97</v>
      </c>
      <c r="C4832" s="67"/>
      <c r="D4832" s="68">
        <v>0</v>
      </c>
      <c r="E4832" s="110">
        <f t="shared" si="76"/>
        <v>37193</v>
      </c>
      <c r="F4832" s="69">
        <v>1.4489115473195979E-2</v>
      </c>
    </row>
    <row r="4833" spans="1:6" x14ac:dyDescent="0.3">
      <c r="A4833" s="24">
        <v>39711</v>
      </c>
      <c r="B4833" s="66">
        <v>718.97</v>
      </c>
      <c r="C4833" s="67"/>
      <c r="D4833" s="68">
        <v>0</v>
      </c>
      <c r="E4833" s="110">
        <f t="shared" si="76"/>
        <v>37193</v>
      </c>
      <c r="F4833" s="69">
        <v>1.4489115473195979E-2</v>
      </c>
    </row>
    <row r="4834" spans="1:6" x14ac:dyDescent="0.3">
      <c r="A4834" s="24">
        <v>39712</v>
      </c>
      <c r="B4834" s="66">
        <v>718.97</v>
      </c>
      <c r="C4834" s="67"/>
      <c r="D4834" s="68">
        <v>0</v>
      </c>
      <c r="E4834" s="110">
        <f t="shared" si="76"/>
        <v>37193</v>
      </c>
      <c r="F4834" s="69">
        <v>1.4489115473195979E-2</v>
      </c>
    </row>
    <row r="4835" spans="1:6" x14ac:dyDescent="0.3">
      <c r="A4835" s="24">
        <v>39713</v>
      </c>
      <c r="B4835" s="66">
        <v>718.97</v>
      </c>
      <c r="C4835" s="67"/>
      <c r="D4835" s="68">
        <v>0</v>
      </c>
      <c r="E4835" s="110">
        <f t="shared" si="76"/>
        <v>37193</v>
      </c>
      <c r="F4835" s="69">
        <v>1.4489115473195979E-2</v>
      </c>
    </row>
    <row r="4836" spans="1:6" x14ac:dyDescent="0.3">
      <c r="A4836" s="24">
        <v>39714</v>
      </c>
      <c r="B4836" s="66">
        <v>718.97</v>
      </c>
      <c r="C4836" s="67"/>
      <c r="D4836" s="68">
        <v>0</v>
      </c>
      <c r="E4836" s="110">
        <f t="shared" si="76"/>
        <v>37193</v>
      </c>
      <c r="F4836" s="69">
        <v>1.4489115473195979E-2</v>
      </c>
    </row>
    <row r="4837" spans="1:6" x14ac:dyDescent="0.3">
      <c r="A4837" s="24">
        <v>39715</v>
      </c>
      <c r="B4837" s="66">
        <v>718.97</v>
      </c>
      <c r="C4837" s="67"/>
      <c r="D4837" s="68">
        <v>0</v>
      </c>
      <c r="E4837" s="110">
        <f t="shared" si="76"/>
        <v>37193</v>
      </c>
      <c r="F4837" s="69">
        <v>1.4489115473195979E-2</v>
      </c>
    </row>
    <row r="4838" spans="1:6" x14ac:dyDescent="0.3">
      <c r="A4838" s="24">
        <v>39716</v>
      </c>
      <c r="B4838" s="66">
        <v>718.97</v>
      </c>
      <c r="C4838" s="67"/>
      <c r="D4838" s="68">
        <v>0</v>
      </c>
      <c r="E4838" s="110">
        <f t="shared" si="76"/>
        <v>37193</v>
      </c>
      <c r="F4838" s="69">
        <v>1.4489115473195979E-2</v>
      </c>
    </row>
    <row r="4839" spans="1:6" x14ac:dyDescent="0.3">
      <c r="A4839" s="24">
        <v>39717</v>
      </c>
      <c r="B4839" s="66">
        <v>718.97</v>
      </c>
      <c r="C4839" s="67"/>
      <c r="D4839" s="68">
        <v>0</v>
      </c>
      <c r="E4839" s="110">
        <f t="shared" si="76"/>
        <v>37193</v>
      </c>
      <c r="F4839" s="69">
        <v>1.4489115473195979E-2</v>
      </c>
    </row>
    <row r="4840" spans="1:6" x14ac:dyDescent="0.3">
      <c r="A4840" s="24">
        <v>39718</v>
      </c>
      <c r="B4840" s="66">
        <v>718.97</v>
      </c>
      <c r="C4840" s="67"/>
      <c r="D4840" s="68">
        <v>0</v>
      </c>
      <c r="E4840" s="110">
        <f t="shared" si="76"/>
        <v>37193</v>
      </c>
      <c r="F4840" s="69">
        <v>1.4489115473195979E-2</v>
      </c>
    </row>
    <row r="4841" spans="1:6" x14ac:dyDescent="0.3">
      <c r="A4841" s="24">
        <v>39719</v>
      </c>
      <c r="B4841" s="66">
        <v>718.97</v>
      </c>
      <c r="C4841" s="67"/>
      <c r="D4841" s="68">
        <v>0</v>
      </c>
      <c r="E4841" s="110">
        <f t="shared" si="76"/>
        <v>37193</v>
      </c>
      <c r="F4841" s="69">
        <v>1.3853829214503991E-2</v>
      </c>
    </row>
    <row r="4842" spans="1:6" x14ac:dyDescent="0.3">
      <c r="A4842" s="24">
        <v>39720</v>
      </c>
      <c r="B4842" s="66">
        <v>718.97</v>
      </c>
      <c r="C4842" s="67"/>
      <c r="D4842" s="68">
        <v>0</v>
      </c>
      <c r="E4842" s="110">
        <f t="shared" si="76"/>
        <v>37193</v>
      </c>
      <c r="F4842" s="69">
        <v>1.3853829214503991E-2</v>
      </c>
    </row>
    <row r="4843" spans="1:6" x14ac:dyDescent="0.3">
      <c r="A4843" s="24">
        <v>39721</v>
      </c>
      <c r="B4843" s="66">
        <v>760.30100000000004</v>
      </c>
      <c r="C4843" s="67"/>
      <c r="D4843" s="68">
        <v>0</v>
      </c>
      <c r="E4843" s="110">
        <f t="shared" si="76"/>
        <v>37193</v>
      </c>
      <c r="F4843" s="69">
        <v>1.3853829214503991E-2</v>
      </c>
    </row>
    <row r="4844" spans="1:6" x14ac:dyDescent="0.3">
      <c r="A4844" s="24">
        <v>39722</v>
      </c>
      <c r="B4844" s="66">
        <v>760.30100000000004</v>
      </c>
      <c r="C4844" s="67"/>
      <c r="D4844" s="68">
        <v>0</v>
      </c>
      <c r="E4844" s="110">
        <f t="shared" si="76"/>
        <v>37193</v>
      </c>
      <c r="F4844" s="69">
        <v>1.3853829214503991E-2</v>
      </c>
    </row>
    <row r="4845" spans="1:6" x14ac:dyDescent="0.3">
      <c r="A4845" s="24">
        <v>39723</v>
      </c>
      <c r="B4845" s="66">
        <v>760.30100000000004</v>
      </c>
      <c r="C4845" s="67"/>
      <c r="D4845" s="68">
        <v>0</v>
      </c>
      <c r="E4845" s="110">
        <f t="shared" si="76"/>
        <v>37193</v>
      </c>
      <c r="F4845" s="69">
        <v>1.3853829214503991E-2</v>
      </c>
    </row>
    <row r="4846" spans="1:6" x14ac:dyDescent="0.3">
      <c r="A4846" s="24">
        <v>39724</v>
      </c>
      <c r="B4846" s="66">
        <v>760.30100000000004</v>
      </c>
      <c r="C4846" s="67"/>
      <c r="D4846" s="68">
        <v>0</v>
      </c>
      <c r="E4846" s="110">
        <f t="shared" si="76"/>
        <v>37193</v>
      </c>
      <c r="F4846" s="69">
        <v>1.3853829214503991E-2</v>
      </c>
    </row>
    <row r="4847" spans="1:6" x14ac:dyDescent="0.3">
      <c r="A4847" s="24">
        <v>39725</v>
      </c>
      <c r="B4847" s="66">
        <v>760.30100000000004</v>
      </c>
      <c r="C4847" s="67"/>
      <c r="D4847" s="68">
        <v>0</v>
      </c>
      <c r="E4847" s="110">
        <f t="shared" si="76"/>
        <v>37193</v>
      </c>
      <c r="F4847" s="69">
        <v>1.3853829214503991E-2</v>
      </c>
    </row>
    <row r="4848" spans="1:6" x14ac:dyDescent="0.3">
      <c r="A4848" s="24">
        <v>39726</v>
      </c>
      <c r="B4848" s="66">
        <v>760.30100000000004</v>
      </c>
      <c r="C4848" s="67"/>
      <c r="D4848" s="68">
        <v>0</v>
      </c>
      <c r="E4848" s="110">
        <f t="shared" si="76"/>
        <v>37193</v>
      </c>
      <c r="F4848" s="69">
        <v>1.3853829214503991E-2</v>
      </c>
    </row>
    <row r="4849" spans="1:6" x14ac:dyDescent="0.3">
      <c r="A4849" s="24">
        <v>39727</v>
      </c>
      <c r="B4849" s="66">
        <v>760.30100000000004</v>
      </c>
      <c r="C4849" s="67"/>
      <c r="D4849" s="68">
        <v>0</v>
      </c>
      <c r="E4849" s="110">
        <f t="shared" si="76"/>
        <v>37193</v>
      </c>
      <c r="F4849" s="69">
        <v>1.3853829214503991E-2</v>
      </c>
    </row>
    <row r="4850" spans="1:6" x14ac:dyDescent="0.3">
      <c r="A4850" s="24">
        <v>39728</v>
      </c>
      <c r="B4850" s="66">
        <v>760.30100000000004</v>
      </c>
      <c r="C4850" s="67"/>
      <c r="D4850" s="68">
        <v>0</v>
      </c>
      <c r="E4850" s="110">
        <f t="shared" si="76"/>
        <v>37193</v>
      </c>
      <c r="F4850" s="69">
        <v>1.3853829214503991E-2</v>
      </c>
    </row>
    <row r="4851" spans="1:6" x14ac:dyDescent="0.3">
      <c r="A4851" s="24">
        <v>39729</v>
      </c>
      <c r="B4851" s="66">
        <v>760.30100000000004</v>
      </c>
      <c r="C4851" s="67"/>
      <c r="D4851" s="68">
        <v>0</v>
      </c>
      <c r="E4851" s="110">
        <f t="shared" si="76"/>
        <v>37193</v>
      </c>
      <c r="F4851" s="69">
        <v>1.3853829214503991E-2</v>
      </c>
    </row>
    <row r="4852" spans="1:6" x14ac:dyDescent="0.3">
      <c r="A4852" s="24">
        <v>39730</v>
      </c>
      <c r="B4852" s="66">
        <v>760.30100000000004</v>
      </c>
      <c r="C4852" s="67"/>
      <c r="D4852" s="68">
        <v>0</v>
      </c>
      <c r="E4852" s="110">
        <f t="shared" si="76"/>
        <v>37193</v>
      </c>
      <c r="F4852" s="69">
        <v>1.3853829214503991E-2</v>
      </c>
    </row>
    <row r="4853" spans="1:6" x14ac:dyDescent="0.3">
      <c r="A4853" s="24">
        <v>39731</v>
      </c>
      <c r="B4853" s="66">
        <v>760.30100000000004</v>
      </c>
      <c r="C4853" s="67"/>
      <c r="D4853" s="68">
        <v>0</v>
      </c>
      <c r="E4853" s="110">
        <f t="shared" si="76"/>
        <v>37193</v>
      </c>
      <c r="F4853" s="69">
        <v>1.3853829214503991E-2</v>
      </c>
    </row>
    <row r="4854" spans="1:6" x14ac:dyDescent="0.3">
      <c r="A4854" s="24">
        <v>39732</v>
      </c>
      <c r="B4854" s="66">
        <v>760.30100000000004</v>
      </c>
      <c r="C4854" s="67"/>
      <c r="D4854" s="68">
        <v>0</v>
      </c>
      <c r="E4854" s="110">
        <f t="shared" si="76"/>
        <v>37193</v>
      </c>
      <c r="F4854" s="69">
        <v>1.3853829214503991E-2</v>
      </c>
    </row>
    <row r="4855" spans="1:6" x14ac:dyDescent="0.3">
      <c r="A4855" s="24">
        <v>39733</v>
      </c>
      <c r="B4855" s="66">
        <v>760.30100000000004</v>
      </c>
      <c r="C4855" s="67"/>
      <c r="D4855" s="68">
        <v>0</v>
      </c>
      <c r="E4855" s="110">
        <f t="shared" si="76"/>
        <v>37193</v>
      </c>
      <c r="F4855" s="69">
        <v>1.3853829214503991E-2</v>
      </c>
    </row>
    <row r="4856" spans="1:6" x14ac:dyDescent="0.3">
      <c r="A4856" s="24">
        <v>39734</v>
      </c>
      <c r="B4856" s="66">
        <v>760.30100000000004</v>
      </c>
      <c r="C4856" s="67"/>
      <c r="D4856" s="68">
        <v>0</v>
      </c>
      <c r="E4856" s="110">
        <f t="shared" si="76"/>
        <v>37193</v>
      </c>
      <c r="F4856" s="69">
        <v>1.3853829214503991E-2</v>
      </c>
    </row>
    <row r="4857" spans="1:6" x14ac:dyDescent="0.3">
      <c r="A4857" s="24">
        <v>39735</v>
      </c>
      <c r="B4857" s="66">
        <v>760.30100000000004</v>
      </c>
      <c r="C4857" s="67"/>
      <c r="D4857" s="68">
        <v>0</v>
      </c>
      <c r="E4857" s="110">
        <f t="shared" si="76"/>
        <v>37193</v>
      </c>
      <c r="F4857" s="69">
        <v>1.3853829214503991E-2</v>
      </c>
    </row>
    <row r="4858" spans="1:6" x14ac:dyDescent="0.3">
      <c r="A4858" s="24">
        <v>39736</v>
      </c>
      <c r="B4858" s="66">
        <v>760.30100000000004</v>
      </c>
      <c r="C4858" s="67"/>
      <c r="D4858" s="68">
        <v>0</v>
      </c>
      <c r="E4858" s="110">
        <f t="shared" si="76"/>
        <v>37193</v>
      </c>
      <c r="F4858" s="69">
        <v>1.3853829214503991E-2</v>
      </c>
    </row>
    <row r="4859" spans="1:6" x14ac:dyDescent="0.3">
      <c r="A4859" s="24">
        <v>39737</v>
      </c>
      <c r="B4859" s="66">
        <v>760.30100000000004</v>
      </c>
      <c r="C4859" s="67"/>
      <c r="D4859" s="68">
        <v>0</v>
      </c>
      <c r="E4859" s="110">
        <f t="shared" si="76"/>
        <v>37193</v>
      </c>
      <c r="F4859" s="69">
        <v>1.3853829214503991E-2</v>
      </c>
    </row>
    <row r="4860" spans="1:6" x14ac:dyDescent="0.3">
      <c r="A4860" s="24">
        <v>39738</v>
      </c>
      <c r="B4860" s="66">
        <v>760.30100000000004</v>
      </c>
      <c r="C4860" s="67"/>
      <c r="D4860" s="68">
        <v>0</v>
      </c>
      <c r="E4860" s="110">
        <f t="shared" si="76"/>
        <v>37193</v>
      </c>
      <c r="F4860" s="69">
        <v>1.3853829214503991E-2</v>
      </c>
    </row>
    <row r="4861" spans="1:6" x14ac:dyDescent="0.3">
      <c r="A4861" s="24">
        <v>39739</v>
      </c>
      <c r="B4861" s="66">
        <v>760.30100000000004</v>
      </c>
      <c r="C4861" s="67"/>
      <c r="D4861" s="68">
        <v>0</v>
      </c>
      <c r="E4861" s="110">
        <f t="shared" si="76"/>
        <v>37193</v>
      </c>
      <c r="F4861" s="69">
        <v>1.3853829214503991E-2</v>
      </c>
    </row>
    <row r="4862" spans="1:6" x14ac:dyDescent="0.3">
      <c r="A4862" s="24">
        <v>39740</v>
      </c>
      <c r="B4862" s="66">
        <v>760.30100000000004</v>
      </c>
      <c r="C4862" s="67"/>
      <c r="D4862" s="68">
        <v>0</v>
      </c>
      <c r="E4862" s="110">
        <f t="shared" si="76"/>
        <v>37193</v>
      </c>
      <c r="F4862" s="69">
        <v>1.3853829214503991E-2</v>
      </c>
    </row>
    <row r="4863" spans="1:6" x14ac:dyDescent="0.3">
      <c r="A4863" s="24">
        <v>39741</v>
      </c>
      <c r="B4863" s="66">
        <v>760.30100000000004</v>
      </c>
      <c r="C4863" s="67"/>
      <c r="D4863" s="68">
        <v>0</v>
      </c>
      <c r="E4863" s="110">
        <f t="shared" si="76"/>
        <v>37193</v>
      </c>
      <c r="F4863" s="69">
        <v>1.3853829214503991E-2</v>
      </c>
    </row>
    <row r="4864" spans="1:6" x14ac:dyDescent="0.3">
      <c r="A4864" s="24">
        <v>39742</v>
      </c>
      <c r="B4864" s="66">
        <v>760.30100000000004</v>
      </c>
      <c r="C4864" s="67"/>
      <c r="D4864" s="68">
        <v>0</v>
      </c>
      <c r="E4864" s="110">
        <f t="shared" si="76"/>
        <v>37193</v>
      </c>
      <c r="F4864" s="69">
        <v>1.3853829214503991E-2</v>
      </c>
    </row>
    <row r="4865" spans="1:6" x14ac:dyDescent="0.3">
      <c r="A4865" s="24">
        <v>39743</v>
      </c>
      <c r="B4865" s="66">
        <v>760.30100000000004</v>
      </c>
      <c r="C4865" s="67"/>
      <c r="D4865" s="68">
        <v>0</v>
      </c>
      <c r="E4865" s="110">
        <f t="shared" si="76"/>
        <v>37193</v>
      </c>
      <c r="F4865" s="69">
        <v>1.3853829214503991E-2</v>
      </c>
    </row>
    <row r="4866" spans="1:6" x14ac:dyDescent="0.3">
      <c r="A4866" s="24">
        <v>39744</v>
      </c>
      <c r="B4866" s="66">
        <v>760.30100000000004</v>
      </c>
      <c r="C4866" s="67"/>
      <c r="D4866" s="68">
        <v>0</v>
      </c>
      <c r="E4866" s="110">
        <f t="shared" si="76"/>
        <v>37193</v>
      </c>
      <c r="F4866" s="69">
        <v>1.3853829214503991E-2</v>
      </c>
    </row>
    <row r="4867" spans="1:6" x14ac:dyDescent="0.3">
      <c r="A4867" s="24">
        <v>39745</v>
      </c>
      <c r="B4867" s="66">
        <v>760.30100000000004</v>
      </c>
      <c r="C4867" s="67"/>
      <c r="D4867" s="68">
        <v>0</v>
      </c>
      <c r="E4867" s="110">
        <f t="shared" si="76"/>
        <v>37193</v>
      </c>
      <c r="F4867" s="69">
        <v>1.3853829214503991E-2</v>
      </c>
    </row>
    <row r="4868" spans="1:6" x14ac:dyDescent="0.3">
      <c r="A4868" s="24">
        <v>39746</v>
      </c>
      <c r="B4868" s="66">
        <v>760.30100000000004</v>
      </c>
      <c r="C4868" s="67"/>
      <c r="D4868" s="68">
        <v>0</v>
      </c>
      <c r="E4868" s="110">
        <f t="shared" si="76"/>
        <v>37193</v>
      </c>
      <c r="F4868" s="69">
        <v>1.3853829214503991E-2</v>
      </c>
    </row>
    <row r="4869" spans="1:6" x14ac:dyDescent="0.3">
      <c r="A4869" s="24">
        <v>39747</v>
      </c>
      <c r="B4869" s="66">
        <v>760.30100000000004</v>
      </c>
      <c r="C4869" s="67"/>
      <c r="D4869" s="68">
        <v>0</v>
      </c>
      <c r="E4869" s="110">
        <f t="shared" si="76"/>
        <v>37193</v>
      </c>
      <c r="F4869" s="69">
        <v>1.3853829214503991E-2</v>
      </c>
    </row>
    <row r="4870" spans="1:6" x14ac:dyDescent="0.3">
      <c r="A4870" s="24">
        <v>39748</v>
      </c>
      <c r="B4870" s="66">
        <v>760.30100000000004</v>
      </c>
      <c r="C4870" s="67"/>
      <c r="D4870" s="68">
        <v>0</v>
      </c>
      <c r="E4870" s="110">
        <f t="shared" si="76"/>
        <v>37193</v>
      </c>
      <c r="F4870" s="69">
        <v>1.3853829214503991E-2</v>
      </c>
    </row>
    <row r="4871" spans="1:6" x14ac:dyDescent="0.3">
      <c r="A4871" s="24">
        <v>39749</v>
      </c>
      <c r="B4871" s="66">
        <v>760.30100000000004</v>
      </c>
      <c r="C4871" s="67"/>
      <c r="D4871" s="68">
        <v>0</v>
      </c>
      <c r="E4871" s="110">
        <f t="shared" si="76"/>
        <v>37193</v>
      </c>
      <c r="F4871" s="69">
        <v>1.3853829214503991E-2</v>
      </c>
    </row>
    <row r="4872" spans="1:6" x14ac:dyDescent="0.3">
      <c r="A4872" s="24">
        <v>39750</v>
      </c>
      <c r="B4872" s="66">
        <v>760.30100000000004</v>
      </c>
      <c r="C4872" s="67"/>
      <c r="D4872" s="68">
        <v>0</v>
      </c>
      <c r="E4872" s="110">
        <f t="shared" si="76"/>
        <v>37193</v>
      </c>
      <c r="F4872" s="69">
        <v>1.3853829214503991E-2</v>
      </c>
    </row>
    <row r="4873" spans="1:6" x14ac:dyDescent="0.3">
      <c r="A4873" s="24">
        <v>39751</v>
      </c>
      <c r="B4873" s="66">
        <v>760.30100000000004</v>
      </c>
      <c r="C4873" s="67"/>
      <c r="D4873" s="68">
        <v>0</v>
      </c>
      <c r="E4873" s="110">
        <f t="shared" si="76"/>
        <v>37193</v>
      </c>
      <c r="F4873" s="69">
        <v>1.3853829214503991E-2</v>
      </c>
    </row>
    <row r="4874" spans="1:6" x14ac:dyDescent="0.3">
      <c r="A4874" s="24">
        <v>39752</v>
      </c>
      <c r="B4874" s="66">
        <v>760.30100000000004</v>
      </c>
      <c r="C4874" s="67"/>
      <c r="D4874" s="68">
        <v>0</v>
      </c>
      <c r="E4874" s="110">
        <f t="shared" si="76"/>
        <v>37193</v>
      </c>
      <c r="F4874" s="69">
        <v>1.3853829214503991E-2</v>
      </c>
    </row>
    <row r="4875" spans="1:6" x14ac:dyDescent="0.3">
      <c r="A4875" s="24">
        <v>39753</v>
      </c>
      <c r="B4875" s="66">
        <v>760.30100000000004</v>
      </c>
      <c r="C4875" s="67"/>
      <c r="D4875" s="68">
        <v>0</v>
      </c>
      <c r="E4875" s="110">
        <f t="shared" si="76"/>
        <v>37193</v>
      </c>
      <c r="F4875" s="69">
        <v>1.3853829214503991E-2</v>
      </c>
    </row>
    <row r="4876" spans="1:6" x14ac:dyDescent="0.3">
      <c r="A4876" s="24">
        <v>39754</v>
      </c>
      <c r="B4876" s="66">
        <v>760.30100000000004</v>
      </c>
      <c r="C4876" s="67"/>
      <c r="D4876" s="68">
        <v>0</v>
      </c>
      <c r="E4876" s="110">
        <f t="shared" si="76"/>
        <v>37193</v>
      </c>
      <c r="F4876" s="69">
        <v>1.3853829214503991E-2</v>
      </c>
    </row>
    <row r="4877" spans="1:6" x14ac:dyDescent="0.3">
      <c r="A4877" s="24">
        <v>39755</v>
      </c>
      <c r="B4877" s="66">
        <v>760.30100000000004</v>
      </c>
      <c r="C4877" s="67"/>
      <c r="D4877" s="68">
        <v>0</v>
      </c>
      <c r="E4877" s="110">
        <f t="shared" si="76"/>
        <v>37193</v>
      </c>
      <c r="F4877" s="69">
        <v>1.3853829214503991E-2</v>
      </c>
    </row>
    <row r="4878" spans="1:6" x14ac:dyDescent="0.3">
      <c r="A4878" s="24">
        <v>39756</v>
      </c>
      <c r="B4878" s="66">
        <v>760.30100000000004</v>
      </c>
      <c r="C4878" s="67"/>
      <c r="D4878" s="68">
        <v>0</v>
      </c>
      <c r="E4878" s="110">
        <f t="shared" si="76"/>
        <v>37193</v>
      </c>
      <c r="F4878" s="69">
        <v>1.3853829214503991E-2</v>
      </c>
    </row>
    <row r="4879" spans="1:6" x14ac:dyDescent="0.3">
      <c r="A4879" s="24">
        <v>39757</v>
      </c>
      <c r="B4879" s="66">
        <v>760.30100000000004</v>
      </c>
      <c r="C4879" s="67"/>
      <c r="D4879" s="68">
        <v>0</v>
      </c>
      <c r="E4879" s="110">
        <f t="shared" si="76"/>
        <v>37193</v>
      </c>
      <c r="F4879" s="69">
        <v>1.3853829214503991E-2</v>
      </c>
    </row>
    <row r="4880" spans="1:6" x14ac:dyDescent="0.3">
      <c r="A4880" s="24">
        <v>39758</v>
      </c>
      <c r="B4880" s="66">
        <v>760.30100000000004</v>
      </c>
      <c r="C4880" s="67"/>
      <c r="D4880" s="68">
        <v>0</v>
      </c>
      <c r="E4880" s="110">
        <f t="shared" si="76"/>
        <v>37193</v>
      </c>
      <c r="F4880" s="69">
        <v>1.3853829214503991E-2</v>
      </c>
    </row>
    <row r="4881" spans="1:6" x14ac:dyDescent="0.3">
      <c r="A4881" s="24">
        <v>39759</v>
      </c>
      <c r="B4881" s="66">
        <v>760.30100000000004</v>
      </c>
      <c r="C4881" s="67"/>
      <c r="D4881" s="68">
        <v>0</v>
      </c>
      <c r="E4881" s="110">
        <f t="shared" si="76"/>
        <v>37193</v>
      </c>
      <c r="F4881" s="69">
        <v>1.3853829214503991E-2</v>
      </c>
    </row>
    <row r="4882" spans="1:6" x14ac:dyDescent="0.3">
      <c r="A4882" s="24">
        <v>39760</v>
      </c>
      <c r="B4882" s="66">
        <v>760.30100000000004</v>
      </c>
      <c r="C4882" s="67"/>
      <c r="D4882" s="68">
        <v>0</v>
      </c>
      <c r="E4882" s="110">
        <f t="shared" ref="E4882:E4945" si="77">+E4881</f>
        <v>37193</v>
      </c>
      <c r="F4882" s="69">
        <v>1.3853829214503991E-2</v>
      </c>
    </row>
    <row r="4883" spans="1:6" x14ac:dyDescent="0.3">
      <c r="A4883" s="24">
        <v>39761</v>
      </c>
      <c r="B4883" s="66">
        <v>760.30100000000004</v>
      </c>
      <c r="C4883" s="67"/>
      <c r="D4883" s="68">
        <v>0</v>
      </c>
      <c r="E4883" s="110">
        <f t="shared" si="77"/>
        <v>37193</v>
      </c>
      <c r="F4883" s="69">
        <v>1.3853829214503991E-2</v>
      </c>
    </row>
    <row r="4884" spans="1:6" x14ac:dyDescent="0.3">
      <c r="A4884" s="24">
        <v>39762</v>
      </c>
      <c r="B4884" s="66">
        <v>760.30100000000004</v>
      </c>
      <c r="C4884" s="67"/>
      <c r="D4884" s="68">
        <v>0</v>
      </c>
      <c r="E4884" s="110">
        <f t="shared" si="77"/>
        <v>37193</v>
      </c>
      <c r="F4884" s="69">
        <v>1.3853829214503991E-2</v>
      </c>
    </row>
    <row r="4885" spans="1:6" x14ac:dyDescent="0.3">
      <c r="A4885" s="24">
        <v>39763</v>
      </c>
      <c r="B4885" s="66">
        <v>760.30100000000004</v>
      </c>
      <c r="C4885" s="67"/>
      <c r="D4885" s="68">
        <v>0</v>
      </c>
      <c r="E4885" s="110">
        <f t="shared" si="77"/>
        <v>37193</v>
      </c>
      <c r="F4885" s="69">
        <v>1.3853829214503991E-2</v>
      </c>
    </row>
    <row r="4886" spans="1:6" x14ac:dyDescent="0.3">
      <c r="A4886" s="24">
        <v>39764</v>
      </c>
      <c r="B4886" s="66">
        <v>760.30100000000004</v>
      </c>
      <c r="C4886" s="67"/>
      <c r="D4886" s="68">
        <v>0</v>
      </c>
      <c r="E4886" s="110">
        <f t="shared" si="77"/>
        <v>37193</v>
      </c>
      <c r="F4886" s="69">
        <v>1.3853829214503991E-2</v>
      </c>
    </row>
    <row r="4887" spans="1:6" x14ac:dyDescent="0.3">
      <c r="A4887" s="24">
        <v>39765</v>
      </c>
      <c r="B4887" s="66">
        <v>760.30100000000004</v>
      </c>
      <c r="C4887" s="67"/>
      <c r="D4887" s="68">
        <v>0</v>
      </c>
      <c r="E4887" s="110">
        <f t="shared" si="77"/>
        <v>37193</v>
      </c>
      <c r="F4887" s="69">
        <v>1.3853829214503991E-2</v>
      </c>
    </row>
    <row r="4888" spans="1:6" x14ac:dyDescent="0.3">
      <c r="A4888" s="24">
        <v>39766</v>
      </c>
      <c r="B4888" s="66">
        <v>760.30100000000004</v>
      </c>
      <c r="C4888" s="67"/>
      <c r="D4888" s="68">
        <v>0</v>
      </c>
      <c r="E4888" s="110">
        <f t="shared" si="77"/>
        <v>37193</v>
      </c>
      <c r="F4888" s="69">
        <v>1.3853829214503991E-2</v>
      </c>
    </row>
    <row r="4889" spans="1:6" x14ac:dyDescent="0.3">
      <c r="A4889" s="24">
        <v>39767</v>
      </c>
      <c r="B4889" s="66">
        <v>760.30100000000004</v>
      </c>
      <c r="C4889" s="67"/>
      <c r="D4889" s="68">
        <v>0</v>
      </c>
      <c r="E4889" s="110">
        <f t="shared" si="77"/>
        <v>37193</v>
      </c>
      <c r="F4889" s="69">
        <v>1.3853829214503991E-2</v>
      </c>
    </row>
    <row r="4890" spans="1:6" x14ac:dyDescent="0.3">
      <c r="A4890" s="24">
        <v>39768</v>
      </c>
      <c r="B4890" s="66">
        <v>760.30100000000004</v>
      </c>
      <c r="C4890" s="67"/>
      <c r="D4890" s="68">
        <v>0</v>
      </c>
      <c r="E4890" s="110">
        <f t="shared" si="77"/>
        <v>37193</v>
      </c>
      <c r="F4890" s="69">
        <v>1.3853829214503991E-2</v>
      </c>
    </row>
    <row r="4891" spans="1:6" x14ac:dyDescent="0.3">
      <c r="A4891" s="24">
        <v>39769</v>
      </c>
      <c r="B4891" s="66">
        <v>760.30100000000004</v>
      </c>
      <c r="C4891" s="67"/>
      <c r="D4891" s="68">
        <v>0</v>
      </c>
      <c r="E4891" s="110">
        <f t="shared" si="77"/>
        <v>37193</v>
      </c>
      <c r="F4891" s="69">
        <v>1.3853829214503991E-2</v>
      </c>
    </row>
    <row r="4892" spans="1:6" x14ac:dyDescent="0.3">
      <c r="A4892" s="24">
        <v>39770</v>
      </c>
      <c r="B4892" s="66">
        <v>760.30100000000004</v>
      </c>
      <c r="C4892" s="67"/>
      <c r="D4892" s="68">
        <v>0</v>
      </c>
      <c r="E4892" s="110">
        <f t="shared" si="77"/>
        <v>37193</v>
      </c>
      <c r="F4892" s="69">
        <v>1.3853829214503991E-2</v>
      </c>
    </row>
    <row r="4893" spans="1:6" x14ac:dyDescent="0.3">
      <c r="A4893" s="24">
        <v>39771</v>
      </c>
      <c r="B4893" s="66">
        <v>760.30100000000004</v>
      </c>
      <c r="C4893" s="67"/>
      <c r="D4893" s="68">
        <v>0</v>
      </c>
      <c r="E4893" s="110">
        <f t="shared" si="77"/>
        <v>37193</v>
      </c>
      <c r="F4893" s="69">
        <v>1.3853829214503991E-2</v>
      </c>
    </row>
    <row r="4894" spans="1:6" x14ac:dyDescent="0.3">
      <c r="A4894" s="24">
        <v>39772</v>
      </c>
      <c r="B4894" s="66">
        <v>760.30100000000004</v>
      </c>
      <c r="C4894" s="67"/>
      <c r="D4894" s="68">
        <v>0</v>
      </c>
      <c r="E4894" s="110">
        <f t="shared" si="77"/>
        <v>37193</v>
      </c>
      <c r="F4894" s="69">
        <v>1.3853829214503991E-2</v>
      </c>
    </row>
    <row r="4895" spans="1:6" x14ac:dyDescent="0.3">
      <c r="A4895" s="24">
        <v>39773</v>
      </c>
      <c r="B4895" s="66">
        <v>760.30100000000004</v>
      </c>
      <c r="C4895" s="67"/>
      <c r="D4895" s="68">
        <v>0</v>
      </c>
      <c r="E4895" s="110">
        <f t="shared" si="77"/>
        <v>37193</v>
      </c>
      <c r="F4895" s="69">
        <v>1.3853829214503991E-2</v>
      </c>
    </row>
    <row r="4896" spans="1:6" x14ac:dyDescent="0.3">
      <c r="A4896" s="24">
        <v>39774</v>
      </c>
      <c r="B4896" s="66">
        <v>760.30100000000004</v>
      </c>
      <c r="C4896" s="67"/>
      <c r="D4896" s="68">
        <v>0</v>
      </c>
      <c r="E4896" s="110">
        <f t="shared" si="77"/>
        <v>37193</v>
      </c>
      <c r="F4896" s="69">
        <v>1.3853829214503991E-2</v>
      </c>
    </row>
    <row r="4897" spans="1:6" x14ac:dyDescent="0.3">
      <c r="A4897" s="24">
        <v>39775</v>
      </c>
      <c r="B4897" s="66">
        <v>760.30100000000004</v>
      </c>
      <c r="C4897" s="67"/>
      <c r="D4897" s="68">
        <v>0</v>
      </c>
      <c r="E4897" s="110">
        <f t="shared" si="77"/>
        <v>37193</v>
      </c>
      <c r="F4897" s="69">
        <v>1.3853829214503991E-2</v>
      </c>
    </row>
    <row r="4898" spans="1:6" x14ac:dyDescent="0.3">
      <c r="A4898" s="24">
        <v>39776</v>
      </c>
      <c r="B4898" s="66">
        <v>760.30100000000004</v>
      </c>
      <c r="C4898" s="67"/>
      <c r="D4898" s="68">
        <v>0</v>
      </c>
      <c r="E4898" s="110">
        <f t="shared" si="77"/>
        <v>37193</v>
      </c>
      <c r="F4898" s="69">
        <v>1.3853829214503991E-2</v>
      </c>
    </row>
    <row r="4899" spans="1:6" x14ac:dyDescent="0.3">
      <c r="A4899" s="24">
        <v>39777</v>
      </c>
      <c r="B4899" s="66">
        <v>760.30100000000004</v>
      </c>
      <c r="C4899" s="67"/>
      <c r="D4899" s="68">
        <v>0</v>
      </c>
      <c r="E4899" s="110">
        <f t="shared" si="77"/>
        <v>37193</v>
      </c>
      <c r="F4899" s="69">
        <v>1.3853829214503991E-2</v>
      </c>
    </row>
    <row r="4900" spans="1:6" x14ac:dyDescent="0.3">
      <c r="A4900" s="24">
        <v>39778</v>
      </c>
      <c r="B4900" s="66">
        <v>760.30100000000004</v>
      </c>
      <c r="C4900" s="67"/>
      <c r="D4900" s="68">
        <v>0</v>
      </c>
      <c r="E4900" s="110">
        <f t="shared" si="77"/>
        <v>37193</v>
      </c>
      <c r="F4900" s="69">
        <v>1.3853829214503991E-2</v>
      </c>
    </row>
    <row r="4901" spans="1:6" x14ac:dyDescent="0.3">
      <c r="A4901" s="24">
        <v>39779</v>
      </c>
      <c r="B4901" s="66">
        <v>760.30100000000004</v>
      </c>
      <c r="C4901" s="67"/>
      <c r="D4901" s="68">
        <v>0</v>
      </c>
      <c r="E4901" s="110">
        <f t="shared" si="77"/>
        <v>37193</v>
      </c>
      <c r="F4901" s="69">
        <v>1.3853829214503991E-2</v>
      </c>
    </row>
    <row r="4902" spans="1:6" x14ac:dyDescent="0.3">
      <c r="A4902" s="24">
        <v>39780</v>
      </c>
      <c r="B4902" s="66">
        <v>760.30100000000004</v>
      </c>
      <c r="C4902" s="67"/>
      <c r="D4902" s="68">
        <v>0</v>
      </c>
      <c r="E4902" s="110">
        <f t="shared" si="77"/>
        <v>37193</v>
      </c>
      <c r="F4902" s="69">
        <v>1.3853829214503991E-2</v>
      </c>
    </row>
    <row r="4903" spans="1:6" x14ac:dyDescent="0.3">
      <c r="A4903" s="24">
        <v>39781</v>
      </c>
      <c r="B4903" s="66">
        <v>760.30100000000004</v>
      </c>
      <c r="C4903" s="67"/>
      <c r="D4903" s="68">
        <v>0</v>
      </c>
      <c r="E4903" s="110">
        <f t="shared" si="77"/>
        <v>37193</v>
      </c>
      <c r="F4903" s="69">
        <v>1.3853829214503991E-2</v>
      </c>
    </row>
    <row r="4904" spans="1:6" x14ac:dyDescent="0.3">
      <c r="A4904" s="24">
        <v>39782</v>
      </c>
      <c r="B4904" s="66">
        <v>760.30100000000004</v>
      </c>
      <c r="C4904" s="67"/>
      <c r="D4904" s="68">
        <v>0</v>
      </c>
      <c r="E4904" s="110">
        <f t="shared" si="77"/>
        <v>37193</v>
      </c>
      <c r="F4904" s="69">
        <v>1.3853829214503991E-2</v>
      </c>
    </row>
    <row r="4905" spans="1:6" x14ac:dyDescent="0.3">
      <c r="A4905" s="24">
        <v>39783</v>
      </c>
      <c r="B4905" s="66">
        <v>760.30100000000004</v>
      </c>
      <c r="C4905" s="67"/>
      <c r="D4905" s="68">
        <v>0</v>
      </c>
      <c r="E4905" s="110">
        <f t="shared" si="77"/>
        <v>37193</v>
      </c>
      <c r="F4905" s="69">
        <v>1.3853829214503991E-2</v>
      </c>
    </row>
    <row r="4906" spans="1:6" x14ac:dyDescent="0.3">
      <c r="A4906" s="24">
        <v>39784</v>
      </c>
      <c r="B4906" s="66">
        <v>760.30100000000004</v>
      </c>
      <c r="C4906" s="67"/>
      <c r="D4906" s="68">
        <v>0</v>
      </c>
      <c r="E4906" s="110">
        <f t="shared" si="77"/>
        <v>37193</v>
      </c>
      <c r="F4906" s="69">
        <v>1.3853829214503991E-2</v>
      </c>
    </row>
    <row r="4907" spans="1:6" x14ac:dyDescent="0.3">
      <c r="A4907" s="24">
        <v>39785</v>
      </c>
      <c r="B4907" s="66">
        <v>760.30100000000004</v>
      </c>
      <c r="C4907" s="67"/>
      <c r="D4907" s="68">
        <v>0</v>
      </c>
      <c r="E4907" s="110">
        <f t="shared" si="77"/>
        <v>37193</v>
      </c>
      <c r="F4907" s="69">
        <v>1.3853829214503991E-2</v>
      </c>
    </row>
    <row r="4908" spans="1:6" x14ac:dyDescent="0.3">
      <c r="A4908" s="24">
        <v>39786</v>
      </c>
      <c r="B4908" s="66">
        <v>760.30100000000004</v>
      </c>
      <c r="C4908" s="67"/>
      <c r="D4908" s="68">
        <v>0</v>
      </c>
      <c r="E4908" s="110">
        <f t="shared" si="77"/>
        <v>37193</v>
      </c>
      <c r="F4908" s="69">
        <v>1.3853829214503991E-2</v>
      </c>
    </row>
    <row r="4909" spans="1:6" x14ac:dyDescent="0.3">
      <c r="A4909" s="24">
        <v>39787</v>
      </c>
      <c r="B4909" s="66">
        <v>760.30100000000004</v>
      </c>
      <c r="C4909" s="67"/>
      <c r="D4909" s="68">
        <v>0</v>
      </c>
      <c r="E4909" s="110">
        <f t="shared" si="77"/>
        <v>37193</v>
      </c>
      <c r="F4909" s="69">
        <v>1.3853829214503991E-2</v>
      </c>
    </row>
    <row r="4910" spans="1:6" x14ac:dyDescent="0.3">
      <c r="A4910" s="24">
        <v>39788</v>
      </c>
      <c r="B4910" s="66">
        <v>760.30100000000004</v>
      </c>
      <c r="C4910" s="67"/>
      <c r="D4910" s="68">
        <v>0</v>
      </c>
      <c r="E4910" s="110">
        <f t="shared" si="77"/>
        <v>37193</v>
      </c>
      <c r="F4910" s="69">
        <v>1.3853829214503991E-2</v>
      </c>
    </row>
    <row r="4911" spans="1:6" x14ac:dyDescent="0.3">
      <c r="A4911" s="24">
        <v>39789</v>
      </c>
      <c r="B4911" s="66">
        <v>760.30100000000004</v>
      </c>
      <c r="C4911" s="67"/>
      <c r="D4911" s="68">
        <v>0</v>
      </c>
      <c r="E4911" s="110">
        <f t="shared" si="77"/>
        <v>37193</v>
      </c>
      <c r="F4911" s="69">
        <v>1.3853829214503991E-2</v>
      </c>
    </row>
    <row r="4912" spans="1:6" x14ac:dyDescent="0.3">
      <c r="A4912" s="24">
        <v>39790</v>
      </c>
      <c r="B4912" s="66">
        <v>760.30100000000004</v>
      </c>
      <c r="C4912" s="67"/>
      <c r="D4912" s="68">
        <v>0</v>
      </c>
      <c r="E4912" s="110">
        <f t="shared" si="77"/>
        <v>37193</v>
      </c>
      <c r="F4912" s="69">
        <v>1.3853829214503991E-2</v>
      </c>
    </row>
    <row r="4913" spans="1:6" x14ac:dyDescent="0.3">
      <c r="A4913" s="24">
        <v>39791</v>
      </c>
      <c r="B4913" s="66">
        <v>760.30100000000004</v>
      </c>
      <c r="C4913" s="67"/>
      <c r="D4913" s="68">
        <v>0</v>
      </c>
      <c r="E4913" s="110">
        <f t="shared" si="77"/>
        <v>37193</v>
      </c>
      <c r="F4913" s="69">
        <v>1.3853829214503991E-2</v>
      </c>
    </row>
    <row r="4914" spans="1:6" x14ac:dyDescent="0.3">
      <c r="A4914" s="24">
        <v>39792</v>
      </c>
      <c r="B4914" s="66">
        <v>760.30100000000004</v>
      </c>
      <c r="C4914" s="67"/>
      <c r="D4914" s="68">
        <v>0</v>
      </c>
      <c r="E4914" s="110">
        <f t="shared" si="77"/>
        <v>37193</v>
      </c>
      <c r="F4914" s="69">
        <v>1.3853829214503991E-2</v>
      </c>
    </row>
    <row r="4915" spans="1:6" x14ac:dyDescent="0.3">
      <c r="A4915" s="24">
        <v>39793</v>
      </c>
      <c r="B4915" s="66">
        <v>760.30100000000004</v>
      </c>
      <c r="C4915" s="67"/>
      <c r="D4915" s="68">
        <v>0</v>
      </c>
      <c r="E4915" s="110">
        <f t="shared" si="77"/>
        <v>37193</v>
      </c>
      <c r="F4915" s="69">
        <v>1.3853829214503991E-2</v>
      </c>
    </row>
    <row r="4916" spans="1:6" x14ac:dyDescent="0.3">
      <c r="A4916" s="24">
        <v>39794</v>
      </c>
      <c r="B4916" s="66">
        <v>760.30100000000004</v>
      </c>
      <c r="C4916" s="67"/>
      <c r="D4916" s="68">
        <v>0</v>
      </c>
      <c r="E4916" s="110">
        <f t="shared" si="77"/>
        <v>37193</v>
      </c>
      <c r="F4916" s="69">
        <v>1.3853829214503991E-2</v>
      </c>
    </row>
    <row r="4917" spans="1:6" x14ac:dyDescent="0.3">
      <c r="A4917" s="24">
        <v>39795</v>
      </c>
      <c r="B4917" s="66">
        <v>760.30100000000004</v>
      </c>
      <c r="C4917" s="67"/>
      <c r="D4917" s="68">
        <v>0</v>
      </c>
      <c r="E4917" s="110">
        <f t="shared" si="77"/>
        <v>37193</v>
      </c>
      <c r="F4917" s="69">
        <v>1.3853829214503991E-2</v>
      </c>
    </row>
    <row r="4918" spans="1:6" x14ac:dyDescent="0.3">
      <c r="A4918" s="24">
        <v>39796</v>
      </c>
      <c r="B4918" s="66">
        <v>760.30100000000004</v>
      </c>
      <c r="C4918" s="67"/>
      <c r="D4918" s="68">
        <v>0</v>
      </c>
      <c r="E4918" s="110">
        <f t="shared" si="77"/>
        <v>37193</v>
      </c>
      <c r="F4918" s="69">
        <v>1.3853829214503991E-2</v>
      </c>
    </row>
    <row r="4919" spans="1:6" x14ac:dyDescent="0.3">
      <c r="A4919" s="24">
        <v>39797</v>
      </c>
      <c r="B4919" s="66">
        <v>760.30100000000004</v>
      </c>
      <c r="C4919" s="67"/>
      <c r="D4919" s="68">
        <v>0</v>
      </c>
      <c r="E4919" s="110">
        <f t="shared" si="77"/>
        <v>37193</v>
      </c>
      <c r="F4919" s="69">
        <v>1.3853829214503991E-2</v>
      </c>
    </row>
    <row r="4920" spans="1:6" x14ac:dyDescent="0.3">
      <c r="A4920" s="24">
        <v>39798</v>
      </c>
      <c r="B4920" s="66">
        <v>760.30100000000004</v>
      </c>
      <c r="C4920" s="67"/>
      <c r="D4920" s="68">
        <v>0</v>
      </c>
      <c r="E4920" s="110">
        <f t="shared" si="77"/>
        <v>37193</v>
      </c>
      <c r="F4920" s="69">
        <v>1.3853829214503991E-2</v>
      </c>
    </row>
    <row r="4921" spans="1:6" x14ac:dyDescent="0.3">
      <c r="A4921" s="24">
        <v>39799</v>
      </c>
      <c r="B4921" s="66">
        <v>760.30100000000004</v>
      </c>
      <c r="C4921" s="67"/>
      <c r="D4921" s="68">
        <v>0</v>
      </c>
      <c r="E4921" s="110">
        <f t="shared" si="77"/>
        <v>37193</v>
      </c>
      <c r="F4921" s="69">
        <v>1.3853829214503991E-2</v>
      </c>
    </row>
    <row r="4922" spans="1:6" x14ac:dyDescent="0.3">
      <c r="A4922" s="24">
        <v>39800</v>
      </c>
      <c r="B4922" s="66">
        <v>760.30100000000004</v>
      </c>
      <c r="C4922" s="67"/>
      <c r="D4922" s="68">
        <v>0</v>
      </c>
      <c r="E4922" s="110">
        <f t="shared" si="77"/>
        <v>37193</v>
      </c>
      <c r="F4922" s="69">
        <v>1.3853829214503991E-2</v>
      </c>
    </row>
    <row r="4923" spans="1:6" x14ac:dyDescent="0.3">
      <c r="A4923" s="24">
        <v>39801</v>
      </c>
      <c r="B4923" s="66">
        <v>760.30100000000004</v>
      </c>
      <c r="C4923" s="67"/>
      <c r="D4923" s="68">
        <v>0</v>
      </c>
      <c r="E4923" s="110">
        <f t="shared" si="77"/>
        <v>37193</v>
      </c>
      <c r="F4923" s="69">
        <v>1.3853829214503991E-2</v>
      </c>
    </row>
    <row r="4924" spans="1:6" x14ac:dyDescent="0.3">
      <c r="A4924" s="24">
        <v>39802</v>
      </c>
      <c r="B4924" s="66">
        <v>760.30100000000004</v>
      </c>
      <c r="C4924" s="67"/>
      <c r="D4924" s="68">
        <v>0</v>
      </c>
      <c r="E4924" s="110">
        <f t="shared" si="77"/>
        <v>37193</v>
      </c>
      <c r="F4924" s="69">
        <v>1.3853829214503991E-2</v>
      </c>
    </row>
    <row r="4925" spans="1:6" x14ac:dyDescent="0.3">
      <c r="A4925" s="24">
        <v>39803</v>
      </c>
      <c r="B4925" s="66">
        <v>760.30100000000004</v>
      </c>
      <c r="C4925" s="67"/>
      <c r="D4925" s="68">
        <v>0</v>
      </c>
      <c r="E4925" s="110">
        <f t="shared" si="77"/>
        <v>37193</v>
      </c>
      <c r="F4925" s="69">
        <v>1.3853829214503991E-2</v>
      </c>
    </row>
    <row r="4926" spans="1:6" x14ac:dyDescent="0.3">
      <c r="A4926" s="24">
        <v>39804</v>
      </c>
      <c r="B4926" s="66">
        <v>760.30100000000004</v>
      </c>
      <c r="C4926" s="67"/>
      <c r="D4926" s="68">
        <v>0</v>
      </c>
      <c r="E4926" s="110">
        <f t="shared" si="77"/>
        <v>37193</v>
      </c>
      <c r="F4926" s="69">
        <v>1.3853829214503991E-2</v>
      </c>
    </row>
    <row r="4927" spans="1:6" x14ac:dyDescent="0.3">
      <c r="A4927" s="24">
        <v>39805</v>
      </c>
      <c r="B4927" s="66">
        <v>760.30100000000004</v>
      </c>
      <c r="C4927" s="67"/>
      <c r="D4927" s="68">
        <v>0</v>
      </c>
      <c r="E4927" s="110">
        <f t="shared" si="77"/>
        <v>37193</v>
      </c>
      <c r="F4927" s="69">
        <v>1.3853829214503991E-2</v>
      </c>
    </row>
    <row r="4928" spans="1:6" x14ac:dyDescent="0.3">
      <c r="A4928" s="24">
        <v>39806</v>
      </c>
      <c r="B4928" s="66">
        <v>760.30100000000004</v>
      </c>
      <c r="C4928" s="67"/>
      <c r="D4928" s="68">
        <v>0</v>
      </c>
      <c r="E4928" s="110">
        <f t="shared" si="77"/>
        <v>37193</v>
      </c>
      <c r="F4928" s="69">
        <v>1.3853829214503991E-2</v>
      </c>
    </row>
    <row r="4929" spans="1:6" x14ac:dyDescent="0.3">
      <c r="A4929" s="24">
        <v>39807</v>
      </c>
      <c r="B4929" s="66">
        <v>760.30100000000004</v>
      </c>
      <c r="C4929" s="67"/>
      <c r="D4929" s="68">
        <v>0</v>
      </c>
      <c r="E4929" s="110">
        <f t="shared" si="77"/>
        <v>37193</v>
      </c>
      <c r="F4929" s="69">
        <v>1.3853829214503991E-2</v>
      </c>
    </row>
    <row r="4930" spans="1:6" x14ac:dyDescent="0.3">
      <c r="A4930" s="24">
        <v>39808</v>
      </c>
      <c r="B4930" s="66">
        <v>760.30100000000004</v>
      </c>
      <c r="C4930" s="67"/>
      <c r="D4930" s="68">
        <v>0</v>
      </c>
      <c r="E4930" s="110">
        <f t="shared" si="77"/>
        <v>37193</v>
      </c>
      <c r="F4930" s="69">
        <v>1.3853829214503991E-2</v>
      </c>
    </row>
    <row r="4931" spans="1:6" x14ac:dyDescent="0.3">
      <c r="A4931" s="24">
        <v>39809</v>
      </c>
      <c r="B4931" s="66">
        <v>760.30100000000004</v>
      </c>
      <c r="C4931" s="67"/>
      <c r="D4931" s="68">
        <v>0</v>
      </c>
      <c r="E4931" s="110">
        <f t="shared" si="77"/>
        <v>37193</v>
      </c>
      <c r="F4931" s="69">
        <v>1.3853829214503991E-2</v>
      </c>
    </row>
    <row r="4932" spans="1:6" x14ac:dyDescent="0.3">
      <c r="A4932" s="24">
        <v>39810</v>
      </c>
      <c r="B4932" s="66">
        <v>760.30100000000004</v>
      </c>
      <c r="C4932" s="67"/>
      <c r="D4932" s="68">
        <v>0</v>
      </c>
      <c r="E4932" s="110">
        <f t="shared" si="77"/>
        <v>37193</v>
      </c>
      <c r="F4932" s="69">
        <v>1.3853829214503991E-2</v>
      </c>
    </row>
    <row r="4933" spans="1:6" x14ac:dyDescent="0.3">
      <c r="A4933" s="24">
        <v>39811</v>
      </c>
      <c r="B4933" s="66">
        <v>760.30100000000004</v>
      </c>
      <c r="C4933" s="67"/>
      <c r="D4933" s="68">
        <v>0</v>
      </c>
      <c r="E4933" s="110">
        <f t="shared" si="77"/>
        <v>37193</v>
      </c>
      <c r="F4933" s="69">
        <v>1.2695357189779351E-2</v>
      </c>
    </row>
    <row r="4934" spans="1:6" x14ac:dyDescent="0.3">
      <c r="A4934" s="24">
        <v>39812</v>
      </c>
      <c r="B4934" s="66">
        <v>760.30100000000004</v>
      </c>
      <c r="C4934" s="67"/>
      <c r="D4934" s="68">
        <v>0</v>
      </c>
      <c r="E4934" s="110">
        <f t="shared" si="77"/>
        <v>37193</v>
      </c>
      <c r="F4934" s="69">
        <v>1.2695357189779351E-2</v>
      </c>
    </row>
    <row r="4935" spans="1:6" x14ac:dyDescent="0.3">
      <c r="A4935" s="24">
        <v>39813</v>
      </c>
      <c r="B4935" s="66">
        <v>819.34400000000005</v>
      </c>
      <c r="C4935" s="67"/>
      <c r="D4935" s="68">
        <v>0</v>
      </c>
      <c r="E4935" s="110">
        <f t="shared" si="77"/>
        <v>37193</v>
      </c>
      <c r="F4935" s="69">
        <v>1.2695357189779351E-2</v>
      </c>
    </row>
    <row r="4936" spans="1:6" x14ac:dyDescent="0.3">
      <c r="A4936" s="24">
        <v>39814</v>
      </c>
      <c r="B4936" s="66">
        <v>819.34400000000005</v>
      </c>
      <c r="C4936" s="67"/>
      <c r="D4936" s="68">
        <v>0</v>
      </c>
      <c r="E4936" s="110">
        <f t="shared" si="77"/>
        <v>37193</v>
      </c>
      <c r="F4936" s="69">
        <v>1.2695357189779351E-2</v>
      </c>
    </row>
    <row r="4937" spans="1:6" x14ac:dyDescent="0.3">
      <c r="A4937" s="24">
        <v>39815</v>
      </c>
      <c r="B4937" s="66">
        <v>819.34400000000005</v>
      </c>
      <c r="C4937" s="67"/>
      <c r="D4937" s="68">
        <v>0</v>
      </c>
      <c r="E4937" s="110">
        <f t="shared" si="77"/>
        <v>37193</v>
      </c>
      <c r="F4937" s="69">
        <v>1.2695357189779351E-2</v>
      </c>
    </row>
    <row r="4938" spans="1:6" x14ac:dyDescent="0.3">
      <c r="A4938" s="24">
        <v>39816</v>
      </c>
      <c r="B4938" s="66">
        <v>819.34400000000005</v>
      </c>
      <c r="C4938" s="67"/>
      <c r="D4938" s="68">
        <v>0</v>
      </c>
      <c r="E4938" s="110">
        <f t="shared" si="77"/>
        <v>37193</v>
      </c>
      <c r="F4938" s="69">
        <v>1.2695357189779351E-2</v>
      </c>
    </row>
    <row r="4939" spans="1:6" x14ac:dyDescent="0.3">
      <c r="A4939" s="24">
        <v>39817</v>
      </c>
      <c r="B4939" s="66">
        <v>819.34400000000005</v>
      </c>
      <c r="C4939" s="67"/>
      <c r="D4939" s="68">
        <v>0</v>
      </c>
      <c r="E4939" s="110">
        <f t="shared" si="77"/>
        <v>37193</v>
      </c>
      <c r="F4939" s="69">
        <v>1.2695357189779351E-2</v>
      </c>
    </row>
    <row r="4940" spans="1:6" x14ac:dyDescent="0.3">
      <c r="A4940" s="24">
        <v>39818</v>
      </c>
      <c r="B4940" s="66">
        <v>819.34400000000005</v>
      </c>
      <c r="C4940" s="67"/>
      <c r="D4940" s="68">
        <v>0</v>
      </c>
      <c r="E4940" s="110">
        <f t="shared" si="77"/>
        <v>37193</v>
      </c>
      <c r="F4940" s="69">
        <v>1.2695357189779351E-2</v>
      </c>
    </row>
    <row r="4941" spans="1:6" x14ac:dyDescent="0.3">
      <c r="A4941" s="24">
        <v>39819</v>
      </c>
      <c r="B4941" s="66">
        <v>819.34400000000005</v>
      </c>
      <c r="C4941" s="67"/>
      <c r="D4941" s="68">
        <v>0</v>
      </c>
      <c r="E4941" s="110">
        <f t="shared" si="77"/>
        <v>37193</v>
      </c>
      <c r="F4941" s="69">
        <v>1.2695357189779351E-2</v>
      </c>
    </row>
    <row r="4942" spans="1:6" x14ac:dyDescent="0.3">
      <c r="A4942" s="24">
        <v>39820</v>
      </c>
      <c r="B4942" s="66">
        <v>819.34400000000005</v>
      </c>
      <c r="C4942" s="67"/>
      <c r="D4942" s="68">
        <v>0</v>
      </c>
      <c r="E4942" s="110">
        <f t="shared" si="77"/>
        <v>37193</v>
      </c>
      <c r="F4942" s="69">
        <v>1.2695357189779351E-2</v>
      </c>
    </row>
    <row r="4943" spans="1:6" x14ac:dyDescent="0.3">
      <c r="A4943" s="24">
        <v>39821</v>
      </c>
      <c r="B4943" s="66">
        <v>819.34400000000005</v>
      </c>
      <c r="C4943" s="67"/>
      <c r="D4943" s="68">
        <v>0</v>
      </c>
      <c r="E4943" s="110">
        <f t="shared" si="77"/>
        <v>37193</v>
      </c>
      <c r="F4943" s="69">
        <v>1.2695357189779351E-2</v>
      </c>
    </row>
    <row r="4944" spans="1:6" x14ac:dyDescent="0.3">
      <c r="A4944" s="24">
        <v>39822</v>
      </c>
      <c r="B4944" s="66">
        <v>819.34400000000005</v>
      </c>
      <c r="C4944" s="67"/>
      <c r="D4944" s="68">
        <v>0</v>
      </c>
      <c r="E4944" s="110">
        <f t="shared" si="77"/>
        <v>37193</v>
      </c>
      <c r="F4944" s="69">
        <v>1.2695357189779351E-2</v>
      </c>
    </row>
    <row r="4945" spans="1:6" x14ac:dyDescent="0.3">
      <c r="A4945" s="24">
        <v>39823</v>
      </c>
      <c r="B4945" s="66">
        <v>819.34400000000005</v>
      </c>
      <c r="C4945" s="67"/>
      <c r="D4945" s="68">
        <v>0</v>
      </c>
      <c r="E4945" s="110">
        <f t="shared" si="77"/>
        <v>37193</v>
      </c>
      <c r="F4945" s="69">
        <v>1.2695357189779351E-2</v>
      </c>
    </row>
    <row r="4946" spans="1:6" x14ac:dyDescent="0.3">
      <c r="A4946" s="24">
        <v>39824</v>
      </c>
      <c r="B4946" s="66">
        <v>819.34400000000005</v>
      </c>
      <c r="C4946" s="67"/>
      <c r="D4946" s="68">
        <v>0</v>
      </c>
      <c r="E4946" s="110">
        <f t="shared" ref="E4946:E5009" si="78">+E4945</f>
        <v>37193</v>
      </c>
      <c r="F4946" s="69">
        <v>1.2695357189779351E-2</v>
      </c>
    </row>
    <row r="4947" spans="1:6" x14ac:dyDescent="0.3">
      <c r="A4947" s="24">
        <v>39825</v>
      </c>
      <c r="B4947" s="66">
        <v>819.34400000000005</v>
      </c>
      <c r="C4947" s="67"/>
      <c r="D4947" s="68">
        <v>0</v>
      </c>
      <c r="E4947" s="110">
        <f t="shared" si="78"/>
        <v>37193</v>
      </c>
      <c r="F4947" s="69">
        <v>1.2695357189779351E-2</v>
      </c>
    </row>
    <row r="4948" spans="1:6" x14ac:dyDescent="0.3">
      <c r="A4948" s="24">
        <v>39826</v>
      </c>
      <c r="B4948" s="66">
        <v>819.34400000000005</v>
      </c>
      <c r="C4948" s="67"/>
      <c r="D4948" s="68">
        <v>0</v>
      </c>
      <c r="E4948" s="110">
        <f t="shared" si="78"/>
        <v>37193</v>
      </c>
      <c r="F4948" s="69">
        <v>1.2695357189779351E-2</v>
      </c>
    </row>
    <row r="4949" spans="1:6" x14ac:dyDescent="0.3">
      <c r="A4949" s="24">
        <v>39827</v>
      </c>
      <c r="B4949" s="66">
        <v>819.34400000000005</v>
      </c>
      <c r="C4949" s="67"/>
      <c r="D4949" s="68">
        <v>0</v>
      </c>
      <c r="E4949" s="110">
        <f t="shared" si="78"/>
        <v>37193</v>
      </c>
      <c r="F4949" s="69">
        <v>1.2695357189779351E-2</v>
      </c>
    </row>
    <row r="4950" spans="1:6" x14ac:dyDescent="0.3">
      <c r="A4950" s="24">
        <v>39828</v>
      </c>
      <c r="B4950" s="66">
        <v>819.34400000000005</v>
      </c>
      <c r="C4950" s="67"/>
      <c r="D4950" s="68">
        <v>0</v>
      </c>
      <c r="E4950" s="110">
        <f t="shared" si="78"/>
        <v>37193</v>
      </c>
      <c r="F4950" s="69">
        <v>1.2695357189779351E-2</v>
      </c>
    </row>
    <row r="4951" spans="1:6" x14ac:dyDescent="0.3">
      <c r="A4951" s="24">
        <v>39829</v>
      </c>
      <c r="B4951" s="66">
        <v>819.34400000000005</v>
      </c>
      <c r="C4951" s="67"/>
      <c r="D4951" s="68">
        <v>0</v>
      </c>
      <c r="E4951" s="110">
        <f t="shared" si="78"/>
        <v>37193</v>
      </c>
      <c r="F4951" s="69">
        <v>1.2695357189779351E-2</v>
      </c>
    </row>
    <row r="4952" spans="1:6" x14ac:dyDescent="0.3">
      <c r="A4952" s="24">
        <v>39830</v>
      </c>
      <c r="B4952" s="66">
        <v>819.34400000000005</v>
      </c>
      <c r="C4952" s="67"/>
      <c r="D4952" s="68">
        <v>0</v>
      </c>
      <c r="E4952" s="110">
        <f t="shared" si="78"/>
        <v>37193</v>
      </c>
      <c r="F4952" s="69">
        <v>1.2695357189779351E-2</v>
      </c>
    </row>
    <row r="4953" spans="1:6" x14ac:dyDescent="0.3">
      <c r="A4953" s="24">
        <v>39831</v>
      </c>
      <c r="B4953" s="66">
        <v>819.34400000000005</v>
      </c>
      <c r="C4953" s="67"/>
      <c r="D4953" s="68">
        <v>0</v>
      </c>
      <c r="E4953" s="110">
        <f t="shared" si="78"/>
        <v>37193</v>
      </c>
      <c r="F4953" s="69">
        <v>1.2695357189779351E-2</v>
      </c>
    </row>
    <row r="4954" spans="1:6" x14ac:dyDescent="0.3">
      <c r="A4954" s="24">
        <v>39832</v>
      </c>
      <c r="B4954" s="66">
        <v>819.34400000000005</v>
      </c>
      <c r="C4954" s="67"/>
      <c r="D4954" s="68">
        <v>0</v>
      </c>
      <c r="E4954" s="110">
        <f t="shared" si="78"/>
        <v>37193</v>
      </c>
      <c r="F4954" s="69">
        <v>1.2695357189779351E-2</v>
      </c>
    </row>
    <row r="4955" spans="1:6" x14ac:dyDescent="0.3">
      <c r="A4955" s="24">
        <v>39833</v>
      </c>
      <c r="B4955" s="66">
        <v>819.34400000000005</v>
      </c>
      <c r="C4955" s="67"/>
      <c r="D4955" s="68">
        <v>0</v>
      </c>
      <c r="E4955" s="110">
        <f t="shared" si="78"/>
        <v>37193</v>
      </c>
      <c r="F4955" s="69">
        <v>1.2695357189779351E-2</v>
      </c>
    </row>
    <row r="4956" spans="1:6" x14ac:dyDescent="0.3">
      <c r="A4956" s="24">
        <v>39834</v>
      </c>
      <c r="B4956" s="66">
        <v>819.34400000000005</v>
      </c>
      <c r="C4956" s="67"/>
      <c r="D4956" s="68">
        <v>0</v>
      </c>
      <c r="E4956" s="110">
        <f t="shared" si="78"/>
        <v>37193</v>
      </c>
      <c r="F4956" s="69">
        <v>1.2695357189779351E-2</v>
      </c>
    </row>
    <row r="4957" spans="1:6" x14ac:dyDescent="0.3">
      <c r="A4957" s="24">
        <v>39835</v>
      </c>
      <c r="B4957" s="66">
        <v>819.34400000000005</v>
      </c>
      <c r="C4957" s="67"/>
      <c r="D4957" s="68">
        <v>0</v>
      </c>
      <c r="E4957" s="110">
        <f t="shared" si="78"/>
        <v>37193</v>
      </c>
      <c r="F4957" s="69">
        <v>1.2695357189779351E-2</v>
      </c>
    </row>
    <row r="4958" spans="1:6" x14ac:dyDescent="0.3">
      <c r="A4958" s="24">
        <v>39836</v>
      </c>
      <c r="B4958" s="66">
        <v>819.34400000000005</v>
      </c>
      <c r="C4958" s="67"/>
      <c r="D4958" s="68">
        <v>0</v>
      </c>
      <c r="E4958" s="110">
        <f t="shared" si="78"/>
        <v>37193</v>
      </c>
      <c r="F4958" s="69">
        <v>1.2695357189779351E-2</v>
      </c>
    </row>
    <row r="4959" spans="1:6" x14ac:dyDescent="0.3">
      <c r="A4959" s="24">
        <v>39837</v>
      </c>
      <c r="B4959" s="66">
        <v>819.34400000000005</v>
      </c>
      <c r="C4959" s="67"/>
      <c r="D4959" s="68">
        <v>0</v>
      </c>
      <c r="E4959" s="110">
        <f t="shared" si="78"/>
        <v>37193</v>
      </c>
      <c r="F4959" s="69">
        <v>1.2695357189779351E-2</v>
      </c>
    </row>
    <row r="4960" spans="1:6" x14ac:dyDescent="0.3">
      <c r="A4960" s="24">
        <v>39838</v>
      </c>
      <c r="B4960" s="66">
        <v>819.34400000000005</v>
      </c>
      <c r="C4960" s="67"/>
      <c r="D4960" s="68">
        <v>0</v>
      </c>
      <c r="E4960" s="110">
        <f t="shared" si="78"/>
        <v>37193</v>
      </c>
      <c r="F4960" s="69">
        <v>1.2695357189779351E-2</v>
      </c>
    </row>
    <row r="4961" spans="1:6" x14ac:dyDescent="0.3">
      <c r="A4961" s="24">
        <v>39839</v>
      </c>
      <c r="B4961" s="66">
        <v>819.34400000000005</v>
      </c>
      <c r="C4961" s="67"/>
      <c r="D4961" s="68">
        <v>0</v>
      </c>
      <c r="E4961" s="110">
        <f t="shared" si="78"/>
        <v>37193</v>
      </c>
      <c r="F4961" s="69">
        <v>1.2695357189779351E-2</v>
      </c>
    </row>
    <row r="4962" spans="1:6" x14ac:dyDescent="0.3">
      <c r="A4962" s="24">
        <v>39840</v>
      </c>
      <c r="B4962" s="66">
        <v>819.34400000000005</v>
      </c>
      <c r="C4962" s="67"/>
      <c r="D4962" s="68">
        <v>0</v>
      </c>
      <c r="E4962" s="110">
        <f t="shared" si="78"/>
        <v>37193</v>
      </c>
      <c r="F4962" s="69">
        <v>1.2695357189779351E-2</v>
      </c>
    </row>
    <row r="4963" spans="1:6" x14ac:dyDescent="0.3">
      <c r="A4963" s="24">
        <v>39841</v>
      </c>
      <c r="B4963" s="66">
        <v>819.34400000000005</v>
      </c>
      <c r="C4963" s="67"/>
      <c r="D4963" s="68">
        <v>0</v>
      </c>
      <c r="E4963" s="110">
        <f t="shared" si="78"/>
        <v>37193</v>
      </c>
      <c r="F4963" s="69">
        <v>1.2695357189779351E-2</v>
      </c>
    </row>
    <row r="4964" spans="1:6" x14ac:dyDescent="0.3">
      <c r="A4964" s="24">
        <v>39842</v>
      </c>
      <c r="B4964" s="66">
        <v>819.34400000000005</v>
      </c>
      <c r="C4964" s="67"/>
      <c r="D4964" s="68">
        <v>0</v>
      </c>
      <c r="E4964" s="110">
        <f t="shared" si="78"/>
        <v>37193</v>
      </c>
      <c r="F4964" s="69">
        <v>1.2695357189779351E-2</v>
      </c>
    </row>
    <row r="4965" spans="1:6" x14ac:dyDescent="0.3">
      <c r="A4965" s="24">
        <v>39843</v>
      </c>
      <c r="B4965" s="66">
        <v>819.34400000000005</v>
      </c>
      <c r="C4965" s="67"/>
      <c r="D4965" s="68">
        <v>0</v>
      </c>
      <c r="E4965" s="110">
        <f t="shared" si="78"/>
        <v>37193</v>
      </c>
      <c r="F4965" s="69">
        <v>1.2695357189779351E-2</v>
      </c>
    </row>
    <row r="4966" spans="1:6" x14ac:dyDescent="0.3">
      <c r="A4966" s="24">
        <v>39844</v>
      </c>
      <c r="B4966" s="66">
        <v>819.34400000000005</v>
      </c>
      <c r="C4966" s="67"/>
      <c r="D4966" s="68">
        <v>0</v>
      </c>
      <c r="E4966" s="110">
        <f t="shared" si="78"/>
        <v>37193</v>
      </c>
      <c r="F4966" s="69">
        <v>1.2695357189779351E-2</v>
      </c>
    </row>
    <row r="4967" spans="1:6" x14ac:dyDescent="0.3">
      <c r="A4967" s="24">
        <v>39845</v>
      </c>
      <c r="B4967" s="66">
        <v>819.34400000000005</v>
      </c>
      <c r="C4967" s="67"/>
      <c r="D4967" s="68">
        <v>0</v>
      </c>
      <c r="E4967" s="110">
        <f t="shared" si="78"/>
        <v>37193</v>
      </c>
      <c r="F4967" s="69">
        <v>1.2695357189779351E-2</v>
      </c>
    </row>
    <row r="4968" spans="1:6" x14ac:dyDescent="0.3">
      <c r="A4968" s="24">
        <v>39846</v>
      </c>
      <c r="B4968" s="66">
        <v>819.34400000000005</v>
      </c>
      <c r="C4968" s="67"/>
      <c r="D4968" s="68">
        <v>0</v>
      </c>
      <c r="E4968" s="110">
        <f t="shared" si="78"/>
        <v>37193</v>
      </c>
      <c r="F4968" s="69">
        <v>1.2695357189779351E-2</v>
      </c>
    </row>
    <row r="4969" spans="1:6" x14ac:dyDescent="0.3">
      <c r="A4969" s="24">
        <v>39847</v>
      </c>
      <c r="B4969" s="66">
        <v>819.34400000000005</v>
      </c>
      <c r="C4969" s="67"/>
      <c r="D4969" s="68">
        <v>0</v>
      </c>
      <c r="E4969" s="110">
        <f t="shared" si="78"/>
        <v>37193</v>
      </c>
      <c r="F4969" s="69">
        <v>1.2695357189779351E-2</v>
      </c>
    </row>
    <row r="4970" spans="1:6" x14ac:dyDescent="0.3">
      <c r="A4970" s="24">
        <v>39848</v>
      </c>
      <c r="B4970" s="66">
        <v>819.34400000000005</v>
      </c>
      <c r="C4970" s="67"/>
      <c r="D4970" s="68">
        <v>0</v>
      </c>
      <c r="E4970" s="110">
        <f t="shared" si="78"/>
        <v>37193</v>
      </c>
      <c r="F4970" s="69">
        <v>1.2695357189779351E-2</v>
      </c>
    </row>
    <row r="4971" spans="1:6" x14ac:dyDescent="0.3">
      <c r="A4971" s="24">
        <v>39849</v>
      </c>
      <c r="B4971" s="66">
        <v>819.34400000000005</v>
      </c>
      <c r="C4971" s="67"/>
      <c r="D4971" s="68">
        <v>0</v>
      </c>
      <c r="E4971" s="110">
        <f t="shared" si="78"/>
        <v>37193</v>
      </c>
      <c r="F4971" s="69">
        <v>1.2695357189779351E-2</v>
      </c>
    </row>
    <row r="4972" spans="1:6" x14ac:dyDescent="0.3">
      <c r="A4972" s="24">
        <v>39850</v>
      </c>
      <c r="B4972" s="66">
        <v>819.34400000000005</v>
      </c>
      <c r="C4972" s="67"/>
      <c r="D4972" s="68">
        <v>0</v>
      </c>
      <c r="E4972" s="110">
        <f t="shared" si="78"/>
        <v>37193</v>
      </c>
      <c r="F4972" s="69">
        <v>1.2695357189779351E-2</v>
      </c>
    </row>
    <row r="4973" spans="1:6" x14ac:dyDescent="0.3">
      <c r="A4973" s="24">
        <v>39851</v>
      </c>
      <c r="B4973" s="66">
        <v>819.34400000000005</v>
      </c>
      <c r="C4973" s="67"/>
      <c r="D4973" s="68">
        <v>0</v>
      </c>
      <c r="E4973" s="110">
        <f t="shared" si="78"/>
        <v>37193</v>
      </c>
      <c r="F4973" s="69">
        <v>1.2695357189779351E-2</v>
      </c>
    </row>
    <row r="4974" spans="1:6" x14ac:dyDescent="0.3">
      <c r="A4974" s="24">
        <v>39852</v>
      </c>
      <c r="B4974" s="66">
        <v>819.34400000000005</v>
      </c>
      <c r="C4974" s="67"/>
      <c r="D4974" s="68">
        <v>0</v>
      </c>
      <c r="E4974" s="110">
        <f t="shared" si="78"/>
        <v>37193</v>
      </c>
      <c r="F4974" s="69">
        <v>1.2695357189779351E-2</v>
      </c>
    </row>
    <row r="4975" spans="1:6" x14ac:dyDescent="0.3">
      <c r="A4975" s="24">
        <v>39853</v>
      </c>
      <c r="B4975" s="66">
        <v>819.34400000000005</v>
      </c>
      <c r="C4975" s="67"/>
      <c r="D4975" s="68">
        <v>0</v>
      </c>
      <c r="E4975" s="110">
        <f t="shared" si="78"/>
        <v>37193</v>
      </c>
      <c r="F4975" s="69">
        <v>1.2695357189779351E-2</v>
      </c>
    </row>
    <row r="4976" spans="1:6" x14ac:dyDescent="0.3">
      <c r="A4976" s="24">
        <v>39854</v>
      </c>
      <c r="B4976" s="66">
        <v>819.34400000000005</v>
      </c>
      <c r="C4976" s="67"/>
      <c r="D4976" s="68">
        <v>0</v>
      </c>
      <c r="E4976" s="110">
        <f t="shared" si="78"/>
        <v>37193</v>
      </c>
      <c r="F4976" s="69">
        <v>1.2695357189779351E-2</v>
      </c>
    </row>
    <row r="4977" spans="1:6" x14ac:dyDescent="0.3">
      <c r="A4977" s="24">
        <v>39855</v>
      </c>
      <c r="B4977" s="66">
        <v>819.34400000000005</v>
      </c>
      <c r="C4977" s="67"/>
      <c r="D4977" s="68">
        <v>0</v>
      </c>
      <c r="E4977" s="110">
        <f t="shared" si="78"/>
        <v>37193</v>
      </c>
      <c r="F4977" s="69">
        <v>1.2695357189779351E-2</v>
      </c>
    </row>
    <row r="4978" spans="1:6" x14ac:dyDescent="0.3">
      <c r="A4978" s="24">
        <v>39856</v>
      </c>
      <c r="B4978" s="66">
        <v>819.34400000000005</v>
      </c>
      <c r="C4978" s="67"/>
      <c r="D4978" s="68">
        <v>0</v>
      </c>
      <c r="E4978" s="110">
        <f t="shared" si="78"/>
        <v>37193</v>
      </c>
      <c r="F4978" s="69">
        <v>1.2695357189779351E-2</v>
      </c>
    </row>
    <row r="4979" spans="1:6" x14ac:dyDescent="0.3">
      <c r="A4979" s="24">
        <v>39857</v>
      </c>
      <c r="B4979" s="66">
        <v>819.34400000000005</v>
      </c>
      <c r="C4979" s="67"/>
      <c r="D4979" s="68">
        <v>0</v>
      </c>
      <c r="E4979" s="110">
        <f t="shared" si="78"/>
        <v>37193</v>
      </c>
      <c r="F4979" s="69">
        <v>1.2695357189779351E-2</v>
      </c>
    </row>
    <row r="4980" spans="1:6" x14ac:dyDescent="0.3">
      <c r="A4980" s="24">
        <v>39858</v>
      </c>
      <c r="B4980" s="66">
        <v>819.34400000000005</v>
      </c>
      <c r="C4980" s="67"/>
      <c r="D4980" s="68">
        <v>0</v>
      </c>
      <c r="E4980" s="110">
        <f t="shared" si="78"/>
        <v>37193</v>
      </c>
      <c r="F4980" s="69">
        <v>1.2695357189779351E-2</v>
      </c>
    </row>
    <row r="4981" spans="1:6" x14ac:dyDescent="0.3">
      <c r="A4981" s="24">
        <v>39859</v>
      </c>
      <c r="B4981" s="66">
        <v>819.34400000000005</v>
      </c>
      <c r="C4981" s="67"/>
      <c r="D4981" s="68">
        <v>0</v>
      </c>
      <c r="E4981" s="110">
        <f t="shared" si="78"/>
        <v>37193</v>
      </c>
      <c r="F4981" s="69">
        <v>1.2695357189779351E-2</v>
      </c>
    </row>
    <row r="4982" spans="1:6" x14ac:dyDescent="0.3">
      <c r="A4982" s="24">
        <v>39860</v>
      </c>
      <c r="B4982" s="66">
        <v>819.34400000000005</v>
      </c>
      <c r="C4982" s="67"/>
      <c r="D4982" s="68">
        <v>0</v>
      </c>
      <c r="E4982" s="110">
        <f t="shared" si="78"/>
        <v>37193</v>
      </c>
      <c r="F4982" s="69">
        <v>1.2695357189779351E-2</v>
      </c>
    </row>
    <row r="4983" spans="1:6" x14ac:dyDescent="0.3">
      <c r="A4983" s="24">
        <v>39861</v>
      </c>
      <c r="B4983" s="66">
        <v>819.34400000000005</v>
      </c>
      <c r="C4983" s="67"/>
      <c r="D4983" s="68">
        <v>0</v>
      </c>
      <c r="E4983" s="110">
        <f t="shared" si="78"/>
        <v>37193</v>
      </c>
      <c r="F4983" s="69">
        <v>1.2695357189779351E-2</v>
      </c>
    </row>
    <row r="4984" spans="1:6" x14ac:dyDescent="0.3">
      <c r="A4984" s="24">
        <v>39862</v>
      </c>
      <c r="B4984" s="66">
        <v>819.34400000000005</v>
      </c>
      <c r="C4984" s="67"/>
      <c r="D4984" s="68">
        <v>0</v>
      </c>
      <c r="E4984" s="110">
        <f t="shared" si="78"/>
        <v>37193</v>
      </c>
      <c r="F4984" s="69">
        <v>1.2695357189779351E-2</v>
      </c>
    </row>
    <row r="4985" spans="1:6" x14ac:dyDescent="0.3">
      <c r="A4985" s="24">
        <v>39863</v>
      </c>
      <c r="B4985" s="66">
        <v>819.34400000000005</v>
      </c>
      <c r="C4985" s="67"/>
      <c r="D4985" s="68">
        <v>0</v>
      </c>
      <c r="E4985" s="110">
        <f t="shared" si="78"/>
        <v>37193</v>
      </c>
      <c r="F4985" s="69">
        <v>1.2695357189779351E-2</v>
      </c>
    </row>
    <row r="4986" spans="1:6" x14ac:dyDescent="0.3">
      <c r="A4986" s="24">
        <v>39864</v>
      </c>
      <c r="B4986" s="66">
        <v>819.34400000000005</v>
      </c>
      <c r="C4986" s="67"/>
      <c r="D4986" s="68">
        <v>0</v>
      </c>
      <c r="E4986" s="110">
        <f t="shared" si="78"/>
        <v>37193</v>
      </c>
      <c r="F4986" s="69">
        <v>1.2695357189779351E-2</v>
      </c>
    </row>
    <row r="4987" spans="1:6" x14ac:dyDescent="0.3">
      <c r="A4987" s="24">
        <v>39865</v>
      </c>
      <c r="B4987" s="66">
        <v>819.34400000000005</v>
      </c>
      <c r="C4987" s="67"/>
      <c r="D4987" s="68">
        <v>0</v>
      </c>
      <c r="E4987" s="110">
        <f t="shared" si="78"/>
        <v>37193</v>
      </c>
      <c r="F4987" s="69">
        <v>1.2695357189779351E-2</v>
      </c>
    </row>
    <row r="4988" spans="1:6" x14ac:dyDescent="0.3">
      <c r="A4988" s="24">
        <v>39866</v>
      </c>
      <c r="B4988" s="66">
        <v>819.34400000000005</v>
      </c>
      <c r="C4988" s="67"/>
      <c r="D4988" s="68">
        <v>0</v>
      </c>
      <c r="E4988" s="110">
        <f t="shared" si="78"/>
        <v>37193</v>
      </c>
      <c r="F4988" s="69">
        <v>1.2695357189779351E-2</v>
      </c>
    </row>
    <row r="4989" spans="1:6" x14ac:dyDescent="0.3">
      <c r="A4989" s="24">
        <v>39867</v>
      </c>
      <c r="B4989" s="66">
        <v>819.34400000000005</v>
      </c>
      <c r="C4989" s="67"/>
      <c r="D4989" s="68">
        <v>0</v>
      </c>
      <c r="E4989" s="110">
        <f t="shared" si="78"/>
        <v>37193</v>
      </c>
      <c r="F4989" s="69">
        <v>1.2695357189779351E-2</v>
      </c>
    </row>
    <row r="4990" spans="1:6" x14ac:dyDescent="0.3">
      <c r="A4990" s="24">
        <v>39868</v>
      </c>
      <c r="B4990" s="66">
        <v>819.34400000000005</v>
      </c>
      <c r="C4990" s="67"/>
      <c r="D4990" s="68">
        <v>0</v>
      </c>
      <c r="E4990" s="110">
        <f t="shared" si="78"/>
        <v>37193</v>
      </c>
      <c r="F4990" s="69">
        <v>1.2695357189779351E-2</v>
      </c>
    </row>
    <row r="4991" spans="1:6" x14ac:dyDescent="0.3">
      <c r="A4991" s="24">
        <v>39869</v>
      </c>
      <c r="B4991" s="66">
        <v>819.34400000000005</v>
      </c>
      <c r="C4991" s="67"/>
      <c r="D4991" s="68">
        <v>0</v>
      </c>
      <c r="E4991" s="110">
        <f t="shared" si="78"/>
        <v>37193</v>
      </c>
      <c r="F4991" s="69">
        <v>1.2695357189779351E-2</v>
      </c>
    </row>
    <row r="4992" spans="1:6" x14ac:dyDescent="0.3">
      <c r="A4992" s="24">
        <v>39870</v>
      </c>
      <c r="B4992" s="66">
        <v>819.34400000000005</v>
      </c>
      <c r="C4992" s="67"/>
      <c r="D4992" s="68">
        <v>0</v>
      </c>
      <c r="E4992" s="110">
        <f t="shared" si="78"/>
        <v>37193</v>
      </c>
      <c r="F4992" s="69">
        <v>1.2695357189779351E-2</v>
      </c>
    </row>
    <row r="4993" spans="1:6" x14ac:dyDescent="0.3">
      <c r="A4993" s="24">
        <v>39871</v>
      </c>
      <c r="B4993" s="66">
        <v>819.34400000000005</v>
      </c>
      <c r="C4993" s="67"/>
      <c r="D4993" s="68">
        <v>0</v>
      </c>
      <c r="E4993" s="110">
        <f t="shared" si="78"/>
        <v>37193</v>
      </c>
      <c r="F4993" s="69">
        <v>1.2695357189779351E-2</v>
      </c>
    </row>
    <row r="4994" spans="1:6" x14ac:dyDescent="0.3">
      <c r="A4994" s="24">
        <v>39872</v>
      </c>
      <c r="B4994" s="66">
        <v>819.34400000000005</v>
      </c>
      <c r="C4994" s="67"/>
      <c r="D4994" s="68">
        <v>0</v>
      </c>
      <c r="E4994" s="110">
        <f t="shared" si="78"/>
        <v>37193</v>
      </c>
      <c r="F4994" s="69">
        <v>1.2695357189779351E-2</v>
      </c>
    </row>
    <row r="4995" spans="1:6" x14ac:dyDescent="0.3">
      <c r="A4995" s="24">
        <v>39873</v>
      </c>
      <c r="B4995" s="66">
        <v>819.34400000000005</v>
      </c>
      <c r="C4995" s="67"/>
      <c r="D4995" s="68">
        <v>0</v>
      </c>
      <c r="E4995" s="110">
        <f t="shared" si="78"/>
        <v>37193</v>
      </c>
      <c r="F4995" s="69">
        <v>1.2695357189779351E-2</v>
      </c>
    </row>
    <row r="4996" spans="1:6" x14ac:dyDescent="0.3">
      <c r="A4996" s="24">
        <v>39874</v>
      </c>
      <c r="B4996" s="66">
        <v>819.34400000000005</v>
      </c>
      <c r="C4996" s="67"/>
      <c r="D4996" s="68">
        <v>0</v>
      </c>
      <c r="E4996" s="110">
        <f t="shared" si="78"/>
        <v>37193</v>
      </c>
      <c r="F4996" s="69">
        <v>1.2695357189779351E-2</v>
      </c>
    </row>
    <row r="4997" spans="1:6" x14ac:dyDescent="0.3">
      <c r="A4997" s="24">
        <v>39875</v>
      </c>
      <c r="B4997" s="66">
        <v>819.34400000000005</v>
      </c>
      <c r="C4997" s="67"/>
      <c r="D4997" s="68">
        <v>0</v>
      </c>
      <c r="E4997" s="110">
        <f t="shared" si="78"/>
        <v>37193</v>
      </c>
      <c r="F4997" s="69">
        <v>1.2695357189779351E-2</v>
      </c>
    </row>
    <row r="4998" spans="1:6" x14ac:dyDescent="0.3">
      <c r="A4998" s="24">
        <v>39876</v>
      </c>
      <c r="B4998" s="66">
        <v>819.34400000000005</v>
      </c>
      <c r="C4998" s="67"/>
      <c r="D4998" s="68">
        <v>0</v>
      </c>
      <c r="E4998" s="110">
        <f t="shared" si="78"/>
        <v>37193</v>
      </c>
      <c r="F4998" s="69">
        <v>1.2695357189779351E-2</v>
      </c>
    </row>
    <row r="4999" spans="1:6" x14ac:dyDescent="0.3">
      <c r="A4999" s="24">
        <v>39877</v>
      </c>
      <c r="B4999" s="66">
        <v>819.34400000000005</v>
      </c>
      <c r="C4999" s="67"/>
      <c r="D4999" s="68">
        <v>0</v>
      </c>
      <c r="E4999" s="110">
        <f t="shared" si="78"/>
        <v>37193</v>
      </c>
      <c r="F4999" s="69">
        <v>1.2695357189779351E-2</v>
      </c>
    </row>
    <row r="5000" spans="1:6" x14ac:dyDescent="0.3">
      <c r="A5000" s="24">
        <v>39878</v>
      </c>
      <c r="B5000" s="66">
        <v>819.34400000000005</v>
      </c>
      <c r="C5000" s="67"/>
      <c r="D5000" s="68">
        <v>0</v>
      </c>
      <c r="E5000" s="110">
        <f t="shared" si="78"/>
        <v>37193</v>
      </c>
      <c r="F5000" s="69">
        <v>1.2695357189779351E-2</v>
      </c>
    </row>
    <row r="5001" spans="1:6" x14ac:dyDescent="0.3">
      <c r="A5001" s="24">
        <v>39879</v>
      </c>
      <c r="B5001" s="66">
        <v>819.34400000000005</v>
      </c>
      <c r="C5001" s="67"/>
      <c r="D5001" s="68">
        <v>0</v>
      </c>
      <c r="E5001" s="110">
        <f t="shared" si="78"/>
        <v>37193</v>
      </c>
      <c r="F5001" s="69">
        <v>1.2695357189779351E-2</v>
      </c>
    </row>
    <row r="5002" spans="1:6" x14ac:dyDescent="0.3">
      <c r="A5002" s="24">
        <v>39880</v>
      </c>
      <c r="B5002" s="66">
        <v>819.34400000000005</v>
      </c>
      <c r="C5002" s="67"/>
      <c r="D5002" s="68">
        <v>0</v>
      </c>
      <c r="E5002" s="110">
        <f t="shared" si="78"/>
        <v>37193</v>
      </c>
      <c r="F5002" s="69">
        <v>1.2695357189779351E-2</v>
      </c>
    </row>
    <row r="5003" spans="1:6" x14ac:dyDescent="0.3">
      <c r="A5003" s="24">
        <v>39881</v>
      </c>
      <c r="B5003" s="66">
        <v>819.34400000000005</v>
      </c>
      <c r="C5003" s="67"/>
      <c r="D5003" s="68">
        <v>0</v>
      </c>
      <c r="E5003" s="110">
        <f t="shared" si="78"/>
        <v>37193</v>
      </c>
      <c r="F5003" s="69">
        <v>1.2695357189779351E-2</v>
      </c>
    </row>
    <row r="5004" spans="1:6" x14ac:dyDescent="0.3">
      <c r="A5004" s="24">
        <v>39882</v>
      </c>
      <c r="B5004" s="66">
        <v>819.34400000000005</v>
      </c>
      <c r="C5004" s="67"/>
      <c r="D5004" s="68">
        <v>0</v>
      </c>
      <c r="E5004" s="110">
        <f t="shared" si="78"/>
        <v>37193</v>
      </c>
      <c r="F5004" s="69">
        <v>1.2695357189779351E-2</v>
      </c>
    </row>
    <row r="5005" spans="1:6" x14ac:dyDescent="0.3">
      <c r="A5005" s="24">
        <v>39883</v>
      </c>
      <c r="B5005" s="66">
        <v>819.34400000000005</v>
      </c>
      <c r="C5005" s="67"/>
      <c r="D5005" s="68">
        <v>0</v>
      </c>
      <c r="E5005" s="110">
        <f t="shared" si="78"/>
        <v>37193</v>
      </c>
      <c r="F5005" s="69">
        <v>1.2695357189779351E-2</v>
      </c>
    </row>
    <row r="5006" spans="1:6" x14ac:dyDescent="0.3">
      <c r="A5006" s="24">
        <v>39884</v>
      </c>
      <c r="B5006" s="66">
        <v>819.34400000000005</v>
      </c>
      <c r="C5006" s="67"/>
      <c r="D5006" s="68">
        <v>0</v>
      </c>
      <c r="E5006" s="110">
        <f t="shared" si="78"/>
        <v>37193</v>
      </c>
      <c r="F5006" s="69">
        <v>1.2695357189779351E-2</v>
      </c>
    </row>
    <row r="5007" spans="1:6" x14ac:dyDescent="0.3">
      <c r="A5007" s="24">
        <v>39885</v>
      </c>
      <c r="B5007" s="66">
        <v>819.34400000000005</v>
      </c>
      <c r="C5007" s="67"/>
      <c r="D5007" s="68">
        <v>0</v>
      </c>
      <c r="E5007" s="110">
        <f t="shared" si="78"/>
        <v>37193</v>
      </c>
      <c r="F5007" s="69">
        <v>1.2695357189779351E-2</v>
      </c>
    </row>
    <row r="5008" spans="1:6" x14ac:dyDescent="0.3">
      <c r="A5008" s="24">
        <v>39886</v>
      </c>
      <c r="B5008" s="66">
        <v>819.34400000000005</v>
      </c>
      <c r="C5008" s="67"/>
      <c r="D5008" s="68">
        <v>0</v>
      </c>
      <c r="E5008" s="110">
        <f t="shared" si="78"/>
        <v>37193</v>
      </c>
      <c r="F5008" s="69">
        <v>1.2695357189779351E-2</v>
      </c>
    </row>
    <row r="5009" spans="1:6" x14ac:dyDescent="0.3">
      <c r="A5009" s="24">
        <v>39887</v>
      </c>
      <c r="B5009" s="66">
        <v>819.34400000000005</v>
      </c>
      <c r="C5009" s="67"/>
      <c r="D5009" s="68">
        <v>0</v>
      </c>
      <c r="E5009" s="110">
        <f t="shared" si="78"/>
        <v>37193</v>
      </c>
      <c r="F5009" s="69">
        <v>1.2695357189779351E-2</v>
      </c>
    </row>
    <row r="5010" spans="1:6" x14ac:dyDescent="0.3">
      <c r="A5010" s="24">
        <v>39888</v>
      </c>
      <c r="B5010" s="66">
        <v>819.34400000000005</v>
      </c>
      <c r="C5010" s="67"/>
      <c r="D5010" s="68">
        <v>0</v>
      </c>
      <c r="E5010" s="110">
        <f t="shared" ref="E5010:E5073" si="79">+E5009</f>
        <v>37193</v>
      </c>
      <c r="F5010" s="69">
        <v>1.2695357189779351E-2</v>
      </c>
    </row>
    <row r="5011" spans="1:6" x14ac:dyDescent="0.3">
      <c r="A5011" s="24">
        <v>39889</v>
      </c>
      <c r="B5011" s="66">
        <v>819.34400000000005</v>
      </c>
      <c r="C5011" s="67"/>
      <c r="D5011" s="68">
        <v>0</v>
      </c>
      <c r="E5011" s="110">
        <f t="shared" si="79"/>
        <v>37193</v>
      </c>
      <c r="F5011" s="69">
        <v>1.2695357189779351E-2</v>
      </c>
    </row>
    <row r="5012" spans="1:6" x14ac:dyDescent="0.3">
      <c r="A5012" s="24">
        <v>39890</v>
      </c>
      <c r="B5012" s="66">
        <v>819.34400000000005</v>
      </c>
      <c r="C5012" s="67"/>
      <c r="D5012" s="68">
        <v>0</v>
      </c>
      <c r="E5012" s="110">
        <f t="shared" si="79"/>
        <v>37193</v>
      </c>
      <c r="F5012" s="69">
        <v>1.2695357189779351E-2</v>
      </c>
    </row>
    <row r="5013" spans="1:6" x14ac:dyDescent="0.3">
      <c r="A5013" s="24">
        <v>39891</v>
      </c>
      <c r="B5013" s="66">
        <v>819.34400000000005</v>
      </c>
      <c r="C5013" s="67"/>
      <c r="D5013" s="68">
        <v>0</v>
      </c>
      <c r="E5013" s="110">
        <f t="shared" si="79"/>
        <v>37193</v>
      </c>
      <c r="F5013" s="69">
        <v>1.2695357189779351E-2</v>
      </c>
    </row>
    <row r="5014" spans="1:6" x14ac:dyDescent="0.3">
      <c r="A5014" s="24">
        <v>39892</v>
      </c>
      <c r="B5014" s="66">
        <v>819.34400000000005</v>
      </c>
      <c r="C5014" s="67"/>
      <c r="D5014" s="68">
        <v>0</v>
      </c>
      <c r="E5014" s="110">
        <f t="shared" si="79"/>
        <v>37193</v>
      </c>
      <c r="F5014" s="69">
        <v>1.2695357189779351E-2</v>
      </c>
    </row>
    <row r="5015" spans="1:6" x14ac:dyDescent="0.3">
      <c r="A5015" s="24">
        <v>39893</v>
      </c>
      <c r="B5015" s="66">
        <v>819.34400000000005</v>
      </c>
      <c r="C5015" s="67"/>
      <c r="D5015" s="68">
        <v>0</v>
      </c>
      <c r="E5015" s="110">
        <f t="shared" si="79"/>
        <v>37193</v>
      </c>
      <c r="F5015" s="69">
        <v>1.2695357189779351E-2</v>
      </c>
    </row>
    <row r="5016" spans="1:6" x14ac:dyDescent="0.3">
      <c r="A5016" s="24">
        <v>39894</v>
      </c>
      <c r="B5016" s="66">
        <v>819.34400000000005</v>
      </c>
      <c r="C5016" s="67"/>
      <c r="D5016" s="68">
        <v>0</v>
      </c>
      <c r="E5016" s="110">
        <f t="shared" si="79"/>
        <v>37193</v>
      </c>
      <c r="F5016" s="69">
        <v>1.2695357189779351E-2</v>
      </c>
    </row>
    <row r="5017" spans="1:6" x14ac:dyDescent="0.3">
      <c r="A5017" s="24">
        <v>39895</v>
      </c>
      <c r="B5017" s="66">
        <v>819.34400000000005</v>
      </c>
      <c r="C5017" s="67"/>
      <c r="D5017" s="68">
        <v>0</v>
      </c>
      <c r="E5017" s="110">
        <f t="shared" si="79"/>
        <v>37193</v>
      </c>
      <c r="F5017" s="69">
        <v>1.2695357189779351E-2</v>
      </c>
    </row>
    <row r="5018" spans="1:6" x14ac:dyDescent="0.3">
      <c r="A5018" s="24">
        <v>39896</v>
      </c>
      <c r="B5018" s="66">
        <v>819.34400000000005</v>
      </c>
      <c r="C5018" s="67"/>
      <c r="D5018" s="68">
        <v>0</v>
      </c>
      <c r="E5018" s="110">
        <f t="shared" si="79"/>
        <v>37193</v>
      </c>
      <c r="F5018" s="69">
        <v>1.2695357189779351E-2</v>
      </c>
    </row>
    <row r="5019" spans="1:6" x14ac:dyDescent="0.3">
      <c r="A5019" s="24">
        <v>39897</v>
      </c>
      <c r="B5019" s="66">
        <v>819.34400000000005</v>
      </c>
      <c r="C5019" s="67"/>
      <c r="D5019" s="68">
        <v>0</v>
      </c>
      <c r="E5019" s="110">
        <f t="shared" si="79"/>
        <v>37193</v>
      </c>
      <c r="F5019" s="69">
        <v>1.2695357189779351E-2</v>
      </c>
    </row>
    <row r="5020" spans="1:6" x14ac:dyDescent="0.3">
      <c r="A5020" s="24">
        <v>39898</v>
      </c>
      <c r="B5020" s="66">
        <v>819.34400000000005</v>
      </c>
      <c r="C5020" s="67"/>
      <c r="D5020" s="68">
        <v>0</v>
      </c>
      <c r="E5020" s="110">
        <f t="shared" si="79"/>
        <v>37193</v>
      </c>
      <c r="F5020" s="69">
        <v>1.2695357189779351E-2</v>
      </c>
    </row>
    <row r="5021" spans="1:6" x14ac:dyDescent="0.3">
      <c r="A5021" s="24">
        <v>39899</v>
      </c>
      <c r="B5021" s="66">
        <v>819.34400000000005</v>
      </c>
      <c r="C5021" s="67"/>
      <c r="D5021" s="68">
        <v>0</v>
      </c>
      <c r="E5021" s="110">
        <f t="shared" si="79"/>
        <v>37193</v>
      </c>
      <c r="F5021" s="69">
        <v>1.2695357189779351E-2</v>
      </c>
    </row>
    <row r="5022" spans="1:6" x14ac:dyDescent="0.3">
      <c r="A5022" s="24">
        <v>39900</v>
      </c>
      <c r="B5022" s="66">
        <v>819.34400000000005</v>
      </c>
      <c r="C5022" s="67"/>
      <c r="D5022" s="68">
        <v>0</v>
      </c>
      <c r="E5022" s="110">
        <f t="shared" si="79"/>
        <v>37193</v>
      </c>
      <c r="F5022" s="69">
        <v>1.2695357189779351E-2</v>
      </c>
    </row>
    <row r="5023" spans="1:6" x14ac:dyDescent="0.3">
      <c r="A5023" s="24">
        <v>39901</v>
      </c>
      <c r="B5023" s="66">
        <v>819.34400000000005</v>
      </c>
      <c r="C5023" s="67"/>
      <c r="D5023" s="68">
        <v>0</v>
      </c>
      <c r="E5023" s="110">
        <f t="shared" si="79"/>
        <v>37193</v>
      </c>
      <c r="F5023" s="69">
        <v>1.2695357189779351E-2</v>
      </c>
    </row>
    <row r="5024" spans="1:6" x14ac:dyDescent="0.3">
      <c r="A5024" s="24">
        <v>39902</v>
      </c>
      <c r="B5024" s="66">
        <v>819.34400000000005</v>
      </c>
      <c r="C5024" s="67"/>
      <c r="D5024" s="68">
        <v>0</v>
      </c>
      <c r="E5024" s="110">
        <f t="shared" si="79"/>
        <v>37193</v>
      </c>
      <c r="F5024" s="69">
        <v>1.2570728619894785E-2</v>
      </c>
    </row>
    <row r="5025" spans="1:6" x14ac:dyDescent="0.3">
      <c r="A5025" s="24">
        <v>39903</v>
      </c>
      <c r="B5025" s="66">
        <v>811.16899999999998</v>
      </c>
      <c r="C5025" s="67"/>
      <c r="D5025" s="68">
        <v>0</v>
      </c>
      <c r="E5025" s="110">
        <f t="shared" si="79"/>
        <v>37193</v>
      </c>
      <c r="F5025" s="69">
        <v>1.2570728619894785E-2</v>
      </c>
    </row>
    <row r="5026" spans="1:6" x14ac:dyDescent="0.3">
      <c r="A5026" s="24">
        <v>39904</v>
      </c>
      <c r="B5026" s="66">
        <v>811.16899999999998</v>
      </c>
      <c r="C5026" s="67"/>
      <c r="D5026" s="68">
        <v>0</v>
      </c>
      <c r="E5026" s="110">
        <f t="shared" si="79"/>
        <v>37193</v>
      </c>
      <c r="F5026" s="69">
        <v>1.2570728619894785E-2</v>
      </c>
    </row>
    <row r="5027" spans="1:6" x14ac:dyDescent="0.3">
      <c r="A5027" s="24">
        <v>39905</v>
      </c>
      <c r="B5027" s="66">
        <v>811.16899999999998</v>
      </c>
      <c r="C5027" s="67"/>
      <c r="D5027" s="68">
        <v>0</v>
      </c>
      <c r="E5027" s="110">
        <f t="shared" si="79"/>
        <v>37193</v>
      </c>
      <c r="F5027" s="69">
        <v>1.2570728619894785E-2</v>
      </c>
    </row>
    <row r="5028" spans="1:6" x14ac:dyDescent="0.3">
      <c r="A5028" s="24">
        <v>39906</v>
      </c>
      <c r="B5028" s="66">
        <v>811.16899999999998</v>
      </c>
      <c r="C5028" s="67"/>
      <c r="D5028" s="68">
        <v>0</v>
      </c>
      <c r="E5028" s="110">
        <f t="shared" si="79"/>
        <v>37193</v>
      </c>
      <c r="F5028" s="69">
        <v>1.2570728619894785E-2</v>
      </c>
    </row>
    <row r="5029" spans="1:6" x14ac:dyDescent="0.3">
      <c r="A5029" s="24">
        <v>39907</v>
      </c>
      <c r="B5029" s="66">
        <v>811.16899999999998</v>
      </c>
      <c r="C5029" s="67"/>
      <c r="D5029" s="68">
        <v>0</v>
      </c>
      <c r="E5029" s="110">
        <f t="shared" si="79"/>
        <v>37193</v>
      </c>
      <c r="F5029" s="69">
        <v>1.2570728619894785E-2</v>
      </c>
    </row>
    <row r="5030" spans="1:6" x14ac:dyDescent="0.3">
      <c r="A5030" s="24">
        <v>39908</v>
      </c>
      <c r="B5030" s="66">
        <v>811.16899999999998</v>
      </c>
      <c r="C5030" s="67"/>
      <c r="D5030" s="68">
        <v>0</v>
      </c>
      <c r="E5030" s="110">
        <f t="shared" si="79"/>
        <v>37193</v>
      </c>
      <c r="F5030" s="69">
        <v>1.2570728619894785E-2</v>
      </c>
    </row>
    <row r="5031" spans="1:6" x14ac:dyDescent="0.3">
      <c r="A5031" s="24">
        <v>39909</v>
      </c>
      <c r="B5031" s="66">
        <v>811.16899999999998</v>
      </c>
      <c r="C5031" s="67"/>
      <c r="D5031" s="68">
        <v>0</v>
      </c>
      <c r="E5031" s="110">
        <f t="shared" si="79"/>
        <v>37193</v>
      </c>
      <c r="F5031" s="69">
        <v>1.2570728619894785E-2</v>
      </c>
    </row>
    <row r="5032" spans="1:6" x14ac:dyDescent="0.3">
      <c r="A5032" s="24">
        <v>39910</v>
      </c>
      <c r="B5032" s="66">
        <v>811.16899999999998</v>
      </c>
      <c r="C5032" s="67"/>
      <c r="D5032" s="68">
        <v>0</v>
      </c>
      <c r="E5032" s="110">
        <f t="shared" si="79"/>
        <v>37193</v>
      </c>
      <c r="F5032" s="69">
        <v>1.2570728619894785E-2</v>
      </c>
    </row>
    <row r="5033" spans="1:6" x14ac:dyDescent="0.3">
      <c r="A5033" s="24">
        <v>39911</v>
      </c>
      <c r="B5033" s="66">
        <v>811.16899999999998</v>
      </c>
      <c r="C5033" s="67"/>
      <c r="D5033" s="68">
        <v>0</v>
      </c>
      <c r="E5033" s="110">
        <f t="shared" si="79"/>
        <v>37193</v>
      </c>
      <c r="F5033" s="69">
        <v>1.2570728619894785E-2</v>
      </c>
    </row>
    <row r="5034" spans="1:6" x14ac:dyDescent="0.3">
      <c r="A5034" s="24">
        <v>39912</v>
      </c>
      <c r="B5034" s="66">
        <v>811.16899999999998</v>
      </c>
      <c r="C5034" s="67"/>
      <c r="D5034" s="68">
        <v>0</v>
      </c>
      <c r="E5034" s="110">
        <f t="shared" si="79"/>
        <v>37193</v>
      </c>
      <c r="F5034" s="69">
        <v>1.2570728619894785E-2</v>
      </c>
    </row>
    <row r="5035" spans="1:6" x14ac:dyDescent="0.3">
      <c r="A5035" s="24">
        <v>39913</v>
      </c>
      <c r="B5035" s="66">
        <v>811.16899999999998</v>
      </c>
      <c r="C5035" s="67"/>
      <c r="D5035" s="68">
        <v>0</v>
      </c>
      <c r="E5035" s="110">
        <f t="shared" si="79"/>
        <v>37193</v>
      </c>
      <c r="F5035" s="69">
        <v>1.2570728619894785E-2</v>
      </c>
    </row>
    <row r="5036" spans="1:6" x14ac:dyDescent="0.3">
      <c r="A5036" s="24">
        <v>39914</v>
      </c>
      <c r="B5036" s="66">
        <v>811.16899999999998</v>
      </c>
      <c r="C5036" s="67"/>
      <c r="D5036" s="68">
        <v>0</v>
      </c>
      <c r="E5036" s="110">
        <f t="shared" si="79"/>
        <v>37193</v>
      </c>
      <c r="F5036" s="69">
        <v>1.2570728619894785E-2</v>
      </c>
    </row>
    <row r="5037" spans="1:6" x14ac:dyDescent="0.3">
      <c r="A5037" s="24">
        <v>39915</v>
      </c>
      <c r="B5037" s="66">
        <v>811.16899999999998</v>
      </c>
      <c r="C5037" s="67"/>
      <c r="D5037" s="68">
        <v>0</v>
      </c>
      <c r="E5037" s="110">
        <f t="shared" si="79"/>
        <v>37193</v>
      </c>
      <c r="F5037" s="69">
        <v>1.2570728619894785E-2</v>
      </c>
    </row>
    <row r="5038" spans="1:6" x14ac:dyDescent="0.3">
      <c r="A5038" s="24">
        <v>39916</v>
      </c>
      <c r="B5038" s="66">
        <v>811.16899999999998</v>
      </c>
      <c r="C5038" s="67"/>
      <c r="D5038" s="68">
        <v>0</v>
      </c>
      <c r="E5038" s="110">
        <f t="shared" si="79"/>
        <v>37193</v>
      </c>
      <c r="F5038" s="69">
        <v>1.2570728619894785E-2</v>
      </c>
    </row>
    <row r="5039" spans="1:6" x14ac:dyDescent="0.3">
      <c r="A5039" s="24">
        <v>39917</v>
      </c>
      <c r="B5039" s="66">
        <v>811.16899999999998</v>
      </c>
      <c r="C5039" s="67"/>
      <c r="D5039" s="68">
        <v>0</v>
      </c>
      <c r="E5039" s="110">
        <f t="shared" si="79"/>
        <v>37193</v>
      </c>
      <c r="F5039" s="69">
        <v>1.2570728619894785E-2</v>
      </c>
    </row>
    <row r="5040" spans="1:6" x14ac:dyDescent="0.3">
      <c r="A5040" s="24">
        <v>39918</v>
      </c>
      <c r="B5040" s="66">
        <v>811.16899999999998</v>
      </c>
      <c r="C5040" s="67"/>
      <c r="D5040" s="68">
        <v>0</v>
      </c>
      <c r="E5040" s="110">
        <f t="shared" si="79"/>
        <v>37193</v>
      </c>
      <c r="F5040" s="69">
        <v>1.2570728619894785E-2</v>
      </c>
    </row>
    <row r="5041" spans="1:6" x14ac:dyDescent="0.3">
      <c r="A5041" s="24">
        <v>39919</v>
      </c>
      <c r="B5041" s="66">
        <v>811.16899999999998</v>
      </c>
      <c r="C5041" s="67"/>
      <c r="D5041" s="68">
        <v>0</v>
      </c>
      <c r="E5041" s="110">
        <f t="shared" si="79"/>
        <v>37193</v>
      </c>
      <c r="F5041" s="69">
        <v>1.2570728619894785E-2</v>
      </c>
    </row>
    <row r="5042" spans="1:6" x14ac:dyDescent="0.3">
      <c r="A5042" s="24">
        <v>39920</v>
      </c>
      <c r="B5042" s="66">
        <v>811.16899999999998</v>
      </c>
      <c r="C5042" s="67"/>
      <c r="D5042" s="68">
        <v>0</v>
      </c>
      <c r="E5042" s="110">
        <f t="shared" si="79"/>
        <v>37193</v>
      </c>
      <c r="F5042" s="69">
        <v>1.2570728619894785E-2</v>
      </c>
    </row>
    <row r="5043" spans="1:6" x14ac:dyDescent="0.3">
      <c r="A5043" s="24">
        <v>39921</v>
      </c>
      <c r="B5043" s="66">
        <v>811.16899999999998</v>
      </c>
      <c r="C5043" s="67"/>
      <c r="D5043" s="68">
        <v>0</v>
      </c>
      <c r="E5043" s="110">
        <f t="shared" si="79"/>
        <v>37193</v>
      </c>
      <c r="F5043" s="69">
        <v>1.2570728619894785E-2</v>
      </c>
    </row>
    <row r="5044" spans="1:6" x14ac:dyDescent="0.3">
      <c r="A5044" s="24">
        <v>39922</v>
      </c>
      <c r="B5044" s="66">
        <v>811.16899999999998</v>
      </c>
      <c r="C5044" s="67"/>
      <c r="D5044" s="68">
        <v>0</v>
      </c>
      <c r="E5044" s="110">
        <f t="shared" si="79"/>
        <v>37193</v>
      </c>
      <c r="F5044" s="69">
        <v>1.2570728619894785E-2</v>
      </c>
    </row>
    <row r="5045" spans="1:6" x14ac:dyDescent="0.3">
      <c r="A5045" s="24">
        <v>39923</v>
      </c>
      <c r="B5045" s="66">
        <v>811.16899999999998</v>
      </c>
      <c r="C5045" s="67"/>
      <c r="D5045" s="68">
        <v>0</v>
      </c>
      <c r="E5045" s="110">
        <f t="shared" si="79"/>
        <v>37193</v>
      </c>
      <c r="F5045" s="69">
        <v>1.2570728619894785E-2</v>
      </c>
    </row>
    <row r="5046" spans="1:6" x14ac:dyDescent="0.3">
      <c r="A5046" s="24">
        <v>39924</v>
      </c>
      <c r="B5046" s="66">
        <v>811.16899999999998</v>
      </c>
      <c r="C5046" s="67"/>
      <c r="D5046" s="68">
        <v>0</v>
      </c>
      <c r="E5046" s="110">
        <f t="shared" si="79"/>
        <v>37193</v>
      </c>
      <c r="F5046" s="69">
        <v>1.2570728619894785E-2</v>
      </c>
    </row>
    <row r="5047" spans="1:6" x14ac:dyDescent="0.3">
      <c r="A5047" s="24">
        <v>39925</v>
      </c>
      <c r="B5047" s="66">
        <v>811.16899999999998</v>
      </c>
      <c r="C5047" s="67"/>
      <c r="D5047" s="68">
        <v>0</v>
      </c>
      <c r="E5047" s="110">
        <f t="shared" si="79"/>
        <v>37193</v>
      </c>
      <c r="F5047" s="69">
        <v>1.2570728619894785E-2</v>
      </c>
    </row>
    <row r="5048" spans="1:6" x14ac:dyDescent="0.3">
      <c r="A5048" s="24">
        <v>39926</v>
      </c>
      <c r="B5048" s="66">
        <v>811.16899999999998</v>
      </c>
      <c r="C5048" s="67"/>
      <c r="D5048" s="68">
        <v>0</v>
      </c>
      <c r="E5048" s="110">
        <f t="shared" si="79"/>
        <v>37193</v>
      </c>
      <c r="F5048" s="69">
        <v>1.2570728619894785E-2</v>
      </c>
    </row>
    <row r="5049" spans="1:6" x14ac:dyDescent="0.3">
      <c r="A5049" s="24">
        <v>39927</v>
      </c>
      <c r="B5049" s="66">
        <v>811.16899999999998</v>
      </c>
      <c r="C5049" s="67"/>
      <c r="D5049" s="68">
        <v>0</v>
      </c>
      <c r="E5049" s="110">
        <f t="shared" si="79"/>
        <v>37193</v>
      </c>
      <c r="F5049" s="69">
        <v>1.2570728619894785E-2</v>
      </c>
    </row>
    <row r="5050" spans="1:6" x14ac:dyDescent="0.3">
      <c r="A5050" s="24">
        <v>39928</v>
      </c>
      <c r="B5050" s="66">
        <v>811.16899999999998</v>
      </c>
      <c r="C5050" s="67"/>
      <c r="D5050" s="68">
        <v>0</v>
      </c>
      <c r="E5050" s="110">
        <f t="shared" si="79"/>
        <v>37193</v>
      </c>
      <c r="F5050" s="69">
        <v>1.2570728619894785E-2</v>
      </c>
    </row>
    <row r="5051" spans="1:6" x14ac:dyDescent="0.3">
      <c r="A5051" s="24">
        <v>39929</v>
      </c>
      <c r="B5051" s="66">
        <v>811.16899999999998</v>
      </c>
      <c r="C5051" s="67"/>
      <c r="D5051" s="68">
        <v>0</v>
      </c>
      <c r="E5051" s="110">
        <f t="shared" si="79"/>
        <v>37193</v>
      </c>
      <c r="F5051" s="69">
        <v>1.2570728619894785E-2</v>
      </c>
    </row>
    <row r="5052" spans="1:6" x14ac:dyDescent="0.3">
      <c r="A5052" s="24">
        <v>39930</v>
      </c>
      <c r="B5052" s="66">
        <v>811.16899999999998</v>
      </c>
      <c r="C5052" s="67"/>
      <c r="D5052" s="68">
        <v>0</v>
      </c>
      <c r="E5052" s="110">
        <f t="shared" si="79"/>
        <v>37193</v>
      </c>
      <c r="F5052" s="69">
        <v>1.2570728619894785E-2</v>
      </c>
    </row>
    <row r="5053" spans="1:6" x14ac:dyDescent="0.3">
      <c r="A5053" s="24">
        <v>39931</v>
      </c>
      <c r="B5053" s="66">
        <v>811.16899999999998</v>
      </c>
      <c r="C5053" s="67"/>
      <c r="D5053" s="68">
        <v>0</v>
      </c>
      <c r="E5053" s="110">
        <f t="shared" si="79"/>
        <v>37193</v>
      </c>
      <c r="F5053" s="69">
        <v>1.2570728619894785E-2</v>
      </c>
    </row>
    <row r="5054" spans="1:6" x14ac:dyDescent="0.3">
      <c r="A5054" s="24">
        <v>39932</v>
      </c>
      <c r="B5054" s="66">
        <v>811.16899999999998</v>
      </c>
      <c r="C5054" s="67"/>
      <c r="D5054" s="68">
        <v>0</v>
      </c>
      <c r="E5054" s="110">
        <f t="shared" si="79"/>
        <v>37193</v>
      </c>
      <c r="F5054" s="69">
        <v>1.2570728619894785E-2</v>
      </c>
    </row>
    <row r="5055" spans="1:6" x14ac:dyDescent="0.3">
      <c r="A5055" s="24">
        <v>39933</v>
      </c>
      <c r="B5055" s="66">
        <v>811.16899999999998</v>
      </c>
      <c r="C5055" s="67"/>
      <c r="D5055" s="68">
        <v>0</v>
      </c>
      <c r="E5055" s="110">
        <f t="shared" si="79"/>
        <v>37193</v>
      </c>
      <c r="F5055" s="69">
        <v>1.2570728619894785E-2</v>
      </c>
    </row>
    <row r="5056" spans="1:6" x14ac:dyDescent="0.3">
      <c r="A5056" s="24">
        <v>39934</v>
      </c>
      <c r="B5056" s="66">
        <v>811.16899999999998</v>
      </c>
      <c r="C5056" s="67"/>
      <c r="D5056" s="68">
        <v>0</v>
      </c>
      <c r="E5056" s="110">
        <f t="shared" si="79"/>
        <v>37193</v>
      </c>
      <c r="F5056" s="69">
        <v>1.2570728619894785E-2</v>
      </c>
    </row>
    <row r="5057" spans="1:6" x14ac:dyDescent="0.3">
      <c r="A5057" s="24">
        <v>39935</v>
      </c>
      <c r="B5057" s="66">
        <v>811.16899999999998</v>
      </c>
      <c r="C5057" s="67"/>
      <c r="D5057" s="68">
        <v>0</v>
      </c>
      <c r="E5057" s="110">
        <f t="shared" si="79"/>
        <v>37193</v>
      </c>
      <c r="F5057" s="69">
        <v>1.2570728619894785E-2</v>
      </c>
    </row>
    <row r="5058" spans="1:6" x14ac:dyDescent="0.3">
      <c r="A5058" s="24">
        <v>39936</v>
      </c>
      <c r="B5058" s="66">
        <v>811.16899999999998</v>
      </c>
      <c r="C5058" s="67"/>
      <c r="D5058" s="68">
        <v>0</v>
      </c>
      <c r="E5058" s="110">
        <f t="shared" si="79"/>
        <v>37193</v>
      </c>
      <c r="F5058" s="69">
        <v>1.2570728619894785E-2</v>
      </c>
    </row>
    <row r="5059" spans="1:6" x14ac:dyDescent="0.3">
      <c r="A5059" s="24">
        <v>39937</v>
      </c>
      <c r="B5059" s="66">
        <v>811.16899999999998</v>
      </c>
      <c r="C5059" s="67"/>
      <c r="D5059" s="68">
        <v>0</v>
      </c>
      <c r="E5059" s="110">
        <f t="shared" si="79"/>
        <v>37193</v>
      </c>
      <c r="F5059" s="69">
        <v>1.2570728619894785E-2</v>
      </c>
    </row>
    <row r="5060" spans="1:6" x14ac:dyDescent="0.3">
      <c r="A5060" s="24">
        <v>39938</v>
      </c>
      <c r="B5060" s="66">
        <v>811.16899999999998</v>
      </c>
      <c r="C5060" s="67"/>
      <c r="D5060" s="68">
        <v>0</v>
      </c>
      <c r="E5060" s="110">
        <f t="shared" si="79"/>
        <v>37193</v>
      </c>
      <c r="F5060" s="69">
        <v>1.2570728619894785E-2</v>
      </c>
    </row>
    <row r="5061" spans="1:6" x14ac:dyDescent="0.3">
      <c r="A5061" s="24">
        <v>39939</v>
      </c>
      <c r="B5061" s="66">
        <v>811.16899999999998</v>
      </c>
      <c r="C5061" s="67"/>
      <c r="D5061" s="68">
        <v>0</v>
      </c>
      <c r="E5061" s="110">
        <f t="shared" si="79"/>
        <v>37193</v>
      </c>
      <c r="F5061" s="69">
        <v>1.2570728619894785E-2</v>
      </c>
    </row>
    <row r="5062" spans="1:6" x14ac:dyDescent="0.3">
      <c r="A5062" s="24">
        <v>39940</v>
      </c>
      <c r="B5062" s="66">
        <v>811.16899999999998</v>
      </c>
      <c r="C5062" s="67"/>
      <c r="D5062" s="68">
        <v>0</v>
      </c>
      <c r="E5062" s="110">
        <f t="shared" si="79"/>
        <v>37193</v>
      </c>
      <c r="F5062" s="69">
        <v>1.2570728619894785E-2</v>
      </c>
    </row>
    <row r="5063" spans="1:6" x14ac:dyDescent="0.3">
      <c r="A5063" s="24">
        <v>39941</v>
      </c>
      <c r="B5063" s="66">
        <v>811.16899999999998</v>
      </c>
      <c r="C5063" s="67"/>
      <c r="D5063" s="68">
        <v>0</v>
      </c>
      <c r="E5063" s="110">
        <f t="shared" si="79"/>
        <v>37193</v>
      </c>
      <c r="F5063" s="69">
        <v>1.2570728619894785E-2</v>
      </c>
    </row>
    <row r="5064" spans="1:6" x14ac:dyDescent="0.3">
      <c r="A5064" s="24">
        <v>39942</v>
      </c>
      <c r="B5064" s="66">
        <v>811.16899999999998</v>
      </c>
      <c r="C5064" s="67"/>
      <c r="D5064" s="68">
        <v>0</v>
      </c>
      <c r="E5064" s="110">
        <f t="shared" si="79"/>
        <v>37193</v>
      </c>
      <c r="F5064" s="69">
        <v>1.2570728619894785E-2</v>
      </c>
    </row>
    <row r="5065" spans="1:6" x14ac:dyDescent="0.3">
      <c r="A5065" s="24">
        <v>39943</v>
      </c>
      <c r="B5065" s="66">
        <v>811.16899999999998</v>
      </c>
      <c r="C5065" s="67"/>
      <c r="D5065" s="68">
        <v>0</v>
      </c>
      <c r="E5065" s="110">
        <f t="shared" si="79"/>
        <v>37193</v>
      </c>
      <c r="F5065" s="69">
        <v>1.2570728619894785E-2</v>
      </c>
    </row>
    <row r="5066" spans="1:6" x14ac:dyDescent="0.3">
      <c r="A5066" s="24">
        <v>39944</v>
      </c>
      <c r="B5066" s="66">
        <v>811.16899999999998</v>
      </c>
      <c r="C5066" s="67"/>
      <c r="D5066" s="68">
        <v>0</v>
      </c>
      <c r="E5066" s="110">
        <f t="shared" si="79"/>
        <v>37193</v>
      </c>
      <c r="F5066" s="69">
        <v>1.2570728619894785E-2</v>
      </c>
    </row>
    <row r="5067" spans="1:6" x14ac:dyDescent="0.3">
      <c r="A5067" s="24">
        <v>39945</v>
      </c>
      <c r="B5067" s="66">
        <v>811.16899999999998</v>
      </c>
      <c r="C5067" s="67"/>
      <c r="D5067" s="68">
        <v>0</v>
      </c>
      <c r="E5067" s="110">
        <f t="shared" si="79"/>
        <v>37193</v>
      </c>
      <c r="F5067" s="69">
        <v>1.2570728619894785E-2</v>
      </c>
    </row>
    <row r="5068" spans="1:6" x14ac:dyDescent="0.3">
      <c r="A5068" s="24">
        <v>39946</v>
      </c>
      <c r="B5068" s="66">
        <v>811.16899999999998</v>
      </c>
      <c r="C5068" s="67"/>
      <c r="D5068" s="68">
        <v>0</v>
      </c>
      <c r="E5068" s="110">
        <f t="shared" si="79"/>
        <v>37193</v>
      </c>
      <c r="F5068" s="69">
        <v>1.2570728619894785E-2</v>
      </c>
    </row>
    <row r="5069" spans="1:6" x14ac:dyDescent="0.3">
      <c r="A5069" s="24">
        <v>39947</v>
      </c>
      <c r="B5069" s="66">
        <v>811.16899999999998</v>
      </c>
      <c r="C5069" s="67"/>
      <c r="D5069" s="68">
        <v>0</v>
      </c>
      <c r="E5069" s="110">
        <f t="shared" si="79"/>
        <v>37193</v>
      </c>
      <c r="F5069" s="69">
        <v>1.2570728619894785E-2</v>
      </c>
    </row>
    <row r="5070" spans="1:6" x14ac:dyDescent="0.3">
      <c r="A5070" s="24">
        <v>39948</v>
      </c>
      <c r="B5070" s="66">
        <v>811.16899999999998</v>
      </c>
      <c r="C5070" s="67"/>
      <c r="D5070" s="68">
        <v>0</v>
      </c>
      <c r="E5070" s="110">
        <f t="shared" si="79"/>
        <v>37193</v>
      </c>
      <c r="F5070" s="69">
        <v>0</v>
      </c>
    </row>
    <row r="5071" spans="1:6" x14ac:dyDescent="0.3">
      <c r="A5071" s="24">
        <v>39949</v>
      </c>
      <c r="B5071" s="66">
        <v>811.16899999999998</v>
      </c>
      <c r="C5071" s="67"/>
      <c r="D5071" s="68">
        <v>0</v>
      </c>
      <c r="E5071" s="110">
        <f t="shared" si="79"/>
        <v>37193</v>
      </c>
      <c r="F5071" s="69">
        <v>0</v>
      </c>
    </row>
    <row r="5072" spans="1:6" x14ac:dyDescent="0.3">
      <c r="A5072" s="24">
        <v>39950</v>
      </c>
      <c r="B5072" s="66">
        <v>811.16899999999998</v>
      </c>
      <c r="C5072" s="67"/>
      <c r="D5072" s="68">
        <v>0</v>
      </c>
      <c r="E5072" s="110">
        <f t="shared" si="79"/>
        <v>37193</v>
      </c>
      <c r="F5072" s="69">
        <v>0</v>
      </c>
    </row>
    <row r="5073" spans="1:6" x14ac:dyDescent="0.3">
      <c r="A5073" s="24">
        <v>39951</v>
      </c>
      <c r="B5073" s="66">
        <v>811.16899999999998</v>
      </c>
      <c r="C5073" s="67"/>
      <c r="D5073" s="68">
        <v>0</v>
      </c>
      <c r="E5073" s="110">
        <f t="shared" si="79"/>
        <v>37193</v>
      </c>
      <c r="F5073" s="69">
        <v>0</v>
      </c>
    </row>
    <row r="5074" spans="1:6" x14ac:dyDescent="0.3">
      <c r="A5074" s="24">
        <v>39952</v>
      </c>
      <c r="B5074" s="66">
        <v>811.16899999999998</v>
      </c>
      <c r="C5074" s="67"/>
      <c r="D5074" s="68">
        <v>0</v>
      </c>
      <c r="E5074" s="110">
        <f t="shared" ref="E5074:E5137" si="80">+E5073</f>
        <v>37193</v>
      </c>
      <c r="F5074" s="69">
        <v>0</v>
      </c>
    </row>
    <row r="5075" spans="1:6" x14ac:dyDescent="0.3">
      <c r="A5075" s="24">
        <v>39953</v>
      </c>
      <c r="B5075" s="66">
        <v>811.16899999999998</v>
      </c>
      <c r="C5075" s="67"/>
      <c r="D5075" s="68">
        <v>0</v>
      </c>
      <c r="E5075" s="110">
        <f t="shared" si="80"/>
        <v>37193</v>
      </c>
      <c r="F5075" s="69">
        <v>0</v>
      </c>
    </row>
    <row r="5076" spans="1:6" x14ac:dyDescent="0.3">
      <c r="A5076" s="24">
        <v>39954</v>
      </c>
      <c r="B5076" s="66">
        <v>811.16899999999998</v>
      </c>
      <c r="C5076" s="67"/>
      <c r="D5076" s="68">
        <v>0</v>
      </c>
      <c r="E5076" s="110">
        <f t="shared" si="80"/>
        <v>37193</v>
      </c>
      <c r="F5076" s="69">
        <v>0</v>
      </c>
    </row>
    <row r="5077" spans="1:6" x14ac:dyDescent="0.3">
      <c r="A5077" s="24">
        <v>39955</v>
      </c>
      <c r="B5077" s="66">
        <v>811.16899999999998</v>
      </c>
      <c r="C5077" s="67"/>
      <c r="D5077" s="68">
        <v>0</v>
      </c>
      <c r="E5077" s="110">
        <f t="shared" si="80"/>
        <v>37193</v>
      </c>
      <c r="F5077" s="69">
        <v>0</v>
      </c>
    </row>
    <row r="5078" spans="1:6" x14ac:dyDescent="0.3">
      <c r="A5078" s="24">
        <v>39956</v>
      </c>
      <c r="B5078" s="66">
        <v>811.16899999999998</v>
      </c>
      <c r="C5078" s="67"/>
      <c r="D5078" s="68">
        <v>0</v>
      </c>
      <c r="E5078" s="110">
        <f t="shared" si="80"/>
        <v>37193</v>
      </c>
      <c r="F5078" s="69">
        <v>0</v>
      </c>
    </row>
    <row r="5079" spans="1:6" x14ac:dyDescent="0.3">
      <c r="A5079" s="24">
        <v>39957</v>
      </c>
      <c r="B5079" s="66">
        <v>811.16899999999998</v>
      </c>
      <c r="C5079" s="67"/>
      <c r="D5079" s="68">
        <v>0</v>
      </c>
      <c r="E5079" s="110">
        <f t="shared" si="80"/>
        <v>37193</v>
      </c>
      <c r="F5079" s="69">
        <v>0</v>
      </c>
    </row>
    <row r="5080" spans="1:6" x14ac:dyDescent="0.3">
      <c r="A5080" s="24">
        <v>39958</v>
      </c>
      <c r="B5080" s="66">
        <v>811.16899999999998</v>
      </c>
      <c r="C5080" s="67"/>
      <c r="D5080" s="68">
        <v>0</v>
      </c>
      <c r="E5080" s="110">
        <f t="shared" si="80"/>
        <v>37193</v>
      </c>
      <c r="F5080" s="69">
        <v>0</v>
      </c>
    </row>
    <row r="5081" spans="1:6" x14ac:dyDescent="0.3">
      <c r="A5081" s="24">
        <v>39959</v>
      </c>
      <c r="B5081" s="66">
        <v>811.16899999999998</v>
      </c>
      <c r="C5081" s="67"/>
      <c r="D5081" s="68">
        <v>6.5</v>
      </c>
      <c r="E5081" s="110">
        <f t="shared" si="80"/>
        <v>37193</v>
      </c>
      <c r="F5081" s="69">
        <v>9.501132096432106E-3</v>
      </c>
    </row>
    <row r="5082" spans="1:6" x14ac:dyDescent="0.3">
      <c r="A5082" s="24">
        <v>39960</v>
      </c>
      <c r="B5082" s="66">
        <v>811.16899999999998</v>
      </c>
      <c r="C5082" s="67"/>
      <c r="D5082" s="68">
        <v>0</v>
      </c>
      <c r="E5082" s="110">
        <f t="shared" si="80"/>
        <v>37193</v>
      </c>
      <c r="F5082" s="69">
        <v>9.501132096432106E-3</v>
      </c>
    </row>
    <row r="5083" spans="1:6" x14ac:dyDescent="0.3">
      <c r="A5083" s="24">
        <v>39961</v>
      </c>
      <c r="B5083" s="66">
        <v>811.16899999999998</v>
      </c>
      <c r="C5083" s="67"/>
      <c r="D5083" s="68">
        <v>0</v>
      </c>
      <c r="E5083" s="110">
        <f t="shared" si="80"/>
        <v>37193</v>
      </c>
      <c r="F5083" s="69">
        <v>9.501132096432106E-3</v>
      </c>
    </row>
    <row r="5084" spans="1:6" x14ac:dyDescent="0.3">
      <c r="A5084" s="24">
        <v>39962</v>
      </c>
      <c r="B5084" s="66">
        <v>811.16899999999998</v>
      </c>
      <c r="C5084" s="67"/>
      <c r="D5084" s="68">
        <v>0</v>
      </c>
      <c r="E5084" s="110">
        <f t="shared" si="80"/>
        <v>37193</v>
      </c>
      <c r="F5084" s="69">
        <v>9.501132096432106E-3</v>
      </c>
    </row>
    <row r="5085" spans="1:6" x14ac:dyDescent="0.3">
      <c r="A5085" s="24">
        <v>39963</v>
      </c>
      <c r="B5085" s="66">
        <v>811.16899999999998</v>
      </c>
      <c r="C5085" s="67"/>
      <c r="D5085" s="68">
        <v>0</v>
      </c>
      <c r="E5085" s="110">
        <f t="shared" si="80"/>
        <v>37193</v>
      </c>
      <c r="F5085" s="69">
        <v>9.501132096432106E-3</v>
      </c>
    </row>
    <row r="5086" spans="1:6" x14ac:dyDescent="0.3">
      <c r="A5086" s="24">
        <v>39964</v>
      </c>
      <c r="B5086" s="66">
        <v>811.16899999999998</v>
      </c>
      <c r="C5086" s="67"/>
      <c r="D5086" s="68">
        <v>0</v>
      </c>
      <c r="E5086" s="110">
        <f t="shared" si="80"/>
        <v>37193</v>
      </c>
      <c r="F5086" s="69">
        <v>9.501132096432106E-3</v>
      </c>
    </row>
    <row r="5087" spans="1:6" x14ac:dyDescent="0.3">
      <c r="A5087" s="24">
        <v>39965</v>
      </c>
      <c r="B5087" s="66">
        <v>811.16899999999998</v>
      </c>
      <c r="C5087" s="67"/>
      <c r="D5087" s="68">
        <v>0</v>
      </c>
      <c r="E5087" s="110">
        <f t="shared" si="80"/>
        <v>37193</v>
      </c>
      <c r="F5087" s="69">
        <v>9.501132096432106E-3</v>
      </c>
    </row>
    <row r="5088" spans="1:6" x14ac:dyDescent="0.3">
      <c r="A5088" s="24">
        <v>39966</v>
      </c>
      <c r="B5088" s="66">
        <v>811.16899999999998</v>
      </c>
      <c r="C5088" s="67"/>
      <c r="D5088" s="68">
        <v>0</v>
      </c>
      <c r="E5088" s="110">
        <f t="shared" si="80"/>
        <v>37193</v>
      </c>
      <c r="F5088" s="69">
        <v>9.501132096432106E-3</v>
      </c>
    </row>
    <row r="5089" spans="1:6" x14ac:dyDescent="0.3">
      <c r="A5089" s="24">
        <v>39967</v>
      </c>
      <c r="B5089" s="66">
        <v>811.16899999999998</v>
      </c>
      <c r="C5089" s="67"/>
      <c r="D5089" s="68">
        <v>0</v>
      </c>
      <c r="E5089" s="110">
        <f t="shared" si="80"/>
        <v>37193</v>
      </c>
      <c r="F5089" s="69">
        <v>9.501132096432106E-3</v>
      </c>
    </row>
    <row r="5090" spans="1:6" x14ac:dyDescent="0.3">
      <c r="A5090" s="24">
        <v>39968</v>
      </c>
      <c r="B5090" s="66">
        <v>811.16899999999998</v>
      </c>
      <c r="C5090" s="67"/>
      <c r="D5090" s="68">
        <v>0</v>
      </c>
      <c r="E5090" s="110">
        <f t="shared" si="80"/>
        <v>37193</v>
      </c>
      <c r="F5090" s="69">
        <v>9.501132096432106E-3</v>
      </c>
    </row>
    <row r="5091" spans="1:6" x14ac:dyDescent="0.3">
      <c r="A5091" s="24">
        <v>39969</v>
      </c>
      <c r="B5091" s="66">
        <v>811.16899999999998</v>
      </c>
      <c r="C5091" s="67"/>
      <c r="D5091" s="68">
        <v>0</v>
      </c>
      <c r="E5091" s="110">
        <f t="shared" si="80"/>
        <v>37193</v>
      </c>
      <c r="F5091" s="69">
        <v>9.501132096432106E-3</v>
      </c>
    </row>
    <row r="5092" spans="1:6" x14ac:dyDescent="0.3">
      <c r="A5092" s="24">
        <v>39970</v>
      </c>
      <c r="B5092" s="66">
        <v>811.16899999999998</v>
      </c>
      <c r="C5092" s="67"/>
      <c r="D5092" s="68">
        <v>0</v>
      </c>
      <c r="E5092" s="110">
        <f t="shared" si="80"/>
        <v>37193</v>
      </c>
      <c r="F5092" s="69">
        <v>9.501132096432106E-3</v>
      </c>
    </row>
    <row r="5093" spans="1:6" x14ac:dyDescent="0.3">
      <c r="A5093" s="24">
        <v>39971</v>
      </c>
      <c r="B5093" s="66">
        <v>811.16899999999998</v>
      </c>
      <c r="C5093" s="67"/>
      <c r="D5093" s="68">
        <v>0</v>
      </c>
      <c r="E5093" s="110">
        <f t="shared" si="80"/>
        <v>37193</v>
      </c>
      <c r="F5093" s="69">
        <v>9.501132096432106E-3</v>
      </c>
    </row>
    <row r="5094" spans="1:6" x14ac:dyDescent="0.3">
      <c r="A5094" s="24">
        <v>39972</v>
      </c>
      <c r="B5094" s="66">
        <v>811.16899999999998</v>
      </c>
      <c r="C5094" s="67"/>
      <c r="D5094" s="68">
        <v>0</v>
      </c>
      <c r="E5094" s="110">
        <f t="shared" si="80"/>
        <v>37193</v>
      </c>
      <c r="F5094" s="69">
        <v>9.501132096432106E-3</v>
      </c>
    </row>
    <row r="5095" spans="1:6" x14ac:dyDescent="0.3">
      <c r="A5095" s="24">
        <v>39973</v>
      </c>
      <c r="B5095" s="66">
        <v>811.16899999999998</v>
      </c>
      <c r="C5095" s="67"/>
      <c r="D5095" s="68">
        <v>0</v>
      </c>
      <c r="E5095" s="110">
        <f t="shared" si="80"/>
        <v>37193</v>
      </c>
      <c r="F5095" s="69">
        <v>9.501132096432106E-3</v>
      </c>
    </row>
    <row r="5096" spans="1:6" x14ac:dyDescent="0.3">
      <c r="A5096" s="24">
        <v>39974</v>
      </c>
      <c r="B5096" s="66">
        <v>811.16899999999998</v>
      </c>
      <c r="C5096" s="67"/>
      <c r="D5096" s="68">
        <v>0</v>
      </c>
      <c r="E5096" s="110">
        <f t="shared" si="80"/>
        <v>37193</v>
      </c>
      <c r="F5096" s="69">
        <v>9.501132096432106E-3</v>
      </c>
    </row>
    <row r="5097" spans="1:6" x14ac:dyDescent="0.3">
      <c r="A5097" s="24">
        <v>39975</v>
      </c>
      <c r="B5097" s="66">
        <v>811.16899999999998</v>
      </c>
      <c r="C5097" s="67"/>
      <c r="D5097" s="68">
        <v>0</v>
      </c>
      <c r="E5097" s="110">
        <f t="shared" si="80"/>
        <v>37193</v>
      </c>
      <c r="F5097" s="69">
        <v>9.501132096432106E-3</v>
      </c>
    </row>
    <row r="5098" spans="1:6" x14ac:dyDescent="0.3">
      <c r="A5098" s="24">
        <v>39976</v>
      </c>
      <c r="B5098" s="66">
        <v>811.16899999999998</v>
      </c>
      <c r="C5098" s="67"/>
      <c r="D5098" s="68">
        <v>0</v>
      </c>
      <c r="E5098" s="110">
        <f t="shared" si="80"/>
        <v>37193</v>
      </c>
      <c r="F5098" s="69">
        <v>9.501132096432106E-3</v>
      </c>
    </row>
    <row r="5099" spans="1:6" x14ac:dyDescent="0.3">
      <c r="A5099" s="24">
        <v>39977</v>
      </c>
      <c r="B5099" s="66">
        <v>811.16899999999998</v>
      </c>
      <c r="C5099" s="67"/>
      <c r="D5099" s="68">
        <v>0</v>
      </c>
      <c r="E5099" s="110">
        <f t="shared" si="80"/>
        <v>37193</v>
      </c>
      <c r="F5099" s="69">
        <v>9.501132096432106E-3</v>
      </c>
    </row>
    <row r="5100" spans="1:6" x14ac:dyDescent="0.3">
      <c r="A5100" s="24">
        <v>39978</v>
      </c>
      <c r="B5100" s="66">
        <v>811.16899999999998</v>
      </c>
      <c r="C5100" s="67"/>
      <c r="D5100" s="68">
        <v>0</v>
      </c>
      <c r="E5100" s="110">
        <f t="shared" si="80"/>
        <v>37193</v>
      </c>
      <c r="F5100" s="69">
        <v>9.501132096432106E-3</v>
      </c>
    </row>
    <row r="5101" spans="1:6" x14ac:dyDescent="0.3">
      <c r="A5101" s="24">
        <v>39979</v>
      </c>
      <c r="B5101" s="66">
        <v>811.16899999999998</v>
      </c>
      <c r="C5101" s="67"/>
      <c r="D5101" s="68">
        <v>0</v>
      </c>
      <c r="E5101" s="110">
        <f t="shared" si="80"/>
        <v>37193</v>
      </c>
      <c r="F5101" s="69">
        <v>9.501132096432106E-3</v>
      </c>
    </row>
    <row r="5102" spans="1:6" x14ac:dyDescent="0.3">
      <c r="A5102" s="24">
        <v>39980</v>
      </c>
      <c r="B5102" s="66">
        <v>811.16899999999998</v>
      </c>
      <c r="C5102" s="67"/>
      <c r="D5102" s="68">
        <v>0</v>
      </c>
      <c r="E5102" s="110">
        <f t="shared" si="80"/>
        <v>37193</v>
      </c>
      <c r="F5102" s="69">
        <v>9.501132096432106E-3</v>
      </c>
    </row>
    <row r="5103" spans="1:6" x14ac:dyDescent="0.3">
      <c r="A5103" s="24">
        <v>39981</v>
      </c>
      <c r="B5103" s="66">
        <v>811.16899999999998</v>
      </c>
      <c r="C5103" s="67"/>
      <c r="D5103" s="68">
        <v>0</v>
      </c>
      <c r="E5103" s="110">
        <f t="shared" si="80"/>
        <v>37193</v>
      </c>
      <c r="F5103" s="69">
        <v>9.501132096432106E-3</v>
      </c>
    </row>
    <row r="5104" spans="1:6" x14ac:dyDescent="0.3">
      <c r="A5104" s="24">
        <v>39982</v>
      </c>
      <c r="B5104" s="66">
        <v>811.16899999999998</v>
      </c>
      <c r="C5104" s="67"/>
      <c r="D5104" s="68">
        <v>0</v>
      </c>
      <c r="E5104" s="110">
        <f t="shared" si="80"/>
        <v>37193</v>
      </c>
      <c r="F5104" s="69">
        <v>9.501132096432106E-3</v>
      </c>
    </row>
    <row r="5105" spans="1:6" x14ac:dyDescent="0.3">
      <c r="A5105" s="24">
        <v>39983</v>
      </c>
      <c r="B5105" s="66">
        <v>811.16899999999998</v>
      </c>
      <c r="C5105" s="67"/>
      <c r="D5105" s="68">
        <v>0</v>
      </c>
      <c r="E5105" s="110">
        <f t="shared" si="80"/>
        <v>37193</v>
      </c>
      <c r="F5105" s="69">
        <v>9.501132096432106E-3</v>
      </c>
    </row>
    <row r="5106" spans="1:6" x14ac:dyDescent="0.3">
      <c r="A5106" s="24">
        <v>39984</v>
      </c>
      <c r="B5106" s="66">
        <v>811.16899999999998</v>
      </c>
      <c r="C5106" s="67"/>
      <c r="D5106" s="68">
        <v>0</v>
      </c>
      <c r="E5106" s="110">
        <f t="shared" si="80"/>
        <v>37193</v>
      </c>
      <c r="F5106" s="69">
        <v>9.501132096432106E-3</v>
      </c>
    </row>
    <row r="5107" spans="1:6" x14ac:dyDescent="0.3">
      <c r="A5107" s="24">
        <v>39985</v>
      </c>
      <c r="B5107" s="66">
        <v>811.16899999999998</v>
      </c>
      <c r="C5107" s="67"/>
      <c r="D5107" s="68">
        <v>0</v>
      </c>
      <c r="E5107" s="110">
        <f t="shared" si="80"/>
        <v>37193</v>
      </c>
      <c r="F5107" s="69">
        <v>9.501132096432106E-3</v>
      </c>
    </row>
    <row r="5108" spans="1:6" x14ac:dyDescent="0.3">
      <c r="A5108" s="24">
        <v>39986</v>
      </c>
      <c r="B5108" s="66">
        <v>811.16899999999998</v>
      </c>
      <c r="C5108" s="67"/>
      <c r="D5108" s="68">
        <v>0</v>
      </c>
      <c r="E5108" s="110">
        <f t="shared" si="80"/>
        <v>37193</v>
      </c>
      <c r="F5108" s="69">
        <v>9.501132096432106E-3</v>
      </c>
    </row>
    <row r="5109" spans="1:6" x14ac:dyDescent="0.3">
      <c r="A5109" s="24">
        <v>39987</v>
      </c>
      <c r="B5109" s="66">
        <v>811.16899999999998</v>
      </c>
      <c r="C5109" s="67"/>
      <c r="D5109" s="68">
        <v>0</v>
      </c>
      <c r="E5109" s="110">
        <f t="shared" si="80"/>
        <v>37193</v>
      </c>
      <c r="F5109" s="69">
        <v>9.501132096432106E-3</v>
      </c>
    </row>
    <row r="5110" spans="1:6" x14ac:dyDescent="0.3">
      <c r="A5110" s="24">
        <v>39988</v>
      </c>
      <c r="B5110" s="66">
        <v>811.16899999999998</v>
      </c>
      <c r="C5110" s="67"/>
      <c r="D5110" s="68">
        <v>0</v>
      </c>
      <c r="E5110" s="110">
        <f t="shared" si="80"/>
        <v>37193</v>
      </c>
      <c r="F5110" s="69">
        <v>9.501132096432106E-3</v>
      </c>
    </row>
    <row r="5111" spans="1:6" x14ac:dyDescent="0.3">
      <c r="A5111" s="24">
        <v>39989</v>
      </c>
      <c r="B5111" s="66">
        <v>811.16899999999998</v>
      </c>
      <c r="C5111" s="67"/>
      <c r="D5111" s="68">
        <v>0</v>
      </c>
      <c r="E5111" s="110">
        <f t="shared" si="80"/>
        <v>37193</v>
      </c>
      <c r="F5111" s="69">
        <v>9.501132096432106E-3</v>
      </c>
    </row>
    <row r="5112" spans="1:6" x14ac:dyDescent="0.3">
      <c r="A5112" s="24">
        <v>39990</v>
      </c>
      <c r="B5112" s="66">
        <v>811.16899999999998</v>
      </c>
      <c r="C5112" s="67"/>
      <c r="D5112" s="68">
        <v>0</v>
      </c>
      <c r="E5112" s="110">
        <f t="shared" si="80"/>
        <v>37193</v>
      </c>
      <c r="F5112" s="69">
        <v>9.501132096432106E-3</v>
      </c>
    </row>
    <row r="5113" spans="1:6" x14ac:dyDescent="0.3">
      <c r="A5113" s="24">
        <v>39991</v>
      </c>
      <c r="B5113" s="66">
        <v>811.16899999999998</v>
      </c>
      <c r="C5113" s="67"/>
      <c r="D5113" s="68">
        <v>0</v>
      </c>
      <c r="E5113" s="110">
        <f t="shared" si="80"/>
        <v>37193</v>
      </c>
      <c r="F5113" s="69">
        <v>9.501132096432106E-3</v>
      </c>
    </row>
    <row r="5114" spans="1:6" x14ac:dyDescent="0.3">
      <c r="A5114" s="24">
        <v>39992</v>
      </c>
      <c r="B5114" s="66">
        <v>811.16899999999998</v>
      </c>
      <c r="C5114" s="67"/>
      <c r="D5114" s="68">
        <v>0</v>
      </c>
      <c r="E5114" s="110">
        <f t="shared" si="80"/>
        <v>37193</v>
      </c>
      <c r="F5114" s="69">
        <v>9.501132096432106E-3</v>
      </c>
    </row>
    <row r="5115" spans="1:6" x14ac:dyDescent="0.3">
      <c r="A5115" s="24">
        <v>39993</v>
      </c>
      <c r="B5115" s="66">
        <v>811.16899999999998</v>
      </c>
      <c r="C5115" s="67"/>
      <c r="D5115" s="68">
        <v>0</v>
      </c>
      <c r="E5115" s="110">
        <f t="shared" si="80"/>
        <v>37193</v>
      </c>
      <c r="F5115" s="69">
        <v>9.0407110171495334E-3</v>
      </c>
    </row>
    <row r="5116" spans="1:6" x14ac:dyDescent="0.3">
      <c r="A5116" s="24">
        <v>39994</v>
      </c>
      <c r="B5116" s="66">
        <v>808.76599999999996</v>
      </c>
      <c r="C5116" s="67"/>
      <c r="D5116" s="68">
        <v>0</v>
      </c>
      <c r="E5116" s="110">
        <f t="shared" si="80"/>
        <v>37193</v>
      </c>
      <c r="F5116" s="69">
        <v>9.0407110171495334E-3</v>
      </c>
    </row>
    <row r="5117" spans="1:6" x14ac:dyDescent="0.3">
      <c r="A5117" s="24">
        <v>39995</v>
      </c>
      <c r="B5117" s="66">
        <v>808.76599999999996</v>
      </c>
      <c r="C5117" s="67"/>
      <c r="D5117" s="68">
        <v>0</v>
      </c>
      <c r="E5117" s="110">
        <f t="shared" si="80"/>
        <v>37193</v>
      </c>
      <c r="F5117" s="69">
        <v>9.0407110171495334E-3</v>
      </c>
    </row>
    <row r="5118" spans="1:6" x14ac:dyDescent="0.3">
      <c r="A5118" s="24">
        <v>39996</v>
      </c>
      <c r="B5118" s="66">
        <v>808.76599999999996</v>
      </c>
      <c r="C5118" s="67"/>
      <c r="D5118" s="68">
        <v>0</v>
      </c>
      <c r="E5118" s="110">
        <f t="shared" si="80"/>
        <v>37193</v>
      </c>
      <c r="F5118" s="69">
        <v>9.0407110171495334E-3</v>
      </c>
    </row>
    <row r="5119" spans="1:6" x14ac:dyDescent="0.3">
      <c r="A5119" s="24">
        <v>39997</v>
      </c>
      <c r="B5119" s="66">
        <v>808.76599999999996</v>
      </c>
      <c r="C5119" s="67"/>
      <c r="D5119" s="68">
        <v>0</v>
      </c>
      <c r="E5119" s="110">
        <f t="shared" si="80"/>
        <v>37193</v>
      </c>
      <c r="F5119" s="69">
        <v>9.0407110171495334E-3</v>
      </c>
    </row>
    <row r="5120" spans="1:6" x14ac:dyDescent="0.3">
      <c r="A5120" s="24">
        <v>39998</v>
      </c>
      <c r="B5120" s="66">
        <v>808.76599999999996</v>
      </c>
      <c r="C5120" s="67"/>
      <c r="D5120" s="68">
        <v>0</v>
      </c>
      <c r="E5120" s="110">
        <f t="shared" si="80"/>
        <v>37193</v>
      </c>
      <c r="F5120" s="69">
        <v>9.0407110171495334E-3</v>
      </c>
    </row>
    <row r="5121" spans="1:6" x14ac:dyDescent="0.3">
      <c r="A5121" s="24">
        <v>39999</v>
      </c>
      <c r="B5121" s="66">
        <v>808.76599999999996</v>
      </c>
      <c r="C5121" s="67"/>
      <c r="D5121" s="68">
        <v>0</v>
      </c>
      <c r="E5121" s="110">
        <f t="shared" si="80"/>
        <v>37193</v>
      </c>
      <c r="F5121" s="69">
        <v>9.0407110171495334E-3</v>
      </c>
    </row>
    <row r="5122" spans="1:6" x14ac:dyDescent="0.3">
      <c r="A5122" s="24">
        <v>40000</v>
      </c>
      <c r="B5122" s="66">
        <v>808.76599999999996</v>
      </c>
      <c r="C5122" s="67"/>
      <c r="D5122" s="68">
        <v>0</v>
      </c>
      <c r="E5122" s="110">
        <f t="shared" si="80"/>
        <v>37193</v>
      </c>
      <c r="F5122" s="69">
        <v>9.0407110171495334E-3</v>
      </c>
    </row>
    <row r="5123" spans="1:6" x14ac:dyDescent="0.3">
      <c r="A5123" s="24">
        <v>40001</v>
      </c>
      <c r="B5123" s="66">
        <v>808.76599999999996</v>
      </c>
      <c r="C5123" s="67"/>
      <c r="D5123" s="68">
        <v>0</v>
      </c>
      <c r="E5123" s="110">
        <f t="shared" si="80"/>
        <v>37193</v>
      </c>
      <c r="F5123" s="69">
        <v>9.0407110171495334E-3</v>
      </c>
    </row>
    <row r="5124" spans="1:6" x14ac:dyDescent="0.3">
      <c r="A5124" s="24">
        <v>40002</v>
      </c>
      <c r="B5124" s="66">
        <v>808.76599999999996</v>
      </c>
      <c r="C5124" s="67"/>
      <c r="D5124" s="68">
        <v>0</v>
      </c>
      <c r="E5124" s="110">
        <f t="shared" si="80"/>
        <v>37193</v>
      </c>
      <c r="F5124" s="69">
        <v>9.0407110171495334E-3</v>
      </c>
    </row>
    <row r="5125" spans="1:6" x14ac:dyDescent="0.3">
      <c r="A5125" s="24">
        <v>40003</v>
      </c>
      <c r="B5125" s="66">
        <v>808.76599999999996</v>
      </c>
      <c r="C5125" s="67"/>
      <c r="D5125" s="68">
        <v>0</v>
      </c>
      <c r="E5125" s="110">
        <f t="shared" si="80"/>
        <v>37193</v>
      </c>
      <c r="F5125" s="69">
        <v>9.0407110171495334E-3</v>
      </c>
    </row>
    <row r="5126" spans="1:6" x14ac:dyDescent="0.3">
      <c r="A5126" s="24">
        <v>40004</v>
      </c>
      <c r="B5126" s="66">
        <v>808.76599999999996</v>
      </c>
      <c r="C5126" s="67"/>
      <c r="D5126" s="68">
        <v>0</v>
      </c>
      <c r="E5126" s="110">
        <f t="shared" si="80"/>
        <v>37193</v>
      </c>
      <c r="F5126" s="69">
        <v>9.0407110171495334E-3</v>
      </c>
    </row>
    <row r="5127" spans="1:6" x14ac:dyDescent="0.3">
      <c r="A5127" s="24">
        <v>40005</v>
      </c>
      <c r="B5127" s="66">
        <v>808.76599999999996</v>
      </c>
      <c r="C5127" s="67"/>
      <c r="D5127" s="68">
        <v>0</v>
      </c>
      <c r="E5127" s="110">
        <f t="shared" si="80"/>
        <v>37193</v>
      </c>
      <c r="F5127" s="69">
        <v>9.0407110171495334E-3</v>
      </c>
    </row>
    <row r="5128" spans="1:6" x14ac:dyDescent="0.3">
      <c r="A5128" s="24">
        <v>40006</v>
      </c>
      <c r="B5128" s="66">
        <v>808.76599999999996</v>
      </c>
      <c r="C5128" s="67"/>
      <c r="D5128" s="68">
        <v>0</v>
      </c>
      <c r="E5128" s="110">
        <f t="shared" si="80"/>
        <v>37193</v>
      </c>
      <c r="F5128" s="69">
        <v>9.0407110171495334E-3</v>
      </c>
    </row>
    <row r="5129" spans="1:6" x14ac:dyDescent="0.3">
      <c r="A5129" s="24">
        <v>40007</v>
      </c>
      <c r="B5129" s="66">
        <v>808.76599999999996</v>
      </c>
      <c r="C5129" s="67"/>
      <c r="D5129" s="68">
        <v>0</v>
      </c>
      <c r="E5129" s="110">
        <f t="shared" si="80"/>
        <v>37193</v>
      </c>
      <c r="F5129" s="69">
        <v>9.0407110171495334E-3</v>
      </c>
    </row>
    <row r="5130" spans="1:6" x14ac:dyDescent="0.3">
      <c r="A5130" s="24">
        <v>40008</v>
      </c>
      <c r="B5130" s="66">
        <v>808.76599999999996</v>
      </c>
      <c r="C5130" s="67"/>
      <c r="D5130" s="68">
        <v>0</v>
      </c>
      <c r="E5130" s="110">
        <f t="shared" si="80"/>
        <v>37193</v>
      </c>
      <c r="F5130" s="69">
        <v>9.0407110171495334E-3</v>
      </c>
    </row>
    <row r="5131" spans="1:6" x14ac:dyDescent="0.3">
      <c r="A5131" s="24">
        <v>40009</v>
      </c>
      <c r="B5131" s="66">
        <v>808.76599999999996</v>
      </c>
      <c r="C5131" s="67"/>
      <c r="D5131" s="68">
        <v>0</v>
      </c>
      <c r="E5131" s="110">
        <f t="shared" si="80"/>
        <v>37193</v>
      </c>
      <c r="F5131" s="69">
        <v>9.0407110171495334E-3</v>
      </c>
    </row>
    <row r="5132" spans="1:6" x14ac:dyDescent="0.3">
      <c r="A5132" s="24">
        <v>40010</v>
      </c>
      <c r="B5132" s="66">
        <v>808.76599999999996</v>
      </c>
      <c r="C5132" s="67"/>
      <c r="D5132" s="68">
        <v>0</v>
      </c>
      <c r="E5132" s="110">
        <f t="shared" si="80"/>
        <v>37193</v>
      </c>
      <c r="F5132" s="69">
        <v>9.0407110171495334E-3</v>
      </c>
    </row>
    <row r="5133" spans="1:6" x14ac:dyDescent="0.3">
      <c r="A5133" s="24">
        <v>40011</v>
      </c>
      <c r="B5133" s="66">
        <v>808.76599999999996</v>
      </c>
      <c r="C5133" s="67"/>
      <c r="D5133" s="68">
        <v>0</v>
      </c>
      <c r="E5133" s="110">
        <f t="shared" si="80"/>
        <v>37193</v>
      </c>
      <c r="F5133" s="69">
        <v>9.0407110171495334E-3</v>
      </c>
    </row>
    <row r="5134" spans="1:6" x14ac:dyDescent="0.3">
      <c r="A5134" s="24">
        <v>40012</v>
      </c>
      <c r="B5134" s="66">
        <v>808.76599999999996</v>
      </c>
      <c r="C5134" s="67"/>
      <c r="D5134" s="68">
        <v>0</v>
      </c>
      <c r="E5134" s="110">
        <f t="shared" si="80"/>
        <v>37193</v>
      </c>
      <c r="F5134" s="69">
        <v>9.0407110171495334E-3</v>
      </c>
    </row>
    <row r="5135" spans="1:6" x14ac:dyDescent="0.3">
      <c r="A5135" s="24">
        <v>40013</v>
      </c>
      <c r="B5135" s="66">
        <v>808.76599999999996</v>
      </c>
      <c r="C5135" s="67"/>
      <c r="D5135" s="68">
        <v>0</v>
      </c>
      <c r="E5135" s="110">
        <f t="shared" si="80"/>
        <v>37193</v>
      </c>
      <c r="F5135" s="69">
        <v>9.0407110171495334E-3</v>
      </c>
    </row>
    <row r="5136" spans="1:6" x14ac:dyDescent="0.3">
      <c r="A5136" s="24">
        <v>40014</v>
      </c>
      <c r="B5136" s="66">
        <v>808.76599999999996</v>
      </c>
      <c r="C5136" s="67"/>
      <c r="D5136" s="68">
        <v>0</v>
      </c>
      <c r="E5136" s="110">
        <f t="shared" si="80"/>
        <v>37193</v>
      </c>
      <c r="F5136" s="69">
        <v>9.0407110171495334E-3</v>
      </c>
    </row>
    <row r="5137" spans="1:6" x14ac:dyDescent="0.3">
      <c r="A5137" s="24">
        <v>40015</v>
      </c>
      <c r="B5137" s="66">
        <v>808.76599999999996</v>
      </c>
      <c r="C5137" s="67"/>
      <c r="D5137" s="68">
        <v>0</v>
      </c>
      <c r="E5137" s="110">
        <f t="shared" si="80"/>
        <v>37193</v>
      </c>
      <c r="F5137" s="69">
        <v>9.0407110171495334E-3</v>
      </c>
    </row>
    <row r="5138" spans="1:6" x14ac:dyDescent="0.3">
      <c r="A5138" s="24">
        <v>40016</v>
      </c>
      <c r="B5138" s="66">
        <v>808.76599999999996</v>
      </c>
      <c r="C5138" s="67"/>
      <c r="D5138" s="68">
        <v>0</v>
      </c>
      <c r="E5138" s="110">
        <f t="shared" ref="E5138:E5172" si="81">+E5137</f>
        <v>37193</v>
      </c>
      <c r="F5138" s="69">
        <v>9.0407110171495334E-3</v>
      </c>
    </row>
    <row r="5139" spans="1:6" x14ac:dyDescent="0.3">
      <c r="A5139" s="24">
        <v>40017</v>
      </c>
      <c r="B5139" s="66">
        <v>808.76599999999996</v>
      </c>
      <c r="C5139" s="67"/>
      <c r="D5139" s="68">
        <v>0</v>
      </c>
      <c r="E5139" s="110">
        <f t="shared" si="81"/>
        <v>37193</v>
      </c>
      <c r="F5139" s="69">
        <v>9.0407110171495334E-3</v>
      </c>
    </row>
    <row r="5140" spans="1:6" x14ac:dyDescent="0.3">
      <c r="A5140" s="24">
        <v>40018</v>
      </c>
      <c r="B5140" s="66">
        <v>808.76599999999996</v>
      </c>
      <c r="C5140" s="67"/>
      <c r="D5140" s="68">
        <v>0</v>
      </c>
      <c r="E5140" s="110">
        <f t="shared" si="81"/>
        <v>37193</v>
      </c>
      <c r="F5140" s="69">
        <v>9.0407110171495334E-3</v>
      </c>
    </row>
    <row r="5141" spans="1:6" x14ac:dyDescent="0.3">
      <c r="A5141" s="24">
        <v>40019</v>
      </c>
      <c r="B5141" s="66">
        <v>808.76599999999996</v>
      </c>
      <c r="C5141" s="67"/>
      <c r="D5141" s="68">
        <v>0</v>
      </c>
      <c r="E5141" s="110">
        <f t="shared" si="81"/>
        <v>37193</v>
      </c>
      <c r="F5141" s="69">
        <v>9.0407110171495334E-3</v>
      </c>
    </row>
    <row r="5142" spans="1:6" x14ac:dyDescent="0.3">
      <c r="A5142" s="24">
        <v>40020</v>
      </c>
      <c r="B5142" s="66">
        <v>808.76599999999996</v>
      </c>
      <c r="C5142" s="67"/>
      <c r="D5142" s="68">
        <v>0</v>
      </c>
      <c r="E5142" s="110">
        <f t="shared" si="81"/>
        <v>37193</v>
      </c>
      <c r="F5142" s="69">
        <v>9.0407110171495334E-3</v>
      </c>
    </row>
    <row r="5143" spans="1:6" x14ac:dyDescent="0.3">
      <c r="A5143" s="24">
        <v>40021</v>
      </c>
      <c r="B5143" s="66">
        <v>808.76599999999996</v>
      </c>
      <c r="C5143" s="67"/>
      <c r="D5143" s="68">
        <v>0</v>
      </c>
      <c r="E5143" s="110">
        <f t="shared" si="81"/>
        <v>37193</v>
      </c>
      <c r="F5143" s="69">
        <v>9.0407110171495334E-3</v>
      </c>
    </row>
    <row r="5144" spans="1:6" x14ac:dyDescent="0.3">
      <c r="A5144" s="24">
        <v>40022</v>
      </c>
      <c r="B5144" s="66">
        <v>808.76599999999996</v>
      </c>
      <c r="C5144" s="67"/>
      <c r="D5144" s="68">
        <v>0</v>
      </c>
      <c r="E5144" s="110">
        <f t="shared" si="81"/>
        <v>37193</v>
      </c>
      <c r="F5144" s="69">
        <v>9.0407110171495334E-3</v>
      </c>
    </row>
    <row r="5145" spans="1:6" x14ac:dyDescent="0.3">
      <c r="A5145" s="24">
        <v>40023</v>
      </c>
      <c r="B5145" s="66">
        <v>808.76599999999996</v>
      </c>
      <c r="C5145" s="67"/>
      <c r="D5145" s="68">
        <v>0</v>
      </c>
      <c r="E5145" s="110">
        <f t="shared" si="81"/>
        <v>37193</v>
      </c>
      <c r="F5145" s="69">
        <v>9.0407110171495334E-3</v>
      </c>
    </row>
    <row r="5146" spans="1:6" x14ac:dyDescent="0.3">
      <c r="A5146" s="24">
        <v>40024</v>
      </c>
      <c r="B5146" s="66">
        <v>808.76599999999996</v>
      </c>
      <c r="C5146" s="67"/>
      <c r="D5146" s="68">
        <v>0</v>
      </c>
      <c r="E5146" s="110">
        <f t="shared" si="81"/>
        <v>37193</v>
      </c>
      <c r="F5146" s="69">
        <v>9.0407110171495334E-3</v>
      </c>
    </row>
    <row r="5147" spans="1:6" x14ac:dyDescent="0.3">
      <c r="A5147" s="24">
        <v>40025</v>
      </c>
      <c r="B5147" s="66">
        <v>808.76599999999996</v>
      </c>
      <c r="C5147" s="67"/>
      <c r="D5147" s="68">
        <v>0</v>
      </c>
      <c r="E5147" s="110">
        <f t="shared" si="81"/>
        <v>37193</v>
      </c>
      <c r="F5147" s="69">
        <v>9.0407110171495334E-3</v>
      </c>
    </row>
    <row r="5148" spans="1:6" x14ac:dyDescent="0.3">
      <c r="A5148" s="24">
        <v>40026</v>
      </c>
      <c r="B5148" s="66">
        <v>808.76599999999996</v>
      </c>
      <c r="C5148" s="67"/>
      <c r="D5148" s="68">
        <v>0</v>
      </c>
      <c r="E5148" s="110">
        <f t="shared" si="81"/>
        <v>37193</v>
      </c>
      <c r="F5148" s="69">
        <v>9.0407110171495334E-3</v>
      </c>
    </row>
    <row r="5149" spans="1:6" x14ac:dyDescent="0.3">
      <c r="A5149" s="24">
        <v>40027</v>
      </c>
      <c r="B5149" s="66">
        <v>808.76599999999996</v>
      </c>
      <c r="C5149" s="67"/>
      <c r="D5149" s="68">
        <v>0</v>
      </c>
      <c r="E5149" s="110">
        <f t="shared" si="81"/>
        <v>37193</v>
      </c>
      <c r="F5149" s="69">
        <v>9.0407110171495334E-3</v>
      </c>
    </row>
    <row r="5150" spans="1:6" x14ac:dyDescent="0.3">
      <c r="A5150" s="24">
        <v>40028</v>
      </c>
      <c r="B5150" s="66">
        <v>808.76599999999996</v>
      </c>
      <c r="C5150" s="67"/>
      <c r="D5150" s="68">
        <v>0</v>
      </c>
      <c r="E5150" s="110">
        <f t="shared" si="81"/>
        <v>37193</v>
      </c>
      <c r="F5150" s="69">
        <v>9.0407110171495334E-3</v>
      </c>
    </row>
    <row r="5151" spans="1:6" x14ac:dyDescent="0.3">
      <c r="A5151" s="24">
        <v>40029</v>
      </c>
      <c r="B5151" s="66">
        <v>808.76599999999996</v>
      </c>
      <c r="C5151" s="67"/>
      <c r="D5151" s="68">
        <v>0</v>
      </c>
      <c r="E5151" s="110">
        <f t="shared" si="81"/>
        <v>37193</v>
      </c>
      <c r="F5151" s="69">
        <v>9.0407110171495334E-3</v>
      </c>
    </row>
    <row r="5152" spans="1:6" x14ac:dyDescent="0.3">
      <c r="A5152" s="24">
        <v>40030</v>
      </c>
      <c r="B5152" s="66">
        <v>808.76599999999996</v>
      </c>
      <c r="C5152" s="67"/>
      <c r="D5152" s="68">
        <v>0</v>
      </c>
      <c r="E5152" s="110">
        <f t="shared" si="81"/>
        <v>37193</v>
      </c>
      <c r="F5152" s="69">
        <v>9.0407110171495334E-3</v>
      </c>
    </row>
    <row r="5153" spans="1:6" x14ac:dyDescent="0.3">
      <c r="A5153" s="24">
        <v>40031</v>
      </c>
      <c r="B5153" s="66">
        <v>808.76599999999996</v>
      </c>
      <c r="C5153" s="67"/>
      <c r="D5153" s="68">
        <v>0</v>
      </c>
      <c r="E5153" s="110">
        <f t="shared" si="81"/>
        <v>37193</v>
      </c>
      <c r="F5153" s="69">
        <v>9.0407110171495334E-3</v>
      </c>
    </row>
    <row r="5154" spans="1:6" x14ac:dyDescent="0.3">
      <c r="A5154" s="24">
        <v>40032</v>
      </c>
      <c r="B5154" s="66">
        <v>808.76599999999996</v>
      </c>
      <c r="C5154" s="67"/>
      <c r="D5154" s="68">
        <v>0</v>
      </c>
      <c r="E5154" s="110">
        <f t="shared" si="81"/>
        <v>37193</v>
      </c>
      <c r="F5154" s="69">
        <v>9.0407110171495334E-3</v>
      </c>
    </row>
    <row r="5155" spans="1:6" x14ac:dyDescent="0.3">
      <c r="A5155" s="24">
        <v>40033</v>
      </c>
      <c r="B5155" s="66">
        <v>808.76599999999996</v>
      </c>
      <c r="C5155" s="67"/>
      <c r="D5155" s="68">
        <v>0</v>
      </c>
      <c r="E5155" s="110">
        <f t="shared" si="81"/>
        <v>37193</v>
      </c>
      <c r="F5155" s="69">
        <v>9.0407110171495334E-3</v>
      </c>
    </row>
    <row r="5156" spans="1:6" x14ac:dyDescent="0.3">
      <c r="A5156" s="24">
        <v>40034</v>
      </c>
      <c r="B5156" s="66">
        <v>808.76599999999996</v>
      </c>
      <c r="C5156" s="67"/>
      <c r="D5156" s="68">
        <v>0</v>
      </c>
      <c r="E5156" s="110">
        <f t="shared" si="81"/>
        <v>37193</v>
      </c>
      <c r="F5156" s="69">
        <v>9.0407110171495334E-3</v>
      </c>
    </row>
    <row r="5157" spans="1:6" x14ac:dyDescent="0.3">
      <c r="A5157" s="24">
        <v>40035</v>
      </c>
      <c r="B5157" s="66">
        <v>808.76599999999996</v>
      </c>
      <c r="C5157" s="67"/>
      <c r="D5157" s="68">
        <v>0</v>
      </c>
      <c r="E5157" s="110">
        <f t="shared" si="81"/>
        <v>37193</v>
      </c>
      <c r="F5157" s="69">
        <v>9.0407110171495334E-3</v>
      </c>
    </row>
    <row r="5158" spans="1:6" x14ac:dyDescent="0.3">
      <c r="A5158" s="24">
        <v>40036</v>
      </c>
      <c r="B5158" s="66">
        <v>808.76599999999996</v>
      </c>
      <c r="C5158" s="67"/>
      <c r="D5158" s="68">
        <v>0</v>
      </c>
      <c r="E5158" s="110">
        <f t="shared" si="81"/>
        <v>37193</v>
      </c>
      <c r="F5158" s="69">
        <v>9.0407110171495334E-3</v>
      </c>
    </row>
    <row r="5159" spans="1:6" x14ac:dyDescent="0.3">
      <c r="A5159" s="24">
        <v>40037</v>
      </c>
      <c r="B5159" s="66">
        <v>808.76599999999996</v>
      </c>
      <c r="C5159" s="67"/>
      <c r="D5159" s="68">
        <v>0</v>
      </c>
      <c r="E5159" s="110">
        <f t="shared" si="81"/>
        <v>37193</v>
      </c>
      <c r="F5159" s="69">
        <v>9.0407110171495334E-3</v>
      </c>
    </row>
    <row r="5160" spans="1:6" x14ac:dyDescent="0.3">
      <c r="A5160" s="24">
        <v>40038</v>
      </c>
      <c r="B5160" s="66">
        <v>808.76599999999996</v>
      </c>
      <c r="C5160" s="67"/>
      <c r="D5160" s="68">
        <v>0</v>
      </c>
      <c r="E5160" s="110">
        <f t="shared" si="81"/>
        <v>37193</v>
      </c>
      <c r="F5160" s="69">
        <v>9.0407110171495334E-3</v>
      </c>
    </row>
    <row r="5161" spans="1:6" x14ac:dyDescent="0.3">
      <c r="A5161" s="24">
        <v>40039</v>
      </c>
      <c r="B5161" s="66">
        <v>808.76599999999996</v>
      </c>
      <c r="C5161" s="67"/>
      <c r="D5161" s="68">
        <v>0</v>
      </c>
      <c r="E5161" s="110">
        <f t="shared" si="81"/>
        <v>37193</v>
      </c>
      <c r="F5161" s="69">
        <v>9.0407110171495334E-3</v>
      </c>
    </row>
    <row r="5162" spans="1:6" x14ac:dyDescent="0.3">
      <c r="A5162" s="24">
        <v>40040</v>
      </c>
      <c r="B5162" s="66">
        <v>808.76599999999996</v>
      </c>
      <c r="C5162" s="67"/>
      <c r="D5162" s="68">
        <v>0</v>
      </c>
      <c r="E5162" s="110">
        <f t="shared" si="81"/>
        <v>37193</v>
      </c>
      <c r="F5162" s="69">
        <v>9.0407110171495334E-3</v>
      </c>
    </row>
    <row r="5163" spans="1:6" x14ac:dyDescent="0.3">
      <c r="A5163" s="24">
        <v>40041</v>
      </c>
      <c r="B5163" s="66">
        <v>808.76599999999996</v>
      </c>
      <c r="C5163" s="67"/>
      <c r="D5163" s="68">
        <v>0</v>
      </c>
      <c r="E5163" s="110">
        <f t="shared" si="81"/>
        <v>37193</v>
      </c>
      <c r="F5163" s="69">
        <v>9.0407110171495334E-3</v>
      </c>
    </row>
    <row r="5164" spans="1:6" x14ac:dyDescent="0.3">
      <c r="A5164" s="24">
        <v>40042</v>
      </c>
      <c r="B5164" s="66">
        <v>808.76599999999996</v>
      </c>
      <c r="C5164" s="67"/>
      <c r="D5164" s="68">
        <v>0</v>
      </c>
      <c r="E5164" s="110">
        <f t="shared" si="81"/>
        <v>37193</v>
      </c>
      <c r="F5164" s="69">
        <v>9.0407110171495334E-3</v>
      </c>
    </row>
    <row r="5165" spans="1:6" x14ac:dyDescent="0.3">
      <c r="A5165" s="24">
        <v>40043</v>
      </c>
      <c r="B5165" s="66">
        <v>808.76599999999996</v>
      </c>
      <c r="C5165" s="67"/>
      <c r="D5165" s="68">
        <v>0</v>
      </c>
      <c r="E5165" s="110">
        <f t="shared" si="81"/>
        <v>37193</v>
      </c>
      <c r="F5165" s="69">
        <v>9.0407110171495334E-3</v>
      </c>
    </row>
    <row r="5166" spans="1:6" x14ac:dyDescent="0.3">
      <c r="A5166" s="24">
        <v>40044</v>
      </c>
      <c r="B5166" s="66">
        <v>808.76599999999996</v>
      </c>
      <c r="C5166" s="67"/>
      <c r="D5166" s="68">
        <v>0</v>
      </c>
      <c r="E5166" s="110">
        <f t="shared" si="81"/>
        <v>37193</v>
      </c>
      <c r="F5166" s="69">
        <v>9.0407110171495334E-3</v>
      </c>
    </row>
    <row r="5167" spans="1:6" x14ac:dyDescent="0.3">
      <c r="A5167" s="24">
        <v>40045</v>
      </c>
      <c r="B5167" s="66">
        <v>808.76599999999996</v>
      </c>
      <c r="C5167" s="67"/>
      <c r="D5167" s="68">
        <v>0</v>
      </c>
      <c r="E5167" s="110">
        <f t="shared" si="81"/>
        <v>37193</v>
      </c>
      <c r="F5167" s="69">
        <v>9.0407110171495334E-3</v>
      </c>
    </row>
    <row r="5168" spans="1:6" x14ac:dyDescent="0.3">
      <c r="A5168" s="24">
        <v>40046</v>
      </c>
      <c r="B5168" s="66">
        <v>808.76599999999996</v>
      </c>
      <c r="C5168" s="67"/>
      <c r="D5168" s="68">
        <v>0</v>
      </c>
      <c r="E5168" s="110">
        <f t="shared" si="81"/>
        <v>37193</v>
      </c>
      <c r="F5168" s="69">
        <v>9.0407110171495334E-3</v>
      </c>
    </row>
    <row r="5169" spans="1:6" x14ac:dyDescent="0.3">
      <c r="A5169" s="24">
        <v>40047</v>
      </c>
      <c r="B5169" s="66">
        <v>808.76599999999996</v>
      </c>
      <c r="C5169" s="67"/>
      <c r="D5169" s="68">
        <v>0</v>
      </c>
      <c r="E5169" s="110">
        <f t="shared" si="81"/>
        <v>37193</v>
      </c>
      <c r="F5169" s="69">
        <v>9.0407110171495334E-3</v>
      </c>
    </row>
    <row r="5170" spans="1:6" x14ac:dyDescent="0.3">
      <c r="A5170" s="24">
        <v>40048</v>
      </c>
      <c r="B5170" s="66">
        <v>808.76599999999996</v>
      </c>
      <c r="C5170" s="67"/>
      <c r="D5170" s="68">
        <v>0</v>
      </c>
      <c r="E5170" s="110">
        <f t="shared" si="81"/>
        <v>37193</v>
      </c>
      <c r="F5170" s="69">
        <v>9.0407110171495334E-3</v>
      </c>
    </row>
    <row r="5171" spans="1:6" x14ac:dyDescent="0.3">
      <c r="A5171" s="24">
        <v>40049</v>
      </c>
      <c r="B5171" s="66">
        <v>808.76599999999996</v>
      </c>
      <c r="C5171" s="67"/>
      <c r="D5171" s="68">
        <v>0</v>
      </c>
      <c r="E5171" s="110">
        <f t="shared" si="81"/>
        <v>37193</v>
      </c>
      <c r="F5171" s="69">
        <v>9.0407110171495334E-3</v>
      </c>
    </row>
    <row r="5172" spans="1:6" x14ac:dyDescent="0.3">
      <c r="A5172" s="24">
        <v>40050</v>
      </c>
      <c r="B5172" s="66">
        <v>808.76599999999996</v>
      </c>
      <c r="C5172" s="67"/>
      <c r="D5172" s="68">
        <v>0</v>
      </c>
      <c r="E5172" s="110">
        <f t="shared" si="81"/>
        <v>37193</v>
      </c>
      <c r="F5172" s="69">
        <v>9.0407110171495334E-3</v>
      </c>
    </row>
    <row r="5173" spans="1:6" x14ac:dyDescent="0.3">
      <c r="A5173" s="24">
        <v>40051</v>
      </c>
      <c r="B5173" s="66">
        <v>808.76599999999996</v>
      </c>
      <c r="C5173" s="67"/>
      <c r="D5173" s="68">
        <v>0</v>
      </c>
      <c r="E5173" s="110">
        <v>37271</v>
      </c>
      <c r="F5173" s="69">
        <v>9.0407110171495334E-3</v>
      </c>
    </row>
    <row r="5174" spans="1:6" x14ac:dyDescent="0.3">
      <c r="A5174" s="24">
        <v>40052</v>
      </c>
      <c r="B5174" s="66">
        <v>808.76599999999996</v>
      </c>
      <c r="C5174" s="67"/>
      <c r="D5174" s="68">
        <v>0</v>
      </c>
      <c r="E5174" s="110">
        <f>+E5173</f>
        <v>37271</v>
      </c>
      <c r="F5174" s="69">
        <v>9.0407110171495334E-3</v>
      </c>
    </row>
    <row r="5175" spans="1:6" x14ac:dyDescent="0.3">
      <c r="A5175" s="24">
        <v>40053</v>
      </c>
      <c r="B5175" s="66">
        <v>808.76599999999996</v>
      </c>
      <c r="C5175" s="67"/>
      <c r="D5175" s="68">
        <v>0</v>
      </c>
      <c r="E5175" s="110">
        <f t="shared" ref="E5175:E5184" si="82">+E5174</f>
        <v>37271</v>
      </c>
      <c r="F5175" s="69">
        <v>9.0407110171495334E-3</v>
      </c>
    </row>
    <row r="5176" spans="1:6" x14ac:dyDescent="0.3">
      <c r="A5176" s="24">
        <v>40054</v>
      </c>
      <c r="B5176" s="66">
        <v>808.76599999999996</v>
      </c>
      <c r="C5176" s="67"/>
      <c r="D5176" s="68">
        <v>0</v>
      </c>
      <c r="E5176" s="110">
        <f t="shared" si="82"/>
        <v>37271</v>
      </c>
      <c r="F5176" s="69">
        <v>9.0407110171495334E-3</v>
      </c>
    </row>
    <row r="5177" spans="1:6" x14ac:dyDescent="0.3">
      <c r="A5177" s="24">
        <v>40055</v>
      </c>
      <c r="B5177" s="66">
        <v>808.76599999999996</v>
      </c>
      <c r="C5177" s="67"/>
      <c r="D5177" s="68">
        <v>0</v>
      </c>
      <c r="E5177" s="110">
        <f t="shared" si="82"/>
        <v>37271</v>
      </c>
      <c r="F5177" s="69">
        <v>9.0407110171495334E-3</v>
      </c>
    </row>
    <row r="5178" spans="1:6" x14ac:dyDescent="0.3">
      <c r="A5178" s="24">
        <v>40056</v>
      </c>
      <c r="B5178" s="66">
        <v>808.76599999999996</v>
      </c>
      <c r="C5178" s="67"/>
      <c r="D5178" s="68">
        <v>0</v>
      </c>
      <c r="E5178" s="110">
        <f t="shared" si="82"/>
        <v>37271</v>
      </c>
      <c r="F5178" s="69">
        <v>9.0407110171495334E-3</v>
      </c>
    </row>
    <row r="5179" spans="1:6" x14ac:dyDescent="0.3">
      <c r="A5179" s="24">
        <v>40057</v>
      </c>
      <c r="B5179" s="66">
        <v>808.76599999999996</v>
      </c>
      <c r="C5179" s="67"/>
      <c r="D5179" s="68">
        <v>0</v>
      </c>
      <c r="E5179" s="110">
        <f t="shared" si="82"/>
        <v>37271</v>
      </c>
      <c r="F5179" s="69">
        <v>9.0407110171495334E-3</v>
      </c>
    </row>
    <row r="5180" spans="1:6" x14ac:dyDescent="0.3">
      <c r="A5180" s="24">
        <v>40058</v>
      </c>
      <c r="B5180" s="66">
        <v>808.76599999999996</v>
      </c>
      <c r="C5180" s="67"/>
      <c r="D5180" s="68">
        <v>0</v>
      </c>
      <c r="E5180" s="110">
        <f t="shared" si="82"/>
        <v>37271</v>
      </c>
      <c r="F5180" s="69">
        <v>9.0407110171495334E-3</v>
      </c>
    </row>
    <row r="5181" spans="1:6" x14ac:dyDescent="0.3">
      <c r="A5181" s="24">
        <v>40059</v>
      </c>
      <c r="B5181" s="66">
        <v>808.76599999999996</v>
      </c>
      <c r="C5181" s="67"/>
      <c r="D5181" s="68">
        <v>0</v>
      </c>
      <c r="E5181" s="110">
        <f t="shared" si="82"/>
        <v>37271</v>
      </c>
      <c r="F5181" s="69">
        <v>9.0407110171495334E-3</v>
      </c>
    </row>
    <row r="5182" spans="1:6" x14ac:dyDescent="0.3">
      <c r="A5182" s="24">
        <v>40060</v>
      </c>
      <c r="B5182" s="66">
        <v>808.76599999999996</v>
      </c>
      <c r="C5182" s="67"/>
      <c r="D5182" s="68">
        <v>0</v>
      </c>
      <c r="E5182" s="110">
        <f t="shared" si="82"/>
        <v>37271</v>
      </c>
      <c r="F5182" s="69">
        <v>9.0407110171495334E-3</v>
      </c>
    </row>
    <row r="5183" spans="1:6" x14ac:dyDescent="0.3">
      <c r="A5183" s="24">
        <v>40061</v>
      </c>
      <c r="B5183" s="66">
        <v>808.76599999999996</v>
      </c>
      <c r="C5183" s="67"/>
      <c r="D5183" s="68">
        <v>0</v>
      </c>
      <c r="E5183" s="110">
        <f t="shared" si="82"/>
        <v>37271</v>
      </c>
      <c r="F5183" s="69">
        <v>9.0407110171495334E-3</v>
      </c>
    </row>
    <row r="5184" spans="1:6" x14ac:dyDescent="0.3">
      <c r="A5184" s="24">
        <v>40062</v>
      </c>
      <c r="B5184" s="66">
        <v>808.76599999999996</v>
      </c>
      <c r="C5184" s="67"/>
      <c r="D5184" s="68">
        <v>0</v>
      </c>
      <c r="E5184" s="110">
        <f t="shared" si="82"/>
        <v>37271</v>
      </c>
      <c r="F5184" s="69">
        <v>9.0407110171495334E-3</v>
      </c>
    </row>
    <row r="5185" spans="1:6" x14ac:dyDescent="0.3">
      <c r="A5185" s="24">
        <v>40063</v>
      </c>
      <c r="B5185" s="66">
        <v>808.76599999999996</v>
      </c>
      <c r="C5185" s="67"/>
      <c r="D5185" s="68">
        <v>0</v>
      </c>
      <c r="E5185" s="110">
        <v>44592</v>
      </c>
      <c r="F5185" s="69">
        <v>9.0407110171495334E-3</v>
      </c>
    </row>
    <row r="5186" spans="1:6" x14ac:dyDescent="0.3">
      <c r="A5186" s="24">
        <v>40064</v>
      </c>
      <c r="B5186" s="66">
        <v>808.76599999999996</v>
      </c>
      <c r="C5186" s="67"/>
      <c r="D5186" s="68">
        <v>0</v>
      </c>
      <c r="E5186" s="110">
        <f>+E5185</f>
        <v>44592</v>
      </c>
      <c r="F5186" s="69">
        <v>9.0407110171495334E-3</v>
      </c>
    </row>
    <row r="5187" spans="1:6" x14ac:dyDescent="0.3">
      <c r="A5187" s="24">
        <v>40065</v>
      </c>
      <c r="B5187" s="66">
        <v>808.76599999999996</v>
      </c>
      <c r="C5187" s="67"/>
      <c r="D5187" s="68">
        <v>0</v>
      </c>
      <c r="E5187" s="110">
        <f>+E5186</f>
        <v>44592</v>
      </c>
      <c r="F5187" s="69">
        <v>9.0407110171495334E-3</v>
      </c>
    </row>
    <row r="5188" spans="1:6" x14ac:dyDescent="0.3">
      <c r="A5188" s="24">
        <v>40066</v>
      </c>
      <c r="B5188" s="66">
        <v>808.76599999999996</v>
      </c>
      <c r="C5188" s="67"/>
      <c r="D5188" s="68">
        <v>0</v>
      </c>
      <c r="E5188" s="110">
        <v>48737</v>
      </c>
      <c r="F5188" s="69">
        <v>9.0407110171495334E-3</v>
      </c>
    </row>
    <row r="5189" spans="1:6" x14ac:dyDescent="0.3">
      <c r="A5189" s="24">
        <v>40067</v>
      </c>
      <c r="B5189" s="66">
        <v>808.76599999999996</v>
      </c>
      <c r="C5189" s="67"/>
      <c r="D5189" s="68">
        <v>0</v>
      </c>
      <c r="E5189" s="110">
        <f>+E5188</f>
        <v>48737</v>
      </c>
      <c r="F5189" s="69">
        <v>9.0407110171495334E-3</v>
      </c>
    </row>
    <row r="5190" spans="1:6" x14ac:dyDescent="0.3">
      <c r="A5190" s="24">
        <v>40068</v>
      </c>
      <c r="B5190" s="66">
        <v>808.76599999999996</v>
      </c>
      <c r="C5190" s="67"/>
      <c r="D5190" s="68">
        <v>0</v>
      </c>
      <c r="E5190" s="110">
        <f t="shared" ref="E5190:E5253" si="83">+E5189</f>
        <v>48737</v>
      </c>
      <c r="F5190" s="69">
        <v>9.0407110171495334E-3</v>
      </c>
    </row>
    <row r="5191" spans="1:6" x14ac:dyDescent="0.3">
      <c r="A5191" s="24">
        <v>40069</v>
      </c>
      <c r="B5191" s="66">
        <v>808.76599999999996</v>
      </c>
      <c r="C5191" s="67"/>
      <c r="D5191" s="68">
        <v>0</v>
      </c>
      <c r="E5191" s="110">
        <f t="shared" si="83"/>
        <v>48737</v>
      </c>
      <c r="F5191" s="69">
        <v>9.0407110171495334E-3</v>
      </c>
    </row>
    <row r="5192" spans="1:6" x14ac:dyDescent="0.3">
      <c r="A5192" s="24">
        <v>40070</v>
      </c>
      <c r="B5192" s="66">
        <v>808.76599999999996</v>
      </c>
      <c r="C5192" s="67"/>
      <c r="D5192" s="68">
        <v>0</v>
      </c>
      <c r="E5192" s="110">
        <f t="shared" si="83"/>
        <v>48737</v>
      </c>
      <c r="F5192" s="69">
        <v>9.0407110171495334E-3</v>
      </c>
    </row>
    <row r="5193" spans="1:6" x14ac:dyDescent="0.3">
      <c r="A5193" s="24">
        <v>40071</v>
      </c>
      <c r="B5193" s="66">
        <v>808.76599999999996</v>
      </c>
      <c r="C5193" s="67"/>
      <c r="D5193" s="68">
        <v>0</v>
      </c>
      <c r="E5193" s="110">
        <f t="shared" si="83"/>
        <v>48737</v>
      </c>
      <c r="F5193" s="69">
        <v>9.0407110171495334E-3</v>
      </c>
    </row>
    <row r="5194" spans="1:6" x14ac:dyDescent="0.3">
      <c r="A5194" s="24">
        <v>40072</v>
      </c>
      <c r="B5194" s="66">
        <v>808.76599999999996</v>
      </c>
      <c r="C5194" s="67"/>
      <c r="D5194" s="68">
        <v>0</v>
      </c>
      <c r="E5194" s="110">
        <f t="shared" si="83"/>
        <v>48737</v>
      </c>
      <c r="F5194" s="69">
        <v>9.0407110171495334E-3</v>
      </c>
    </row>
    <row r="5195" spans="1:6" x14ac:dyDescent="0.3">
      <c r="A5195" s="24">
        <v>40073</v>
      </c>
      <c r="B5195" s="66">
        <v>808.76599999999996</v>
      </c>
      <c r="C5195" s="67"/>
      <c r="D5195" s="68">
        <v>0</v>
      </c>
      <c r="E5195" s="110">
        <f t="shared" si="83"/>
        <v>48737</v>
      </c>
      <c r="F5195" s="69">
        <v>9.0407110171495334E-3</v>
      </c>
    </row>
    <row r="5196" spans="1:6" x14ac:dyDescent="0.3">
      <c r="A5196" s="24">
        <v>40074</v>
      </c>
      <c r="B5196" s="66">
        <v>808.76599999999996</v>
      </c>
      <c r="C5196" s="67"/>
      <c r="D5196" s="68">
        <v>0</v>
      </c>
      <c r="E5196" s="110">
        <f t="shared" si="83"/>
        <v>48737</v>
      </c>
      <c r="F5196" s="69">
        <v>9.0407110171495334E-3</v>
      </c>
    </row>
    <row r="5197" spans="1:6" x14ac:dyDescent="0.3">
      <c r="A5197" s="24">
        <v>40075</v>
      </c>
      <c r="B5197" s="66">
        <v>808.76599999999996</v>
      </c>
      <c r="C5197" s="67"/>
      <c r="D5197" s="68">
        <v>0</v>
      </c>
      <c r="E5197" s="110">
        <f t="shared" si="83"/>
        <v>48737</v>
      </c>
      <c r="F5197" s="69">
        <v>9.0407110171495334E-3</v>
      </c>
    </row>
    <row r="5198" spans="1:6" x14ac:dyDescent="0.3">
      <c r="A5198" s="24">
        <v>40076</v>
      </c>
      <c r="B5198" s="66">
        <v>808.76599999999996</v>
      </c>
      <c r="C5198" s="67"/>
      <c r="D5198" s="68">
        <v>0</v>
      </c>
      <c r="E5198" s="110">
        <f t="shared" si="83"/>
        <v>48737</v>
      </c>
      <c r="F5198" s="69">
        <v>9.0407110171495334E-3</v>
      </c>
    </row>
    <row r="5199" spans="1:6" x14ac:dyDescent="0.3">
      <c r="A5199" s="24">
        <v>40077</v>
      </c>
      <c r="B5199" s="66">
        <v>808.76599999999996</v>
      </c>
      <c r="C5199" s="67"/>
      <c r="D5199" s="68">
        <v>0</v>
      </c>
      <c r="E5199" s="110">
        <f t="shared" si="83"/>
        <v>48737</v>
      </c>
      <c r="F5199" s="69">
        <v>9.0407110171495334E-3</v>
      </c>
    </row>
    <row r="5200" spans="1:6" x14ac:dyDescent="0.3">
      <c r="A5200" s="24">
        <v>40078</v>
      </c>
      <c r="B5200" s="66">
        <v>808.76599999999996</v>
      </c>
      <c r="C5200" s="67"/>
      <c r="D5200" s="68">
        <v>0</v>
      </c>
      <c r="E5200" s="110">
        <f t="shared" si="83"/>
        <v>48737</v>
      </c>
      <c r="F5200" s="69">
        <v>9.0407110171495334E-3</v>
      </c>
    </row>
    <row r="5201" spans="1:6" x14ac:dyDescent="0.3">
      <c r="A5201" s="24">
        <v>40079</v>
      </c>
      <c r="B5201" s="66">
        <v>808.76599999999996</v>
      </c>
      <c r="C5201" s="67"/>
      <c r="D5201" s="68">
        <v>0</v>
      </c>
      <c r="E5201" s="110">
        <f t="shared" si="83"/>
        <v>48737</v>
      </c>
      <c r="F5201" s="69">
        <v>9.0407110171495334E-3</v>
      </c>
    </row>
    <row r="5202" spans="1:6" x14ac:dyDescent="0.3">
      <c r="A5202" s="24">
        <v>40080</v>
      </c>
      <c r="B5202" s="66">
        <v>808.76599999999996</v>
      </c>
      <c r="C5202" s="67"/>
      <c r="D5202" s="68">
        <v>0</v>
      </c>
      <c r="E5202" s="110">
        <f t="shared" si="83"/>
        <v>48737</v>
      </c>
      <c r="F5202" s="69">
        <v>9.0407110171495334E-3</v>
      </c>
    </row>
    <row r="5203" spans="1:6" x14ac:dyDescent="0.3">
      <c r="A5203" s="24">
        <v>40081</v>
      </c>
      <c r="B5203" s="66">
        <v>808.76599999999996</v>
      </c>
      <c r="C5203" s="67"/>
      <c r="D5203" s="68">
        <v>0</v>
      </c>
      <c r="E5203" s="110">
        <f t="shared" si="83"/>
        <v>48737</v>
      </c>
      <c r="F5203" s="69">
        <v>9.0407110171495334E-3</v>
      </c>
    </row>
    <row r="5204" spans="1:6" x14ac:dyDescent="0.3">
      <c r="A5204" s="24">
        <v>40082</v>
      </c>
      <c r="B5204" s="66">
        <v>808.76599999999996</v>
      </c>
      <c r="C5204" s="67"/>
      <c r="D5204" s="68">
        <v>0</v>
      </c>
      <c r="E5204" s="110">
        <f t="shared" si="83"/>
        <v>48737</v>
      </c>
      <c r="F5204" s="69">
        <v>9.0407110171495334E-3</v>
      </c>
    </row>
    <row r="5205" spans="1:6" x14ac:dyDescent="0.3">
      <c r="A5205" s="24">
        <v>40083</v>
      </c>
      <c r="B5205" s="66">
        <v>808.76599999999996</v>
      </c>
      <c r="C5205" s="67"/>
      <c r="D5205" s="68">
        <v>0</v>
      </c>
      <c r="E5205" s="110">
        <f t="shared" si="83"/>
        <v>48737</v>
      </c>
      <c r="F5205" s="69">
        <v>9.0407110171495334E-3</v>
      </c>
    </row>
    <row r="5206" spans="1:6" x14ac:dyDescent="0.3">
      <c r="A5206" s="24">
        <v>40084</v>
      </c>
      <c r="B5206" s="66">
        <v>808.76599999999996</v>
      </c>
      <c r="C5206" s="67"/>
      <c r="D5206" s="68">
        <v>0</v>
      </c>
      <c r="E5206" s="110">
        <f t="shared" si="83"/>
        <v>48737</v>
      </c>
      <c r="F5206" s="69">
        <v>9.0407110171495334E-3</v>
      </c>
    </row>
    <row r="5207" spans="1:6" x14ac:dyDescent="0.3">
      <c r="A5207" s="24">
        <v>40085</v>
      </c>
      <c r="B5207" s="66">
        <v>808.76599999999996</v>
      </c>
      <c r="C5207" s="67"/>
      <c r="D5207" s="68">
        <v>0</v>
      </c>
      <c r="E5207" s="110">
        <f t="shared" si="83"/>
        <v>48737</v>
      </c>
      <c r="F5207" s="69">
        <v>8.5492456277184957E-3</v>
      </c>
    </row>
    <row r="5208" spans="1:6" x14ac:dyDescent="0.3">
      <c r="A5208" s="24">
        <v>40086</v>
      </c>
      <c r="B5208" s="66">
        <v>822.63400000000001</v>
      </c>
      <c r="C5208" s="67"/>
      <c r="D5208" s="68">
        <v>0</v>
      </c>
      <c r="E5208" s="110">
        <f t="shared" si="83"/>
        <v>48737</v>
      </c>
      <c r="F5208" s="69">
        <v>8.5492456277184957E-3</v>
      </c>
    </row>
    <row r="5209" spans="1:6" x14ac:dyDescent="0.3">
      <c r="A5209" s="24">
        <v>40087</v>
      </c>
      <c r="B5209" s="66">
        <v>822.63400000000001</v>
      </c>
      <c r="C5209" s="67"/>
      <c r="D5209" s="68">
        <v>0</v>
      </c>
      <c r="E5209" s="110">
        <f t="shared" si="83"/>
        <v>48737</v>
      </c>
      <c r="F5209" s="69">
        <v>8.5492456277184957E-3</v>
      </c>
    </row>
    <row r="5210" spans="1:6" x14ac:dyDescent="0.3">
      <c r="A5210" s="24">
        <v>40088</v>
      </c>
      <c r="B5210" s="66">
        <v>822.63400000000001</v>
      </c>
      <c r="C5210" s="67"/>
      <c r="D5210" s="68">
        <v>0</v>
      </c>
      <c r="E5210" s="110">
        <f t="shared" si="83"/>
        <v>48737</v>
      </c>
      <c r="F5210" s="69">
        <v>8.5492456277184957E-3</v>
      </c>
    </row>
    <row r="5211" spans="1:6" x14ac:dyDescent="0.3">
      <c r="A5211" s="24">
        <v>40089</v>
      </c>
      <c r="B5211" s="66">
        <v>822.63400000000001</v>
      </c>
      <c r="C5211" s="67"/>
      <c r="D5211" s="68">
        <v>0</v>
      </c>
      <c r="E5211" s="110">
        <f t="shared" si="83"/>
        <v>48737</v>
      </c>
      <c r="F5211" s="69">
        <v>8.5492456277184957E-3</v>
      </c>
    </row>
    <row r="5212" spans="1:6" x14ac:dyDescent="0.3">
      <c r="A5212" s="24">
        <v>40090</v>
      </c>
      <c r="B5212" s="66">
        <v>822.63400000000001</v>
      </c>
      <c r="C5212" s="67"/>
      <c r="D5212" s="68">
        <v>0</v>
      </c>
      <c r="E5212" s="110">
        <f t="shared" si="83"/>
        <v>48737</v>
      </c>
      <c r="F5212" s="69">
        <v>8.5492456277184957E-3</v>
      </c>
    </row>
    <row r="5213" spans="1:6" x14ac:dyDescent="0.3">
      <c r="A5213" s="24">
        <v>40091</v>
      </c>
      <c r="B5213" s="66">
        <v>822.63400000000001</v>
      </c>
      <c r="C5213" s="67"/>
      <c r="D5213" s="68">
        <v>0</v>
      </c>
      <c r="E5213" s="110">
        <f t="shared" si="83"/>
        <v>48737</v>
      </c>
      <c r="F5213" s="69">
        <v>8.5492456277184957E-3</v>
      </c>
    </row>
    <row r="5214" spans="1:6" x14ac:dyDescent="0.3">
      <c r="A5214" s="24">
        <v>40092</v>
      </c>
      <c r="B5214" s="66">
        <v>822.63400000000001</v>
      </c>
      <c r="C5214" s="67"/>
      <c r="D5214" s="68">
        <v>0</v>
      </c>
      <c r="E5214" s="110">
        <f t="shared" si="83"/>
        <v>48737</v>
      </c>
      <c r="F5214" s="69">
        <v>8.5492456277184957E-3</v>
      </c>
    </row>
    <row r="5215" spans="1:6" x14ac:dyDescent="0.3">
      <c r="A5215" s="24">
        <v>40093</v>
      </c>
      <c r="B5215" s="66">
        <v>822.63400000000001</v>
      </c>
      <c r="C5215" s="67"/>
      <c r="D5215" s="68">
        <v>0</v>
      </c>
      <c r="E5215" s="110">
        <f t="shared" si="83"/>
        <v>48737</v>
      </c>
      <c r="F5215" s="69">
        <v>8.5492456277184957E-3</v>
      </c>
    </row>
    <row r="5216" spans="1:6" x14ac:dyDescent="0.3">
      <c r="A5216" s="24">
        <v>40094</v>
      </c>
      <c r="B5216" s="66">
        <v>822.63400000000001</v>
      </c>
      <c r="C5216" s="67"/>
      <c r="D5216" s="68">
        <v>0</v>
      </c>
      <c r="E5216" s="110">
        <f t="shared" si="83"/>
        <v>48737</v>
      </c>
      <c r="F5216" s="69">
        <v>8.5492456277184957E-3</v>
      </c>
    </row>
    <row r="5217" spans="1:6" x14ac:dyDescent="0.3">
      <c r="A5217" s="24">
        <v>40095</v>
      </c>
      <c r="B5217" s="66">
        <v>822.63400000000001</v>
      </c>
      <c r="C5217" s="67"/>
      <c r="D5217" s="68">
        <v>0</v>
      </c>
      <c r="E5217" s="110">
        <f t="shared" si="83"/>
        <v>48737</v>
      </c>
      <c r="F5217" s="69">
        <v>8.5492456277184957E-3</v>
      </c>
    </row>
    <row r="5218" spans="1:6" x14ac:dyDescent="0.3">
      <c r="A5218" s="24">
        <v>40096</v>
      </c>
      <c r="B5218" s="66">
        <v>822.63400000000001</v>
      </c>
      <c r="C5218" s="67"/>
      <c r="D5218" s="68">
        <v>0</v>
      </c>
      <c r="E5218" s="110">
        <f t="shared" si="83"/>
        <v>48737</v>
      </c>
      <c r="F5218" s="69">
        <v>8.5492456277184957E-3</v>
      </c>
    </row>
    <row r="5219" spans="1:6" x14ac:dyDescent="0.3">
      <c r="A5219" s="24">
        <v>40097</v>
      </c>
      <c r="B5219" s="66">
        <v>822.63400000000001</v>
      </c>
      <c r="C5219" s="67"/>
      <c r="D5219" s="68">
        <v>0</v>
      </c>
      <c r="E5219" s="110">
        <f t="shared" si="83"/>
        <v>48737</v>
      </c>
      <c r="F5219" s="69">
        <v>8.5492456277184957E-3</v>
      </c>
    </row>
    <row r="5220" spans="1:6" x14ac:dyDescent="0.3">
      <c r="A5220" s="24">
        <v>40098</v>
      </c>
      <c r="B5220" s="66">
        <v>822.63400000000001</v>
      </c>
      <c r="C5220" s="67"/>
      <c r="D5220" s="68">
        <v>0</v>
      </c>
      <c r="E5220" s="110">
        <f t="shared" si="83"/>
        <v>48737</v>
      </c>
      <c r="F5220" s="69">
        <v>8.5492456277184957E-3</v>
      </c>
    </row>
    <row r="5221" spans="1:6" x14ac:dyDescent="0.3">
      <c r="A5221" s="24">
        <v>40099</v>
      </c>
      <c r="B5221" s="66">
        <v>822.63400000000001</v>
      </c>
      <c r="C5221" s="67"/>
      <c r="D5221" s="68">
        <v>0</v>
      </c>
      <c r="E5221" s="110">
        <f t="shared" si="83"/>
        <v>48737</v>
      </c>
      <c r="F5221" s="69">
        <v>8.5492456277184957E-3</v>
      </c>
    </row>
    <row r="5222" spans="1:6" x14ac:dyDescent="0.3">
      <c r="A5222" s="24">
        <v>40100</v>
      </c>
      <c r="B5222" s="66">
        <v>822.63400000000001</v>
      </c>
      <c r="C5222" s="67"/>
      <c r="D5222" s="68">
        <v>0</v>
      </c>
      <c r="E5222" s="110">
        <f t="shared" si="83"/>
        <v>48737</v>
      </c>
      <c r="F5222" s="69">
        <v>8.5492456277184957E-3</v>
      </c>
    </row>
    <row r="5223" spans="1:6" x14ac:dyDescent="0.3">
      <c r="A5223" s="24">
        <v>40101</v>
      </c>
      <c r="B5223" s="66">
        <v>822.63400000000001</v>
      </c>
      <c r="C5223" s="67"/>
      <c r="D5223" s="68">
        <v>0</v>
      </c>
      <c r="E5223" s="110">
        <f t="shared" si="83"/>
        <v>48737</v>
      </c>
      <c r="F5223" s="69">
        <v>8.5492456277184957E-3</v>
      </c>
    </row>
    <row r="5224" spans="1:6" x14ac:dyDescent="0.3">
      <c r="A5224" s="24">
        <v>40102</v>
      </c>
      <c r="B5224" s="66">
        <v>822.63400000000001</v>
      </c>
      <c r="C5224" s="67"/>
      <c r="D5224" s="68">
        <v>0</v>
      </c>
      <c r="E5224" s="110">
        <f t="shared" si="83"/>
        <v>48737</v>
      </c>
      <c r="F5224" s="69">
        <v>8.5492456277184957E-3</v>
      </c>
    </row>
    <row r="5225" spans="1:6" x14ac:dyDescent="0.3">
      <c r="A5225" s="24">
        <v>40103</v>
      </c>
      <c r="B5225" s="66">
        <v>822.63400000000001</v>
      </c>
      <c r="C5225" s="67"/>
      <c r="D5225" s="68">
        <v>0</v>
      </c>
      <c r="E5225" s="110">
        <f t="shared" si="83"/>
        <v>48737</v>
      </c>
      <c r="F5225" s="69">
        <v>8.5492456277184957E-3</v>
      </c>
    </row>
    <row r="5226" spans="1:6" x14ac:dyDescent="0.3">
      <c r="A5226" s="24">
        <v>40104</v>
      </c>
      <c r="B5226" s="66">
        <v>822.63400000000001</v>
      </c>
      <c r="C5226" s="67"/>
      <c r="D5226" s="68">
        <v>0</v>
      </c>
      <c r="E5226" s="110">
        <f t="shared" si="83"/>
        <v>48737</v>
      </c>
      <c r="F5226" s="69">
        <v>8.5492456277184957E-3</v>
      </c>
    </row>
    <row r="5227" spans="1:6" x14ac:dyDescent="0.3">
      <c r="A5227" s="24">
        <v>40105</v>
      </c>
      <c r="B5227" s="66">
        <v>822.63400000000001</v>
      </c>
      <c r="C5227" s="67"/>
      <c r="D5227" s="68">
        <v>0</v>
      </c>
      <c r="E5227" s="110">
        <f t="shared" si="83"/>
        <v>48737</v>
      </c>
      <c r="F5227" s="69">
        <v>8.5492456277184957E-3</v>
      </c>
    </row>
    <row r="5228" spans="1:6" x14ac:dyDescent="0.3">
      <c r="A5228" s="24">
        <v>40106</v>
      </c>
      <c r="B5228" s="66">
        <v>822.63400000000001</v>
      </c>
      <c r="C5228" s="67"/>
      <c r="D5228" s="68">
        <v>0</v>
      </c>
      <c r="E5228" s="110">
        <f t="shared" si="83"/>
        <v>48737</v>
      </c>
      <c r="F5228" s="69">
        <v>8.5492456277184957E-3</v>
      </c>
    </row>
    <row r="5229" spans="1:6" x14ac:dyDescent="0.3">
      <c r="A5229" s="24">
        <v>40107</v>
      </c>
      <c r="B5229" s="66">
        <v>822.63400000000001</v>
      </c>
      <c r="C5229" s="67"/>
      <c r="D5229" s="68">
        <v>0</v>
      </c>
      <c r="E5229" s="110">
        <f t="shared" si="83"/>
        <v>48737</v>
      </c>
      <c r="F5229" s="69">
        <v>8.5492456277184957E-3</v>
      </c>
    </row>
    <row r="5230" spans="1:6" x14ac:dyDescent="0.3">
      <c r="A5230" s="24">
        <v>40108</v>
      </c>
      <c r="B5230" s="66">
        <v>822.63400000000001</v>
      </c>
      <c r="C5230" s="67"/>
      <c r="D5230" s="68">
        <v>0</v>
      </c>
      <c r="E5230" s="110">
        <f t="shared" si="83"/>
        <v>48737</v>
      </c>
      <c r="F5230" s="69">
        <v>8.5492456277184957E-3</v>
      </c>
    </row>
    <row r="5231" spans="1:6" x14ac:dyDescent="0.3">
      <c r="A5231" s="24">
        <v>40109</v>
      </c>
      <c r="B5231" s="66">
        <v>822.63400000000001</v>
      </c>
      <c r="C5231" s="67"/>
      <c r="D5231" s="68">
        <v>0</v>
      </c>
      <c r="E5231" s="110">
        <f t="shared" si="83"/>
        <v>48737</v>
      </c>
      <c r="F5231" s="69">
        <v>8.5492456277184957E-3</v>
      </c>
    </row>
    <row r="5232" spans="1:6" x14ac:dyDescent="0.3">
      <c r="A5232" s="24">
        <v>40110</v>
      </c>
      <c r="B5232" s="66">
        <v>822.63400000000001</v>
      </c>
      <c r="C5232" s="67"/>
      <c r="D5232" s="68">
        <v>0</v>
      </c>
      <c r="E5232" s="110">
        <f t="shared" si="83"/>
        <v>48737</v>
      </c>
      <c r="F5232" s="69">
        <v>8.5492456277184957E-3</v>
      </c>
    </row>
    <row r="5233" spans="1:6" x14ac:dyDescent="0.3">
      <c r="A5233" s="24">
        <v>40111</v>
      </c>
      <c r="B5233" s="66">
        <v>822.63400000000001</v>
      </c>
      <c r="C5233" s="67"/>
      <c r="D5233" s="68">
        <v>0</v>
      </c>
      <c r="E5233" s="110">
        <f t="shared" si="83"/>
        <v>48737</v>
      </c>
      <c r="F5233" s="69">
        <v>8.5492456277184957E-3</v>
      </c>
    </row>
    <row r="5234" spans="1:6" x14ac:dyDescent="0.3">
      <c r="A5234" s="24">
        <v>40112</v>
      </c>
      <c r="B5234" s="66">
        <v>822.63400000000001</v>
      </c>
      <c r="C5234" s="67"/>
      <c r="D5234" s="68">
        <v>0</v>
      </c>
      <c r="E5234" s="110">
        <f t="shared" si="83"/>
        <v>48737</v>
      </c>
      <c r="F5234" s="69">
        <v>8.5492456277184957E-3</v>
      </c>
    </row>
    <row r="5235" spans="1:6" x14ac:dyDescent="0.3">
      <c r="A5235" s="24">
        <v>40113</v>
      </c>
      <c r="B5235" s="66">
        <v>822.63400000000001</v>
      </c>
      <c r="C5235" s="67"/>
      <c r="D5235" s="68">
        <v>0</v>
      </c>
      <c r="E5235" s="110">
        <f t="shared" si="83"/>
        <v>48737</v>
      </c>
      <c r="F5235" s="69">
        <v>8.5492456277184957E-3</v>
      </c>
    </row>
    <row r="5236" spans="1:6" x14ac:dyDescent="0.3">
      <c r="A5236" s="24">
        <v>40114</v>
      </c>
      <c r="B5236" s="66">
        <v>822.63400000000001</v>
      </c>
      <c r="C5236" s="67"/>
      <c r="D5236" s="68">
        <v>0</v>
      </c>
      <c r="E5236" s="110">
        <f t="shared" si="83"/>
        <v>48737</v>
      </c>
      <c r="F5236" s="69">
        <v>8.5492456277184957E-3</v>
      </c>
    </row>
    <row r="5237" spans="1:6" x14ac:dyDescent="0.3">
      <c r="A5237" s="24">
        <v>40115</v>
      </c>
      <c r="B5237" s="66">
        <v>822.63400000000001</v>
      </c>
      <c r="C5237" s="67"/>
      <c r="D5237" s="68">
        <v>0</v>
      </c>
      <c r="E5237" s="110">
        <f t="shared" si="83"/>
        <v>48737</v>
      </c>
      <c r="F5237" s="69">
        <v>8.5492456277184957E-3</v>
      </c>
    </row>
    <row r="5238" spans="1:6" x14ac:dyDescent="0.3">
      <c r="A5238" s="24">
        <v>40116</v>
      </c>
      <c r="B5238" s="66">
        <v>822.63400000000001</v>
      </c>
      <c r="C5238" s="67"/>
      <c r="D5238" s="68">
        <v>0</v>
      </c>
      <c r="E5238" s="110">
        <f t="shared" si="83"/>
        <v>48737</v>
      </c>
      <c r="F5238" s="69">
        <v>8.5492456277184957E-3</v>
      </c>
    </row>
    <row r="5239" spans="1:6" x14ac:dyDescent="0.3">
      <c r="A5239" s="24">
        <v>40117</v>
      </c>
      <c r="B5239" s="66">
        <v>822.63400000000001</v>
      </c>
      <c r="C5239" s="67"/>
      <c r="D5239" s="68">
        <v>0</v>
      </c>
      <c r="E5239" s="110">
        <f t="shared" si="83"/>
        <v>48737</v>
      </c>
      <c r="F5239" s="69">
        <v>8.5492456277184957E-3</v>
      </c>
    </row>
    <row r="5240" spans="1:6" x14ac:dyDescent="0.3">
      <c r="A5240" s="24">
        <v>40118</v>
      </c>
      <c r="B5240" s="66">
        <v>822.63400000000001</v>
      </c>
      <c r="C5240" s="67"/>
      <c r="D5240" s="68">
        <v>0</v>
      </c>
      <c r="E5240" s="110">
        <f t="shared" si="83"/>
        <v>48737</v>
      </c>
      <c r="F5240" s="69">
        <v>8.5492456277184957E-3</v>
      </c>
    </row>
    <row r="5241" spans="1:6" x14ac:dyDescent="0.3">
      <c r="A5241" s="24">
        <v>40119</v>
      </c>
      <c r="B5241" s="66">
        <v>822.63400000000001</v>
      </c>
      <c r="C5241" s="67"/>
      <c r="D5241" s="68">
        <v>0</v>
      </c>
      <c r="E5241" s="110">
        <f t="shared" si="83"/>
        <v>48737</v>
      </c>
      <c r="F5241" s="69">
        <v>8.5492456277184957E-3</v>
      </c>
    </row>
    <row r="5242" spans="1:6" x14ac:dyDescent="0.3">
      <c r="A5242" s="24">
        <v>40120</v>
      </c>
      <c r="B5242" s="66">
        <v>822.63400000000001</v>
      </c>
      <c r="C5242" s="67"/>
      <c r="D5242" s="68">
        <v>0</v>
      </c>
      <c r="E5242" s="110">
        <f t="shared" si="83"/>
        <v>48737</v>
      </c>
      <c r="F5242" s="69">
        <v>8.5492456277184957E-3</v>
      </c>
    </row>
    <row r="5243" spans="1:6" x14ac:dyDescent="0.3">
      <c r="A5243" s="24">
        <v>40121</v>
      </c>
      <c r="B5243" s="66">
        <v>822.63400000000001</v>
      </c>
      <c r="C5243" s="67"/>
      <c r="D5243" s="68">
        <v>0</v>
      </c>
      <c r="E5243" s="110">
        <f t="shared" si="83"/>
        <v>48737</v>
      </c>
      <c r="F5243" s="69">
        <v>8.5492456277184957E-3</v>
      </c>
    </row>
    <row r="5244" spans="1:6" x14ac:dyDescent="0.3">
      <c r="A5244" s="24">
        <v>40122</v>
      </c>
      <c r="B5244" s="66">
        <v>822.63400000000001</v>
      </c>
      <c r="C5244" s="67"/>
      <c r="D5244" s="68">
        <v>0</v>
      </c>
      <c r="E5244" s="110">
        <f t="shared" si="83"/>
        <v>48737</v>
      </c>
      <c r="F5244" s="69">
        <v>8.5492456277184957E-3</v>
      </c>
    </row>
    <row r="5245" spans="1:6" x14ac:dyDescent="0.3">
      <c r="A5245" s="24">
        <v>40123</v>
      </c>
      <c r="B5245" s="66">
        <v>822.63400000000001</v>
      </c>
      <c r="C5245" s="67"/>
      <c r="D5245" s="68">
        <v>0</v>
      </c>
      <c r="E5245" s="110">
        <f t="shared" si="83"/>
        <v>48737</v>
      </c>
      <c r="F5245" s="69">
        <v>8.5492456277184957E-3</v>
      </c>
    </row>
    <row r="5246" spans="1:6" x14ac:dyDescent="0.3">
      <c r="A5246" s="24">
        <v>40124</v>
      </c>
      <c r="B5246" s="66">
        <v>822.63400000000001</v>
      </c>
      <c r="C5246" s="67"/>
      <c r="D5246" s="68">
        <v>0</v>
      </c>
      <c r="E5246" s="110">
        <f t="shared" si="83"/>
        <v>48737</v>
      </c>
      <c r="F5246" s="69">
        <v>8.5492456277184957E-3</v>
      </c>
    </row>
    <row r="5247" spans="1:6" x14ac:dyDescent="0.3">
      <c r="A5247" s="24">
        <v>40125</v>
      </c>
      <c r="B5247" s="66">
        <v>822.63400000000001</v>
      </c>
      <c r="C5247" s="67"/>
      <c r="D5247" s="68">
        <v>0</v>
      </c>
      <c r="E5247" s="110">
        <f t="shared" si="83"/>
        <v>48737</v>
      </c>
      <c r="F5247" s="69">
        <v>8.5492456277184957E-3</v>
      </c>
    </row>
    <row r="5248" spans="1:6" x14ac:dyDescent="0.3">
      <c r="A5248" s="24">
        <v>40126</v>
      </c>
      <c r="B5248" s="66">
        <v>822.63400000000001</v>
      </c>
      <c r="C5248" s="67"/>
      <c r="D5248" s="68">
        <v>0</v>
      </c>
      <c r="E5248" s="110">
        <f t="shared" si="83"/>
        <v>48737</v>
      </c>
      <c r="F5248" s="69">
        <v>8.5492456277184957E-3</v>
      </c>
    </row>
    <row r="5249" spans="1:6" x14ac:dyDescent="0.3">
      <c r="A5249" s="24">
        <v>40127</v>
      </c>
      <c r="B5249" s="66">
        <v>822.63400000000001</v>
      </c>
      <c r="C5249" s="67"/>
      <c r="D5249" s="68">
        <v>0</v>
      </c>
      <c r="E5249" s="110">
        <f t="shared" si="83"/>
        <v>48737</v>
      </c>
      <c r="F5249" s="69">
        <v>8.5492456277184957E-3</v>
      </c>
    </row>
    <row r="5250" spans="1:6" x14ac:dyDescent="0.3">
      <c r="A5250" s="24">
        <v>40128</v>
      </c>
      <c r="B5250" s="66">
        <v>822.63400000000001</v>
      </c>
      <c r="C5250" s="67"/>
      <c r="D5250" s="68">
        <v>0</v>
      </c>
      <c r="E5250" s="110">
        <f t="shared" si="83"/>
        <v>48737</v>
      </c>
      <c r="F5250" s="69">
        <v>8.5492456277184957E-3</v>
      </c>
    </row>
    <row r="5251" spans="1:6" x14ac:dyDescent="0.3">
      <c r="A5251" s="24">
        <v>40129</v>
      </c>
      <c r="B5251" s="66">
        <v>822.63400000000001</v>
      </c>
      <c r="C5251" s="67"/>
      <c r="D5251" s="68">
        <v>0</v>
      </c>
      <c r="E5251" s="110">
        <f t="shared" si="83"/>
        <v>48737</v>
      </c>
      <c r="F5251" s="69">
        <v>8.5492456277184957E-3</v>
      </c>
    </row>
    <row r="5252" spans="1:6" x14ac:dyDescent="0.3">
      <c r="A5252" s="24">
        <v>40130</v>
      </c>
      <c r="B5252" s="66">
        <v>822.63400000000001</v>
      </c>
      <c r="C5252" s="67"/>
      <c r="D5252" s="68">
        <v>0</v>
      </c>
      <c r="E5252" s="110">
        <f t="shared" si="83"/>
        <v>48737</v>
      </c>
      <c r="F5252" s="69">
        <v>8.5492456277184957E-3</v>
      </c>
    </row>
    <row r="5253" spans="1:6" x14ac:dyDescent="0.3">
      <c r="A5253" s="24">
        <v>40131</v>
      </c>
      <c r="B5253" s="66">
        <v>822.63400000000001</v>
      </c>
      <c r="C5253" s="67"/>
      <c r="D5253" s="68">
        <v>0</v>
      </c>
      <c r="E5253" s="110">
        <f t="shared" si="83"/>
        <v>48737</v>
      </c>
      <c r="F5253" s="69">
        <v>8.5492456277184957E-3</v>
      </c>
    </row>
    <row r="5254" spans="1:6" x14ac:dyDescent="0.3">
      <c r="A5254" s="24">
        <v>40132</v>
      </c>
      <c r="B5254" s="66">
        <v>822.63400000000001</v>
      </c>
      <c r="C5254" s="67"/>
      <c r="D5254" s="68">
        <v>0</v>
      </c>
      <c r="E5254" s="110">
        <f t="shared" ref="E5254:E5317" si="84">+E5253</f>
        <v>48737</v>
      </c>
      <c r="F5254" s="69">
        <v>8.5492456277184957E-3</v>
      </c>
    </row>
    <row r="5255" spans="1:6" x14ac:dyDescent="0.3">
      <c r="A5255" s="24">
        <v>40133</v>
      </c>
      <c r="B5255" s="66">
        <v>822.63400000000001</v>
      </c>
      <c r="C5255" s="67"/>
      <c r="D5255" s="68">
        <v>0</v>
      </c>
      <c r="E5255" s="110">
        <f t="shared" si="84"/>
        <v>48737</v>
      </c>
      <c r="F5255" s="69">
        <v>8.5492456277184957E-3</v>
      </c>
    </row>
    <row r="5256" spans="1:6" x14ac:dyDescent="0.3">
      <c r="A5256" s="24">
        <v>40134</v>
      </c>
      <c r="B5256" s="66">
        <v>822.63400000000001</v>
      </c>
      <c r="C5256" s="67"/>
      <c r="D5256" s="68">
        <v>0</v>
      </c>
      <c r="E5256" s="110">
        <f t="shared" si="84"/>
        <v>48737</v>
      </c>
      <c r="F5256" s="69">
        <v>8.5492456277184957E-3</v>
      </c>
    </row>
    <row r="5257" spans="1:6" x14ac:dyDescent="0.3">
      <c r="A5257" s="24">
        <v>40135</v>
      </c>
      <c r="B5257" s="66">
        <v>822.63400000000001</v>
      </c>
      <c r="C5257" s="67"/>
      <c r="D5257" s="68">
        <v>0</v>
      </c>
      <c r="E5257" s="110">
        <f t="shared" si="84"/>
        <v>48737</v>
      </c>
      <c r="F5257" s="69">
        <v>8.5492456277184957E-3</v>
      </c>
    </row>
    <row r="5258" spans="1:6" x14ac:dyDescent="0.3">
      <c r="A5258" s="24">
        <v>40136</v>
      </c>
      <c r="B5258" s="66">
        <v>822.63400000000001</v>
      </c>
      <c r="C5258" s="67"/>
      <c r="D5258" s="68">
        <v>0</v>
      </c>
      <c r="E5258" s="110">
        <f t="shared" si="84"/>
        <v>48737</v>
      </c>
      <c r="F5258" s="69">
        <v>8.5492456277184957E-3</v>
      </c>
    </row>
    <row r="5259" spans="1:6" x14ac:dyDescent="0.3">
      <c r="A5259" s="24">
        <v>40137</v>
      </c>
      <c r="B5259" s="66">
        <v>822.63400000000001</v>
      </c>
      <c r="C5259" s="67"/>
      <c r="D5259" s="68">
        <v>0</v>
      </c>
      <c r="E5259" s="110">
        <f t="shared" si="84"/>
        <v>48737</v>
      </c>
      <c r="F5259" s="69">
        <v>8.5492456277184957E-3</v>
      </c>
    </row>
    <row r="5260" spans="1:6" x14ac:dyDescent="0.3">
      <c r="A5260" s="24">
        <v>40138</v>
      </c>
      <c r="B5260" s="66">
        <v>822.63400000000001</v>
      </c>
      <c r="C5260" s="67"/>
      <c r="D5260" s="68">
        <v>0</v>
      </c>
      <c r="E5260" s="110">
        <f t="shared" si="84"/>
        <v>48737</v>
      </c>
      <c r="F5260" s="69">
        <v>8.5492456277184957E-3</v>
      </c>
    </row>
    <row r="5261" spans="1:6" x14ac:dyDescent="0.3">
      <c r="A5261" s="24">
        <v>40139</v>
      </c>
      <c r="B5261" s="66">
        <v>822.63400000000001</v>
      </c>
      <c r="C5261" s="67"/>
      <c r="D5261" s="68">
        <v>0</v>
      </c>
      <c r="E5261" s="110">
        <f t="shared" si="84"/>
        <v>48737</v>
      </c>
      <c r="F5261" s="69">
        <v>8.5492456277184957E-3</v>
      </c>
    </row>
    <row r="5262" spans="1:6" x14ac:dyDescent="0.3">
      <c r="A5262" s="24">
        <v>40140</v>
      </c>
      <c r="B5262" s="66">
        <v>822.63400000000001</v>
      </c>
      <c r="C5262" s="67"/>
      <c r="D5262" s="68">
        <v>0</v>
      </c>
      <c r="E5262" s="110">
        <f t="shared" si="84"/>
        <v>48737</v>
      </c>
      <c r="F5262" s="69">
        <v>8.5492456277184957E-3</v>
      </c>
    </row>
    <row r="5263" spans="1:6" x14ac:dyDescent="0.3">
      <c r="A5263" s="24">
        <v>40141</v>
      </c>
      <c r="B5263" s="66">
        <v>822.63400000000001</v>
      </c>
      <c r="C5263" s="67"/>
      <c r="D5263" s="68">
        <v>0</v>
      </c>
      <c r="E5263" s="110">
        <f t="shared" si="84"/>
        <v>48737</v>
      </c>
      <c r="F5263" s="69">
        <v>8.5492456277184957E-3</v>
      </c>
    </row>
    <row r="5264" spans="1:6" x14ac:dyDescent="0.3">
      <c r="A5264" s="24">
        <v>40142</v>
      </c>
      <c r="B5264" s="66">
        <v>822.63400000000001</v>
      </c>
      <c r="C5264" s="67"/>
      <c r="D5264" s="68">
        <v>0</v>
      </c>
      <c r="E5264" s="110">
        <f t="shared" si="84"/>
        <v>48737</v>
      </c>
      <c r="F5264" s="69">
        <v>8.5492456277184957E-3</v>
      </c>
    </row>
    <row r="5265" spans="1:6" x14ac:dyDescent="0.3">
      <c r="A5265" s="24">
        <v>40143</v>
      </c>
      <c r="B5265" s="66">
        <v>822.63400000000001</v>
      </c>
      <c r="C5265" s="67"/>
      <c r="D5265" s="68">
        <v>0</v>
      </c>
      <c r="E5265" s="110">
        <f t="shared" si="84"/>
        <v>48737</v>
      </c>
      <c r="F5265" s="69">
        <v>8.5492456277184957E-3</v>
      </c>
    </row>
    <row r="5266" spans="1:6" x14ac:dyDescent="0.3">
      <c r="A5266" s="24">
        <v>40144</v>
      </c>
      <c r="B5266" s="66">
        <v>822.63400000000001</v>
      </c>
      <c r="C5266" s="67"/>
      <c r="D5266" s="68">
        <v>0</v>
      </c>
      <c r="E5266" s="110">
        <f t="shared" si="84"/>
        <v>48737</v>
      </c>
      <c r="F5266" s="69">
        <v>8.5492456277184957E-3</v>
      </c>
    </row>
    <row r="5267" spans="1:6" x14ac:dyDescent="0.3">
      <c r="A5267" s="24">
        <v>40145</v>
      </c>
      <c r="B5267" s="66">
        <v>822.63400000000001</v>
      </c>
      <c r="C5267" s="67"/>
      <c r="D5267" s="68">
        <v>0</v>
      </c>
      <c r="E5267" s="110">
        <f t="shared" si="84"/>
        <v>48737</v>
      </c>
      <c r="F5267" s="69">
        <v>8.5492456277184957E-3</v>
      </c>
    </row>
    <row r="5268" spans="1:6" x14ac:dyDescent="0.3">
      <c r="A5268" s="24">
        <v>40146</v>
      </c>
      <c r="B5268" s="66">
        <v>822.63400000000001</v>
      </c>
      <c r="C5268" s="67"/>
      <c r="D5268" s="68">
        <v>0</v>
      </c>
      <c r="E5268" s="110">
        <f t="shared" si="84"/>
        <v>48737</v>
      </c>
      <c r="F5268" s="69">
        <v>8.5492456277184957E-3</v>
      </c>
    </row>
    <row r="5269" spans="1:6" x14ac:dyDescent="0.3">
      <c r="A5269" s="24">
        <v>40147</v>
      </c>
      <c r="B5269" s="66">
        <v>822.63400000000001</v>
      </c>
      <c r="C5269" s="67"/>
      <c r="D5269" s="68">
        <v>0</v>
      </c>
      <c r="E5269" s="110">
        <f t="shared" si="84"/>
        <v>48737</v>
      </c>
      <c r="F5269" s="69">
        <v>8.5492456277184957E-3</v>
      </c>
    </row>
    <row r="5270" spans="1:6" x14ac:dyDescent="0.3">
      <c r="A5270" s="24">
        <v>40148</v>
      </c>
      <c r="B5270" s="66">
        <v>822.63400000000001</v>
      </c>
      <c r="C5270" s="67"/>
      <c r="D5270" s="68">
        <v>0</v>
      </c>
      <c r="E5270" s="110">
        <f t="shared" si="84"/>
        <v>48737</v>
      </c>
      <c r="F5270" s="69">
        <v>8.5492456277184957E-3</v>
      </c>
    </row>
    <row r="5271" spans="1:6" x14ac:dyDescent="0.3">
      <c r="A5271" s="24">
        <v>40149</v>
      </c>
      <c r="B5271" s="66">
        <v>822.63400000000001</v>
      </c>
      <c r="C5271" s="67"/>
      <c r="D5271" s="68">
        <v>0</v>
      </c>
      <c r="E5271" s="110">
        <f t="shared" si="84"/>
        <v>48737</v>
      </c>
      <c r="F5271" s="69">
        <v>8.5492456277184957E-3</v>
      </c>
    </row>
    <row r="5272" spans="1:6" x14ac:dyDescent="0.3">
      <c r="A5272" s="24">
        <v>40150</v>
      </c>
      <c r="B5272" s="66">
        <v>822.63400000000001</v>
      </c>
      <c r="C5272" s="67"/>
      <c r="D5272" s="68">
        <v>0</v>
      </c>
      <c r="E5272" s="110">
        <f t="shared" si="84"/>
        <v>48737</v>
      </c>
      <c r="F5272" s="69">
        <v>8.5492456277184957E-3</v>
      </c>
    </row>
    <row r="5273" spans="1:6" x14ac:dyDescent="0.3">
      <c r="A5273" s="24">
        <v>40151</v>
      </c>
      <c r="B5273" s="66">
        <v>822.63400000000001</v>
      </c>
      <c r="C5273" s="67"/>
      <c r="D5273" s="68">
        <v>0</v>
      </c>
      <c r="E5273" s="110">
        <f t="shared" si="84"/>
        <v>48737</v>
      </c>
      <c r="F5273" s="69">
        <v>8.5492456277184957E-3</v>
      </c>
    </row>
    <row r="5274" spans="1:6" x14ac:dyDescent="0.3">
      <c r="A5274" s="24">
        <v>40152</v>
      </c>
      <c r="B5274" s="66">
        <v>822.63400000000001</v>
      </c>
      <c r="C5274" s="67"/>
      <c r="D5274" s="68">
        <v>0</v>
      </c>
      <c r="E5274" s="110">
        <f t="shared" si="84"/>
        <v>48737</v>
      </c>
      <c r="F5274" s="69">
        <v>8.5492456277184957E-3</v>
      </c>
    </row>
    <row r="5275" spans="1:6" x14ac:dyDescent="0.3">
      <c r="A5275" s="24">
        <v>40153</v>
      </c>
      <c r="B5275" s="66">
        <v>822.63400000000001</v>
      </c>
      <c r="C5275" s="67"/>
      <c r="D5275" s="68">
        <v>0</v>
      </c>
      <c r="E5275" s="110">
        <f t="shared" si="84"/>
        <v>48737</v>
      </c>
      <c r="F5275" s="69">
        <v>8.5492456277184957E-3</v>
      </c>
    </row>
    <row r="5276" spans="1:6" x14ac:dyDescent="0.3">
      <c r="A5276" s="24">
        <v>40154</v>
      </c>
      <c r="B5276" s="66">
        <v>822.63400000000001</v>
      </c>
      <c r="C5276" s="67"/>
      <c r="D5276" s="68">
        <v>0</v>
      </c>
      <c r="E5276" s="110">
        <f t="shared" si="84"/>
        <v>48737</v>
      </c>
      <c r="F5276" s="69">
        <v>8.5492456277184957E-3</v>
      </c>
    </row>
    <row r="5277" spans="1:6" x14ac:dyDescent="0.3">
      <c r="A5277" s="24">
        <v>40155</v>
      </c>
      <c r="B5277" s="66">
        <v>822.63400000000001</v>
      </c>
      <c r="C5277" s="67"/>
      <c r="D5277" s="68">
        <v>0</v>
      </c>
      <c r="E5277" s="110">
        <f t="shared" si="84"/>
        <v>48737</v>
      </c>
      <c r="F5277" s="69">
        <v>8.5492456277184957E-3</v>
      </c>
    </row>
    <row r="5278" spans="1:6" x14ac:dyDescent="0.3">
      <c r="A5278" s="24">
        <v>40156</v>
      </c>
      <c r="B5278" s="66">
        <v>822.63400000000001</v>
      </c>
      <c r="C5278" s="67"/>
      <c r="D5278" s="68">
        <v>0</v>
      </c>
      <c r="E5278" s="110">
        <f t="shared" si="84"/>
        <v>48737</v>
      </c>
      <c r="F5278" s="69">
        <v>8.5492456277184957E-3</v>
      </c>
    </row>
    <row r="5279" spans="1:6" x14ac:dyDescent="0.3">
      <c r="A5279" s="24">
        <v>40157</v>
      </c>
      <c r="B5279" s="66">
        <v>822.63400000000001</v>
      </c>
      <c r="C5279" s="67"/>
      <c r="D5279" s="68">
        <v>0</v>
      </c>
      <c r="E5279" s="110">
        <f t="shared" si="84"/>
        <v>48737</v>
      </c>
      <c r="F5279" s="69">
        <v>8.5492456277184957E-3</v>
      </c>
    </row>
    <row r="5280" spans="1:6" x14ac:dyDescent="0.3">
      <c r="A5280" s="24">
        <v>40158</v>
      </c>
      <c r="B5280" s="66">
        <v>822.63400000000001</v>
      </c>
      <c r="C5280" s="67"/>
      <c r="D5280" s="68">
        <v>0</v>
      </c>
      <c r="E5280" s="110">
        <f t="shared" si="84"/>
        <v>48737</v>
      </c>
      <c r="F5280" s="69">
        <v>8.5492456277184957E-3</v>
      </c>
    </row>
    <row r="5281" spans="1:6" x14ac:dyDescent="0.3">
      <c r="A5281" s="24">
        <v>40159</v>
      </c>
      <c r="B5281" s="66">
        <v>822.63400000000001</v>
      </c>
      <c r="C5281" s="67"/>
      <c r="D5281" s="68">
        <v>0</v>
      </c>
      <c r="E5281" s="110">
        <f t="shared" si="84"/>
        <v>48737</v>
      </c>
      <c r="F5281" s="69">
        <v>8.5492456277184957E-3</v>
      </c>
    </row>
    <row r="5282" spans="1:6" x14ac:dyDescent="0.3">
      <c r="A5282" s="24">
        <v>40160</v>
      </c>
      <c r="B5282" s="66">
        <v>822.63400000000001</v>
      </c>
      <c r="C5282" s="67"/>
      <c r="D5282" s="68">
        <v>0</v>
      </c>
      <c r="E5282" s="110">
        <f t="shared" si="84"/>
        <v>48737</v>
      </c>
      <c r="F5282" s="69">
        <v>8.5492456277184957E-3</v>
      </c>
    </row>
    <row r="5283" spans="1:6" x14ac:dyDescent="0.3">
      <c r="A5283" s="24">
        <v>40161</v>
      </c>
      <c r="B5283" s="66">
        <v>822.63400000000001</v>
      </c>
      <c r="C5283" s="67"/>
      <c r="D5283" s="68">
        <v>0</v>
      </c>
      <c r="E5283" s="110">
        <f t="shared" si="84"/>
        <v>48737</v>
      </c>
      <c r="F5283" s="69">
        <v>8.5492456277184957E-3</v>
      </c>
    </row>
    <row r="5284" spans="1:6" x14ac:dyDescent="0.3">
      <c r="A5284" s="24">
        <v>40162</v>
      </c>
      <c r="B5284" s="66">
        <v>822.63400000000001</v>
      </c>
      <c r="C5284" s="67"/>
      <c r="D5284" s="68">
        <v>0</v>
      </c>
      <c r="E5284" s="110">
        <f t="shared" si="84"/>
        <v>48737</v>
      </c>
      <c r="F5284" s="69">
        <v>8.5492456277184957E-3</v>
      </c>
    </row>
    <row r="5285" spans="1:6" x14ac:dyDescent="0.3">
      <c r="A5285" s="24">
        <v>40163</v>
      </c>
      <c r="B5285" s="66">
        <v>822.63400000000001</v>
      </c>
      <c r="C5285" s="67"/>
      <c r="D5285" s="68">
        <v>0</v>
      </c>
      <c r="E5285" s="110">
        <f t="shared" si="84"/>
        <v>48737</v>
      </c>
      <c r="F5285" s="69">
        <v>8.5492456277184957E-3</v>
      </c>
    </row>
    <row r="5286" spans="1:6" x14ac:dyDescent="0.3">
      <c r="A5286" s="24">
        <v>40164</v>
      </c>
      <c r="B5286" s="66">
        <v>822.63400000000001</v>
      </c>
      <c r="C5286" s="67"/>
      <c r="D5286" s="68">
        <v>0</v>
      </c>
      <c r="E5286" s="110">
        <f t="shared" si="84"/>
        <v>48737</v>
      </c>
      <c r="F5286" s="69">
        <v>8.5492456277184957E-3</v>
      </c>
    </row>
    <row r="5287" spans="1:6" x14ac:dyDescent="0.3">
      <c r="A5287" s="24">
        <v>40165</v>
      </c>
      <c r="B5287" s="66">
        <v>822.63400000000001</v>
      </c>
      <c r="C5287" s="67"/>
      <c r="D5287" s="68">
        <v>0</v>
      </c>
      <c r="E5287" s="110">
        <f t="shared" si="84"/>
        <v>48737</v>
      </c>
      <c r="F5287" s="69">
        <v>8.5492456277184957E-3</v>
      </c>
    </row>
    <row r="5288" spans="1:6" x14ac:dyDescent="0.3">
      <c r="A5288" s="24">
        <v>40166</v>
      </c>
      <c r="B5288" s="66">
        <v>822.63400000000001</v>
      </c>
      <c r="C5288" s="67"/>
      <c r="D5288" s="68">
        <v>0</v>
      </c>
      <c r="E5288" s="110">
        <f t="shared" si="84"/>
        <v>48737</v>
      </c>
      <c r="F5288" s="69">
        <v>8.5492456277184957E-3</v>
      </c>
    </row>
    <row r="5289" spans="1:6" x14ac:dyDescent="0.3">
      <c r="A5289" s="24">
        <v>40167</v>
      </c>
      <c r="B5289" s="66">
        <v>822.63400000000001</v>
      </c>
      <c r="C5289" s="67"/>
      <c r="D5289" s="68">
        <v>0</v>
      </c>
      <c r="E5289" s="110">
        <f t="shared" si="84"/>
        <v>48737</v>
      </c>
      <c r="F5289" s="69">
        <v>8.5492456277184957E-3</v>
      </c>
    </row>
    <row r="5290" spans="1:6" x14ac:dyDescent="0.3">
      <c r="A5290" s="24">
        <v>40168</v>
      </c>
      <c r="B5290" s="66">
        <v>822.63400000000001</v>
      </c>
      <c r="C5290" s="67"/>
      <c r="D5290" s="68">
        <v>0</v>
      </c>
      <c r="E5290" s="110">
        <f t="shared" si="84"/>
        <v>48737</v>
      </c>
      <c r="F5290" s="69">
        <v>8.5492456277184957E-3</v>
      </c>
    </row>
    <row r="5291" spans="1:6" x14ac:dyDescent="0.3">
      <c r="A5291" s="24">
        <v>40169</v>
      </c>
      <c r="B5291" s="66">
        <v>822.63400000000001</v>
      </c>
      <c r="C5291" s="67"/>
      <c r="D5291" s="68">
        <v>0</v>
      </c>
      <c r="E5291" s="110">
        <f t="shared" si="84"/>
        <v>48737</v>
      </c>
      <c r="F5291" s="69">
        <v>8.5492456277184957E-3</v>
      </c>
    </row>
    <row r="5292" spans="1:6" x14ac:dyDescent="0.3">
      <c r="A5292" s="24">
        <v>40170</v>
      </c>
      <c r="B5292" s="66">
        <v>822.63400000000001</v>
      </c>
      <c r="C5292" s="67"/>
      <c r="D5292" s="68">
        <v>0</v>
      </c>
      <c r="E5292" s="110">
        <f t="shared" si="84"/>
        <v>48737</v>
      </c>
      <c r="F5292" s="69">
        <v>8.5492456277184957E-3</v>
      </c>
    </row>
    <row r="5293" spans="1:6" x14ac:dyDescent="0.3">
      <c r="A5293" s="24">
        <v>40171</v>
      </c>
      <c r="B5293" s="66">
        <v>822.63400000000001</v>
      </c>
      <c r="C5293" s="67"/>
      <c r="D5293" s="68">
        <v>0</v>
      </c>
      <c r="E5293" s="110">
        <f t="shared" si="84"/>
        <v>48737</v>
      </c>
      <c r="F5293" s="69">
        <v>8.5492456277184957E-3</v>
      </c>
    </row>
    <row r="5294" spans="1:6" x14ac:dyDescent="0.3">
      <c r="A5294" s="24">
        <v>40172</v>
      </c>
      <c r="B5294" s="66">
        <v>822.63400000000001</v>
      </c>
      <c r="C5294" s="67"/>
      <c r="D5294" s="68">
        <v>0</v>
      </c>
      <c r="E5294" s="110">
        <f t="shared" si="84"/>
        <v>48737</v>
      </c>
      <c r="F5294" s="69">
        <v>8.5492456277184957E-3</v>
      </c>
    </row>
    <row r="5295" spans="1:6" x14ac:dyDescent="0.3">
      <c r="A5295" s="24">
        <v>40173</v>
      </c>
      <c r="B5295" s="66">
        <v>822.63400000000001</v>
      </c>
      <c r="C5295" s="67"/>
      <c r="D5295" s="68">
        <v>0</v>
      </c>
      <c r="E5295" s="110">
        <f t="shared" si="84"/>
        <v>48737</v>
      </c>
      <c r="F5295" s="69">
        <v>8.5492456277184957E-3</v>
      </c>
    </row>
    <row r="5296" spans="1:6" x14ac:dyDescent="0.3">
      <c r="A5296" s="24">
        <v>40174</v>
      </c>
      <c r="B5296" s="66">
        <v>822.63400000000001</v>
      </c>
      <c r="C5296" s="67"/>
      <c r="D5296" s="68">
        <v>0</v>
      </c>
      <c r="E5296" s="110">
        <f t="shared" si="84"/>
        <v>48737</v>
      </c>
      <c r="F5296" s="69">
        <v>8.5492456277184957E-3</v>
      </c>
    </row>
    <row r="5297" spans="1:6" x14ac:dyDescent="0.3">
      <c r="A5297" s="24">
        <v>40175</v>
      </c>
      <c r="B5297" s="66">
        <v>822.63400000000001</v>
      </c>
      <c r="C5297" s="67"/>
      <c r="D5297" s="68">
        <v>0</v>
      </c>
      <c r="E5297" s="110">
        <f t="shared" si="84"/>
        <v>48737</v>
      </c>
      <c r="F5297" s="69">
        <v>8.5492456277184957E-3</v>
      </c>
    </row>
    <row r="5298" spans="1:6" x14ac:dyDescent="0.3">
      <c r="A5298" s="24">
        <v>40176</v>
      </c>
      <c r="B5298" s="66">
        <v>822.63400000000001</v>
      </c>
      <c r="C5298" s="67"/>
      <c r="D5298" s="68">
        <v>0</v>
      </c>
      <c r="E5298" s="110">
        <f t="shared" si="84"/>
        <v>48737</v>
      </c>
      <c r="F5298" s="69">
        <v>8.5492456277184957E-3</v>
      </c>
    </row>
    <row r="5299" spans="1:6" x14ac:dyDescent="0.3">
      <c r="A5299" s="24">
        <v>40177</v>
      </c>
      <c r="B5299" s="66">
        <v>822.63400000000001</v>
      </c>
      <c r="C5299" s="67"/>
      <c r="D5299" s="68">
        <v>0</v>
      </c>
      <c r="E5299" s="110">
        <f t="shared" si="84"/>
        <v>48737</v>
      </c>
      <c r="F5299" s="69">
        <v>7.9331758089398342E-3</v>
      </c>
    </row>
    <row r="5300" spans="1:6" x14ac:dyDescent="0.3">
      <c r="A5300" s="24">
        <v>40178</v>
      </c>
      <c r="B5300" s="66">
        <v>840.44400000000007</v>
      </c>
      <c r="C5300" s="67"/>
      <c r="D5300" s="68">
        <v>0</v>
      </c>
      <c r="E5300" s="110">
        <f t="shared" si="84"/>
        <v>48737</v>
      </c>
      <c r="F5300" s="69">
        <v>7.9331758089398342E-3</v>
      </c>
    </row>
    <row r="5301" spans="1:6" x14ac:dyDescent="0.3">
      <c r="A5301" s="24">
        <v>40179</v>
      </c>
      <c r="B5301" s="66">
        <v>840.44400000000007</v>
      </c>
      <c r="C5301" s="67"/>
      <c r="D5301" s="68">
        <v>0</v>
      </c>
      <c r="E5301" s="110">
        <f t="shared" si="84"/>
        <v>48737</v>
      </c>
      <c r="F5301" s="69">
        <v>7.9331758089398342E-3</v>
      </c>
    </row>
    <row r="5302" spans="1:6" x14ac:dyDescent="0.3">
      <c r="A5302" s="24">
        <v>40180</v>
      </c>
      <c r="B5302" s="66">
        <v>840.44400000000007</v>
      </c>
      <c r="C5302" s="67"/>
      <c r="D5302" s="68">
        <v>0</v>
      </c>
      <c r="E5302" s="110">
        <f t="shared" si="84"/>
        <v>48737</v>
      </c>
      <c r="F5302" s="69">
        <v>7.9331758089398342E-3</v>
      </c>
    </row>
    <row r="5303" spans="1:6" x14ac:dyDescent="0.3">
      <c r="A5303" s="24">
        <v>40181</v>
      </c>
      <c r="B5303" s="66">
        <v>840.44400000000007</v>
      </c>
      <c r="C5303" s="67"/>
      <c r="D5303" s="68">
        <v>0</v>
      </c>
      <c r="E5303" s="110">
        <f t="shared" si="84"/>
        <v>48737</v>
      </c>
      <c r="F5303" s="69">
        <v>7.9331758089398342E-3</v>
      </c>
    </row>
    <row r="5304" spans="1:6" x14ac:dyDescent="0.3">
      <c r="A5304" s="24">
        <v>40182</v>
      </c>
      <c r="B5304" s="66">
        <v>840.44400000000007</v>
      </c>
      <c r="C5304" s="67"/>
      <c r="D5304" s="68">
        <v>0</v>
      </c>
      <c r="E5304" s="110">
        <f t="shared" si="84"/>
        <v>48737</v>
      </c>
      <c r="F5304" s="69">
        <v>7.9331758089398342E-3</v>
      </c>
    </row>
    <row r="5305" spans="1:6" x14ac:dyDescent="0.3">
      <c r="A5305" s="24">
        <v>40183</v>
      </c>
      <c r="B5305" s="66">
        <v>840.44400000000007</v>
      </c>
      <c r="C5305" s="67"/>
      <c r="D5305" s="68">
        <v>0</v>
      </c>
      <c r="E5305" s="110">
        <f t="shared" si="84"/>
        <v>48737</v>
      </c>
      <c r="F5305" s="69">
        <v>7.9331758089398342E-3</v>
      </c>
    </row>
    <row r="5306" spans="1:6" x14ac:dyDescent="0.3">
      <c r="A5306" s="24">
        <v>40184</v>
      </c>
      <c r="B5306" s="66">
        <v>840.44400000000007</v>
      </c>
      <c r="C5306" s="67"/>
      <c r="D5306" s="68">
        <v>0</v>
      </c>
      <c r="E5306" s="110">
        <f t="shared" si="84"/>
        <v>48737</v>
      </c>
      <c r="F5306" s="69">
        <v>7.9331758089398342E-3</v>
      </c>
    </row>
    <row r="5307" spans="1:6" x14ac:dyDescent="0.3">
      <c r="A5307" s="24">
        <v>40185</v>
      </c>
      <c r="B5307" s="66">
        <v>840.44400000000007</v>
      </c>
      <c r="C5307" s="67"/>
      <c r="D5307" s="68">
        <v>0</v>
      </c>
      <c r="E5307" s="110">
        <f t="shared" si="84"/>
        <v>48737</v>
      </c>
      <c r="F5307" s="69">
        <v>7.9331758089398342E-3</v>
      </c>
    </row>
    <row r="5308" spans="1:6" x14ac:dyDescent="0.3">
      <c r="A5308" s="24">
        <v>40186</v>
      </c>
      <c r="B5308" s="66">
        <v>840.44400000000007</v>
      </c>
      <c r="C5308" s="67"/>
      <c r="D5308" s="68">
        <v>0</v>
      </c>
      <c r="E5308" s="110">
        <f t="shared" si="84"/>
        <v>48737</v>
      </c>
      <c r="F5308" s="69">
        <v>7.9331758089398342E-3</v>
      </c>
    </row>
    <row r="5309" spans="1:6" x14ac:dyDescent="0.3">
      <c r="A5309" s="24">
        <v>40187</v>
      </c>
      <c r="B5309" s="66">
        <v>840.44400000000007</v>
      </c>
      <c r="C5309" s="67"/>
      <c r="D5309" s="68">
        <v>0</v>
      </c>
      <c r="E5309" s="110">
        <f t="shared" si="84"/>
        <v>48737</v>
      </c>
      <c r="F5309" s="69">
        <v>7.9331758089398342E-3</v>
      </c>
    </row>
    <row r="5310" spans="1:6" x14ac:dyDescent="0.3">
      <c r="A5310" s="24">
        <v>40188</v>
      </c>
      <c r="B5310" s="66">
        <v>840.44400000000007</v>
      </c>
      <c r="C5310" s="67"/>
      <c r="D5310" s="68">
        <v>0</v>
      </c>
      <c r="E5310" s="110">
        <f t="shared" si="84"/>
        <v>48737</v>
      </c>
      <c r="F5310" s="69">
        <v>7.9331758089398342E-3</v>
      </c>
    </row>
    <row r="5311" spans="1:6" x14ac:dyDescent="0.3">
      <c r="A5311" s="24">
        <v>40189</v>
      </c>
      <c r="B5311" s="66">
        <v>840.44400000000007</v>
      </c>
      <c r="C5311" s="67"/>
      <c r="D5311" s="68">
        <v>0</v>
      </c>
      <c r="E5311" s="110">
        <f t="shared" si="84"/>
        <v>48737</v>
      </c>
      <c r="F5311" s="69">
        <v>7.9331758089398342E-3</v>
      </c>
    </row>
    <row r="5312" spans="1:6" x14ac:dyDescent="0.3">
      <c r="A5312" s="24">
        <v>40190</v>
      </c>
      <c r="B5312" s="66">
        <v>840.44400000000007</v>
      </c>
      <c r="C5312" s="67"/>
      <c r="D5312" s="68">
        <v>0</v>
      </c>
      <c r="E5312" s="110">
        <f t="shared" si="84"/>
        <v>48737</v>
      </c>
      <c r="F5312" s="69">
        <v>7.9331758089398342E-3</v>
      </c>
    </row>
    <row r="5313" spans="1:6" x14ac:dyDescent="0.3">
      <c r="A5313" s="24">
        <v>40191</v>
      </c>
      <c r="B5313" s="66">
        <v>840.44400000000007</v>
      </c>
      <c r="C5313" s="67"/>
      <c r="D5313" s="68">
        <v>0</v>
      </c>
      <c r="E5313" s="110">
        <f t="shared" si="84"/>
        <v>48737</v>
      </c>
      <c r="F5313" s="69">
        <v>7.9331758089398342E-3</v>
      </c>
    </row>
    <row r="5314" spans="1:6" x14ac:dyDescent="0.3">
      <c r="A5314" s="24">
        <v>40192</v>
      </c>
      <c r="B5314" s="66">
        <v>840.44400000000007</v>
      </c>
      <c r="C5314" s="67"/>
      <c r="D5314" s="68">
        <v>0</v>
      </c>
      <c r="E5314" s="110">
        <f t="shared" si="84"/>
        <v>48737</v>
      </c>
      <c r="F5314" s="69">
        <v>7.9331758089398342E-3</v>
      </c>
    </row>
    <row r="5315" spans="1:6" x14ac:dyDescent="0.3">
      <c r="A5315" s="24">
        <v>40193</v>
      </c>
      <c r="B5315" s="66">
        <v>840.44400000000007</v>
      </c>
      <c r="C5315" s="67"/>
      <c r="D5315" s="68">
        <v>0</v>
      </c>
      <c r="E5315" s="110">
        <f t="shared" si="84"/>
        <v>48737</v>
      </c>
      <c r="F5315" s="69">
        <v>7.9331758089398342E-3</v>
      </c>
    </row>
    <row r="5316" spans="1:6" x14ac:dyDescent="0.3">
      <c r="A5316" s="24">
        <v>40194</v>
      </c>
      <c r="B5316" s="66">
        <v>840.44400000000007</v>
      </c>
      <c r="C5316" s="67"/>
      <c r="D5316" s="68">
        <v>0</v>
      </c>
      <c r="E5316" s="110">
        <f t="shared" si="84"/>
        <v>48737</v>
      </c>
      <c r="F5316" s="69">
        <v>7.9331758089398342E-3</v>
      </c>
    </row>
    <row r="5317" spans="1:6" x14ac:dyDescent="0.3">
      <c r="A5317" s="24">
        <v>40195</v>
      </c>
      <c r="B5317" s="66">
        <v>840.44400000000007</v>
      </c>
      <c r="C5317" s="67"/>
      <c r="D5317" s="68">
        <v>0</v>
      </c>
      <c r="E5317" s="110">
        <f t="shared" si="84"/>
        <v>48737</v>
      </c>
      <c r="F5317" s="69">
        <v>7.9331758089398342E-3</v>
      </c>
    </row>
    <row r="5318" spans="1:6" x14ac:dyDescent="0.3">
      <c r="A5318" s="24">
        <v>40196</v>
      </c>
      <c r="B5318" s="66">
        <v>840.44400000000007</v>
      </c>
      <c r="C5318" s="67"/>
      <c r="D5318" s="68">
        <v>0</v>
      </c>
      <c r="E5318" s="110">
        <f t="shared" ref="E5318:E5381" si="85">+E5317</f>
        <v>48737</v>
      </c>
      <c r="F5318" s="69">
        <v>7.9331758089398342E-3</v>
      </c>
    </row>
    <row r="5319" spans="1:6" x14ac:dyDescent="0.3">
      <c r="A5319" s="24">
        <v>40197</v>
      </c>
      <c r="B5319" s="66">
        <v>840.44400000000007</v>
      </c>
      <c r="C5319" s="67"/>
      <c r="D5319" s="68">
        <v>0</v>
      </c>
      <c r="E5319" s="110">
        <f t="shared" si="85"/>
        <v>48737</v>
      </c>
      <c r="F5319" s="69">
        <v>7.9331758089398342E-3</v>
      </c>
    </row>
    <row r="5320" spans="1:6" x14ac:dyDescent="0.3">
      <c r="A5320" s="24">
        <v>40198</v>
      </c>
      <c r="B5320" s="66">
        <v>840.44400000000007</v>
      </c>
      <c r="C5320" s="67"/>
      <c r="D5320" s="68">
        <v>0</v>
      </c>
      <c r="E5320" s="110">
        <f t="shared" si="85"/>
        <v>48737</v>
      </c>
      <c r="F5320" s="69">
        <v>7.9331758089398342E-3</v>
      </c>
    </row>
    <row r="5321" spans="1:6" x14ac:dyDescent="0.3">
      <c r="A5321" s="24">
        <v>40199</v>
      </c>
      <c r="B5321" s="66">
        <v>840.44400000000007</v>
      </c>
      <c r="C5321" s="67"/>
      <c r="D5321" s="68">
        <v>0</v>
      </c>
      <c r="E5321" s="110">
        <f t="shared" si="85"/>
        <v>48737</v>
      </c>
      <c r="F5321" s="69">
        <v>7.9331758089398342E-3</v>
      </c>
    </row>
    <row r="5322" spans="1:6" x14ac:dyDescent="0.3">
      <c r="A5322" s="24">
        <v>40200</v>
      </c>
      <c r="B5322" s="66">
        <v>840.44400000000007</v>
      </c>
      <c r="C5322" s="67"/>
      <c r="D5322" s="68">
        <v>0</v>
      </c>
      <c r="E5322" s="110">
        <f t="shared" si="85"/>
        <v>48737</v>
      </c>
      <c r="F5322" s="69">
        <v>7.9331758089398342E-3</v>
      </c>
    </row>
    <row r="5323" spans="1:6" x14ac:dyDescent="0.3">
      <c r="A5323" s="24">
        <v>40201</v>
      </c>
      <c r="B5323" s="66">
        <v>840.44400000000007</v>
      </c>
      <c r="C5323" s="67"/>
      <c r="D5323" s="68">
        <v>0</v>
      </c>
      <c r="E5323" s="110">
        <f t="shared" si="85"/>
        <v>48737</v>
      </c>
      <c r="F5323" s="69">
        <v>7.9331758089398342E-3</v>
      </c>
    </row>
    <row r="5324" spans="1:6" x14ac:dyDescent="0.3">
      <c r="A5324" s="24">
        <v>40202</v>
      </c>
      <c r="B5324" s="66">
        <v>840.44400000000007</v>
      </c>
      <c r="C5324" s="67"/>
      <c r="D5324" s="68">
        <v>0</v>
      </c>
      <c r="E5324" s="110">
        <f t="shared" si="85"/>
        <v>48737</v>
      </c>
      <c r="F5324" s="69">
        <v>7.9331758089398342E-3</v>
      </c>
    </row>
    <row r="5325" spans="1:6" x14ac:dyDescent="0.3">
      <c r="A5325" s="24">
        <v>40203</v>
      </c>
      <c r="B5325" s="66">
        <v>840.44400000000007</v>
      </c>
      <c r="C5325" s="67"/>
      <c r="D5325" s="68">
        <v>0</v>
      </c>
      <c r="E5325" s="110">
        <f t="shared" si="85"/>
        <v>48737</v>
      </c>
      <c r="F5325" s="69">
        <v>7.9331758089398342E-3</v>
      </c>
    </row>
    <row r="5326" spans="1:6" x14ac:dyDescent="0.3">
      <c r="A5326" s="24">
        <v>40204</v>
      </c>
      <c r="B5326" s="66">
        <v>840.44400000000007</v>
      </c>
      <c r="C5326" s="67"/>
      <c r="D5326" s="68">
        <v>0</v>
      </c>
      <c r="E5326" s="110">
        <f t="shared" si="85"/>
        <v>48737</v>
      </c>
      <c r="F5326" s="69">
        <v>7.9331758089398342E-3</v>
      </c>
    </row>
    <row r="5327" spans="1:6" x14ac:dyDescent="0.3">
      <c r="A5327" s="24">
        <v>40205</v>
      </c>
      <c r="B5327" s="66">
        <v>840.44400000000007</v>
      </c>
      <c r="C5327" s="67"/>
      <c r="D5327" s="68">
        <v>0</v>
      </c>
      <c r="E5327" s="110">
        <f t="shared" si="85"/>
        <v>48737</v>
      </c>
      <c r="F5327" s="69">
        <v>7.9331758089398342E-3</v>
      </c>
    </row>
    <row r="5328" spans="1:6" x14ac:dyDescent="0.3">
      <c r="A5328" s="24">
        <v>40206</v>
      </c>
      <c r="B5328" s="66">
        <v>840.44400000000007</v>
      </c>
      <c r="C5328" s="67"/>
      <c r="D5328" s="68">
        <v>0</v>
      </c>
      <c r="E5328" s="110">
        <f t="shared" si="85"/>
        <v>48737</v>
      </c>
      <c r="F5328" s="69">
        <v>7.9331758089398342E-3</v>
      </c>
    </row>
    <row r="5329" spans="1:6" x14ac:dyDescent="0.3">
      <c r="A5329" s="24">
        <v>40207</v>
      </c>
      <c r="B5329" s="66">
        <v>840.44400000000007</v>
      </c>
      <c r="C5329" s="67"/>
      <c r="D5329" s="68">
        <v>0</v>
      </c>
      <c r="E5329" s="110">
        <f t="shared" si="85"/>
        <v>48737</v>
      </c>
      <c r="F5329" s="69">
        <v>7.9331758089398342E-3</v>
      </c>
    </row>
    <row r="5330" spans="1:6" x14ac:dyDescent="0.3">
      <c r="A5330" s="24">
        <v>40208</v>
      </c>
      <c r="B5330" s="66">
        <v>840.44400000000007</v>
      </c>
      <c r="C5330" s="67"/>
      <c r="D5330" s="68">
        <v>0</v>
      </c>
      <c r="E5330" s="110">
        <f t="shared" si="85"/>
        <v>48737</v>
      </c>
      <c r="F5330" s="69">
        <v>7.9331758089398342E-3</v>
      </c>
    </row>
    <row r="5331" spans="1:6" x14ac:dyDescent="0.3">
      <c r="A5331" s="24">
        <v>40209</v>
      </c>
      <c r="B5331" s="66">
        <v>840.44400000000007</v>
      </c>
      <c r="C5331" s="67"/>
      <c r="D5331" s="68">
        <v>0</v>
      </c>
      <c r="E5331" s="110">
        <f t="shared" si="85"/>
        <v>48737</v>
      </c>
      <c r="F5331" s="69">
        <v>7.9331758089398342E-3</v>
      </c>
    </row>
    <row r="5332" spans="1:6" x14ac:dyDescent="0.3">
      <c r="A5332" s="24">
        <v>40210</v>
      </c>
      <c r="B5332" s="66">
        <v>840.44400000000007</v>
      </c>
      <c r="C5332" s="67"/>
      <c r="D5332" s="68">
        <v>0</v>
      </c>
      <c r="E5332" s="110">
        <f t="shared" si="85"/>
        <v>48737</v>
      </c>
      <c r="F5332" s="69">
        <v>7.9331758089398342E-3</v>
      </c>
    </row>
    <row r="5333" spans="1:6" x14ac:dyDescent="0.3">
      <c r="A5333" s="24">
        <v>40211</v>
      </c>
      <c r="B5333" s="66">
        <v>840.44400000000007</v>
      </c>
      <c r="C5333" s="67"/>
      <c r="D5333" s="68">
        <v>0</v>
      </c>
      <c r="E5333" s="110">
        <f t="shared" si="85"/>
        <v>48737</v>
      </c>
      <c r="F5333" s="69">
        <v>7.9331758089398342E-3</v>
      </c>
    </row>
    <row r="5334" spans="1:6" x14ac:dyDescent="0.3">
      <c r="A5334" s="24">
        <v>40212</v>
      </c>
      <c r="B5334" s="66">
        <v>840.44400000000007</v>
      </c>
      <c r="C5334" s="67"/>
      <c r="D5334" s="68">
        <v>0</v>
      </c>
      <c r="E5334" s="110">
        <f t="shared" si="85"/>
        <v>48737</v>
      </c>
      <c r="F5334" s="69">
        <v>7.9331758089398342E-3</v>
      </c>
    </row>
    <row r="5335" spans="1:6" x14ac:dyDescent="0.3">
      <c r="A5335" s="24">
        <v>40213</v>
      </c>
      <c r="B5335" s="66">
        <v>840.44400000000007</v>
      </c>
      <c r="C5335" s="67"/>
      <c r="D5335" s="68">
        <v>0</v>
      </c>
      <c r="E5335" s="110">
        <f t="shared" si="85"/>
        <v>48737</v>
      </c>
      <c r="F5335" s="69">
        <v>7.9331758089398342E-3</v>
      </c>
    </row>
    <row r="5336" spans="1:6" x14ac:dyDescent="0.3">
      <c r="A5336" s="24">
        <v>40214</v>
      </c>
      <c r="B5336" s="66">
        <v>840.44400000000007</v>
      </c>
      <c r="C5336" s="67"/>
      <c r="D5336" s="68">
        <v>0</v>
      </c>
      <c r="E5336" s="110">
        <f t="shared" si="85"/>
        <v>48737</v>
      </c>
      <c r="F5336" s="69">
        <v>7.9331758089398342E-3</v>
      </c>
    </row>
    <row r="5337" spans="1:6" x14ac:dyDescent="0.3">
      <c r="A5337" s="24">
        <v>40215</v>
      </c>
      <c r="B5337" s="66">
        <v>840.44400000000007</v>
      </c>
      <c r="C5337" s="67"/>
      <c r="D5337" s="68">
        <v>0</v>
      </c>
      <c r="E5337" s="110">
        <f t="shared" si="85"/>
        <v>48737</v>
      </c>
      <c r="F5337" s="69">
        <v>7.9331758089398342E-3</v>
      </c>
    </row>
    <row r="5338" spans="1:6" x14ac:dyDescent="0.3">
      <c r="A5338" s="24">
        <v>40216</v>
      </c>
      <c r="B5338" s="66">
        <v>840.44400000000007</v>
      </c>
      <c r="C5338" s="67"/>
      <c r="D5338" s="68">
        <v>0</v>
      </c>
      <c r="E5338" s="110">
        <f t="shared" si="85"/>
        <v>48737</v>
      </c>
      <c r="F5338" s="69">
        <v>7.9331758089398342E-3</v>
      </c>
    </row>
    <row r="5339" spans="1:6" x14ac:dyDescent="0.3">
      <c r="A5339" s="24">
        <v>40217</v>
      </c>
      <c r="B5339" s="66">
        <v>840.44400000000007</v>
      </c>
      <c r="C5339" s="67"/>
      <c r="D5339" s="68">
        <v>0</v>
      </c>
      <c r="E5339" s="110">
        <f t="shared" si="85"/>
        <v>48737</v>
      </c>
      <c r="F5339" s="69">
        <v>7.9331758089398342E-3</v>
      </c>
    </row>
    <row r="5340" spans="1:6" x14ac:dyDescent="0.3">
      <c r="A5340" s="24">
        <v>40218</v>
      </c>
      <c r="B5340" s="66">
        <v>840.44400000000007</v>
      </c>
      <c r="C5340" s="67"/>
      <c r="D5340" s="68">
        <v>0</v>
      </c>
      <c r="E5340" s="110">
        <f t="shared" si="85"/>
        <v>48737</v>
      </c>
      <c r="F5340" s="69">
        <v>7.9331758089398342E-3</v>
      </c>
    </row>
    <row r="5341" spans="1:6" x14ac:dyDescent="0.3">
      <c r="A5341" s="24">
        <v>40219</v>
      </c>
      <c r="B5341" s="66">
        <v>840.44400000000007</v>
      </c>
      <c r="C5341" s="67"/>
      <c r="D5341" s="68">
        <v>0</v>
      </c>
      <c r="E5341" s="110">
        <f t="shared" si="85"/>
        <v>48737</v>
      </c>
      <c r="F5341" s="69">
        <v>7.9331758089398342E-3</v>
      </c>
    </row>
    <row r="5342" spans="1:6" x14ac:dyDescent="0.3">
      <c r="A5342" s="24">
        <v>40220</v>
      </c>
      <c r="B5342" s="66">
        <v>840.44400000000007</v>
      </c>
      <c r="C5342" s="67"/>
      <c r="D5342" s="68">
        <v>0</v>
      </c>
      <c r="E5342" s="110">
        <f t="shared" si="85"/>
        <v>48737</v>
      </c>
      <c r="F5342" s="69">
        <v>7.9331758089398342E-3</v>
      </c>
    </row>
    <row r="5343" spans="1:6" x14ac:dyDescent="0.3">
      <c r="A5343" s="24">
        <v>40221</v>
      </c>
      <c r="B5343" s="66">
        <v>840.44400000000007</v>
      </c>
      <c r="C5343" s="67"/>
      <c r="D5343" s="68">
        <v>0</v>
      </c>
      <c r="E5343" s="110">
        <f t="shared" si="85"/>
        <v>48737</v>
      </c>
      <c r="F5343" s="69">
        <v>7.9331758089398342E-3</v>
      </c>
    </row>
    <row r="5344" spans="1:6" x14ac:dyDescent="0.3">
      <c r="A5344" s="24">
        <v>40222</v>
      </c>
      <c r="B5344" s="66">
        <v>840.44400000000007</v>
      </c>
      <c r="C5344" s="67"/>
      <c r="D5344" s="68">
        <v>0</v>
      </c>
      <c r="E5344" s="110">
        <f t="shared" si="85"/>
        <v>48737</v>
      </c>
      <c r="F5344" s="69">
        <v>7.9331758089398342E-3</v>
      </c>
    </row>
    <row r="5345" spans="1:6" x14ac:dyDescent="0.3">
      <c r="A5345" s="24">
        <v>40223</v>
      </c>
      <c r="B5345" s="66">
        <v>840.44400000000007</v>
      </c>
      <c r="C5345" s="67"/>
      <c r="D5345" s="68">
        <v>0</v>
      </c>
      <c r="E5345" s="110">
        <f t="shared" si="85"/>
        <v>48737</v>
      </c>
      <c r="F5345" s="69">
        <v>7.9331758089398342E-3</v>
      </c>
    </row>
    <row r="5346" spans="1:6" x14ac:dyDescent="0.3">
      <c r="A5346" s="24">
        <v>40224</v>
      </c>
      <c r="B5346" s="66">
        <v>840.44400000000007</v>
      </c>
      <c r="C5346" s="67"/>
      <c r="D5346" s="68">
        <v>0</v>
      </c>
      <c r="E5346" s="110">
        <f t="shared" si="85"/>
        <v>48737</v>
      </c>
      <c r="F5346" s="69">
        <v>7.9331758089398342E-3</v>
      </c>
    </row>
    <row r="5347" spans="1:6" x14ac:dyDescent="0.3">
      <c r="A5347" s="24">
        <v>40225</v>
      </c>
      <c r="B5347" s="66">
        <v>840.44400000000007</v>
      </c>
      <c r="C5347" s="67"/>
      <c r="D5347" s="68">
        <v>0</v>
      </c>
      <c r="E5347" s="110">
        <f t="shared" si="85"/>
        <v>48737</v>
      </c>
      <c r="F5347" s="69">
        <v>7.9331758089398342E-3</v>
      </c>
    </row>
    <row r="5348" spans="1:6" x14ac:dyDescent="0.3">
      <c r="A5348" s="24">
        <v>40226</v>
      </c>
      <c r="B5348" s="66">
        <v>840.44400000000007</v>
      </c>
      <c r="C5348" s="67"/>
      <c r="D5348" s="68">
        <v>0</v>
      </c>
      <c r="E5348" s="110">
        <f t="shared" si="85"/>
        <v>48737</v>
      </c>
      <c r="F5348" s="69">
        <v>7.9331758089398342E-3</v>
      </c>
    </row>
    <row r="5349" spans="1:6" x14ac:dyDescent="0.3">
      <c r="A5349" s="24">
        <v>40227</v>
      </c>
      <c r="B5349" s="66">
        <v>840.44400000000007</v>
      </c>
      <c r="C5349" s="67"/>
      <c r="D5349" s="68">
        <v>0</v>
      </c>
      <c r="E5349" s="110">
        <f t="shared" si="85"/>
        <v>48737</v>
      </c>
      <c r="F5349" s="69">
        <v>7.9331758089398342E-3</v>
      </c>
    </row>
    <row r="5350" spans="1:6" x14ac:dyDescent="0.3">
      <c r="A5350" s="24">
        <v>40228</v>
      </c>
      <c r="B5350" s="66">
        <v>840.44400000000007</v>
      </c>
      <c r="C5350" s="67"/>
      <c r="D5350" s="68">
        <v>0</v>
      </c>
      <c r="E5350" s="110">
        <f t="shared" si="85"/>
        <v>48737</v>
      </c>
      <c r="F5350" s="69">
        <v>7.9331758089398342E-3</v>
      </c>
    </row>
    <row r="5351" spans="1:6" x14ac:dyDescent="0.3">
      <c r="A5351" s="24">
        <v>40229</v>
      </c>
      <c r="B5351" s="66">
        <v>840.44400000000007</v>
      </c>
      <c r="C5351" s="67"/>
      <c r="D5351" s="68">
        <v>0</v>
      </c>
      <c r="E5351" s="110">
        <f t="shared" si="85"/>
        <v>48737</v>
      </c>
      <c r="F5351" s="69">
        <v>7.9331758089398342E-3</v>
      </c>
    </row>
    <row r="5352" spans="1:6" x14ac:dyDescent="0.3">
      <c r="A5352" s="24">
        <v>40230</v>
      </c>
      <c r="B5352" s="66">
        <v>840.44400000000007</v>
      </c>
      <c r="C5352" s="67"/>
      <c r="D5352" s="68">
        <v>0</v>
      </c>
      <c r="E5352" s="110">
        <f t="shared" si="85"/>
        <v>48737</v>
      </c>
      <c r="F5352" s="69">
        <v>7.9331758089398342E-3</v>
      </c>
    </row>
    <row r="5353" spans="1:6" x14ac:dyDescent="0.3">
      <c r="A5353" s="24">
        <v>40231</v>
      </c>
      <c r="B5353" s="66">
        <v>840.44400000000007</v>
      </c>
      <c r="C5353" s="67"/>
      <c r="D5353" s="68">
        <v>0</v>
      </c>
      <c r="E5353" s="110">
        <f t="shared" si="85"/>
        <v>48737</v>
      </c>
      <c r="F5353" s="69">
        <v>7.9331758089398342E-3</v>
      </c>
    </row>
    <row r="5354" spans="1:6" x14ac:dyDescent="0.3">
      <c r="A5354" s="24">
        <v>40232</v>
      </c>
      <c r="B5354" s="66">
        <v>840.44400000000007</v>
      </c>
      <c r="C5354" s="67"/>
      <c r="D5354" s="68">
        <v>0</v>
      </c>
      <c r="E5354" s="110">
        <f t="shared" si="85"/>
        <v>48737</v>
      </c>
      <c r="F5354" s="69">
        <v>7.9331758089398342E-3</v>
      </c>
    </row>
    <row r="5355" spans="1:6" x14ac:dyDescent="0.3">
      <c r="A5355" s="24">
        <v>40233</v>
      </c>
      <c r="B5355" s="66">
        <v>840.44400000000007</v>
      </c>
      <c r="C5355" s="67"/>
      <c r="D5355" s="68">
        <v>0</v>
      </c>
      <c r="E5355" s="110">
        <f t="shared" si="85"/>
        <v>48737</v>
      </c>
      <c r="F5355" s="69">
        <v>7.9331758089398342E-3</v>
      </c>
    </row>
    <row r="5356" spans="1:6" x14ac:dyDescent="0.3">
      <c r="A5356" s="24">
        <v>40234</v>
      </c>
      <c r="B5356" s="66">
        <v>840.44400000000007</v>
      </c>
      <c r="C5356" s="67"/>
      <c r="D5356" s="68">
        <v>0</v>
      </c>
      <c r="E5356" s="110">
        <f t="shared" si="85"/>
        <v>48737</v>
      </c>
      <c r="F5356" s="69">
        <v>7.9331758089398342E-3</v>
      </c>
    </row>
    <row r="5357" spans="1:6" x14ac:dyDescent="0.3">
      <c r="A5357" s="24">
        <v>40235</v>
      </c>
      <c r="B5357" s="66">
        <v>840.44400000000007</v>
      </c>
      <c r="C5357" s="67"/>
      <c r="D5357" s="68">
        <v>0</v>
      </c>
      <c r="E5357" s="110">
        <f t="shared" si="85"/>
        <v>48737</v>
      </c>
      <c r="F5357" s="69">
        <v>7.9331758089398342E-3</v>
      </c>
    </row>
    <row r="5358" spans="1:6" x14ac:dyDescent="0.3">
      <c r="A5358" s="24">
        <v>40236</v>
      </c>
      <c r="B5358" s="66">
        <v>840.44400000000007</v>
      </c>
      <c r="C5358" s="67"/>
      <c r="D5358" s="68">
        <v>0</v>
      </c>
      <c r="E5358" s="110">
        <f t="shared" si="85"/>
        <v>48737</v>
      </c>
      <c r="F5358" s="69">
        <v>7.9331758089398342E-3</v>
      </c>
    </row>
    <row r="5359" spans="1:6" x14ac:dyDescent="0.3">
      <c r="A5359" s="24">
        <v>40237</v>
      </c>
      <c r="B5359" s="66">
        <v>840.44400000000007</v>
      </c>
      <c r="C5359" s="67"/>
      <c r="D5359" s="68">
        <v>0</v>
      </c>
      <c r="E5359" s="110">
        <f t="shared" si="85"/>
        <v>48737</v>
      </c>
      <c r="F5359" s="69">
        <v>7.9331758089398342E-3</v>
      </c>
    </row>
    <row r="5360" spans="1:6" x14ac:dyDescent="0.3">
      <c r="A5360" s="24">
        <v>40238</v>
      </c>
      <c r="B5360" s="66">
        <v>840.44400000000007</v>
      </c>
      <c r="C5360" s="67"/>
      <c r="D5360" s="68">
        <v>0</v>
      </c>
      <c r="E5360" s="110">
        <f t="shared" si="85"/>
        <v>48737</v>
      </c>
      <c r="F5360" s="69">
        <v>7.9331758089398342E-3</v>
      </c>
    </row>
    <row r="5361" spans="1:6" x14ac:dyDescent="0.3">
      <c r="A5361" s="24">
        <v>40239</v>
      </c>
      <c r="B5361" s="66">
        <v>840.44400000000007</v>
      </c>
      <c r="C5361" s="67"/>
      <c r="D5361" s="68">
        <v>0</v>
      </c>
      <c r="E5361" s="110">
        <f t="shared" si="85"/>
        <v>48737</v>
      </c>
      <c r="F5361" s="69">
        <v>7.9331758089398342E-3</v>
      </c>
    </row>
    <row r="5362" spans="1:6" x14ac:dyDescent="0.3">
      <c r="A5362" s="24">
        <v>40240</v>
      </c>
      <c r="B5362" s="66">
        <v>840.44400000000007</v>
      </c>
      <c r="C5362" s="67"/>
      <c r="D5362" s="68">
        <v>0</v>
      </c>
      <c r="E5362" s="110">
        <f t="shared" si="85"/>
        <v>48737</v>
      </c>
      <c r="F5362" s="69">
        <v>7.9331758089398342E-3</v>
      </c>
    </row>
    <row r="5363" spans="1:6" x14ac:dyDescent="0.3">
      <c r="A5363" s="24">
        <v>40241</v>
      </c>
      <c r="B5363" s="66">
        <v>840.44400000000007</v>
      </c>
      <c r="C5363" s="67"/>
      <c r="D5363" s="68">
        <v>0</v>
      </c>
      <c r="E5363" s="110">
        <f t="shared" si="85"/>
        <v>48737</v>
      </c>
      <c r="F5363" s="69">
        <v>7.9331758089398342E-3</v>
      </c>
    </row>
    <row r="5364" spans="1:6" x14ac:dyDescent="0.3">
      <c r="A5364" s="24">
        <v>40242</v>
      </c>
      <c r="B5364" s="66">
        <v>840.44400000000007</v>
      </c>
      <c r="C5364" s="67"/>
      <c r="D5364" s="68">
        <v>0</v>
      </c>
      <c r="E5364" s="110">
        <f t="shared" si="85"/>
        <v>48737</v>
      </c>
      <c r="F5364" s="69">
        <v>7.9331758089398342E-3</v>
      </c>
    </row>
    <row r="5365" spans="1:6" x14ac:dyDescent="0.3">
      <c r="A5365" s="24">
        <v>40243</v>
      </c>
      <c r="B5365" s="66">
        <v>840.44400000000007</v>
      </c>
      <c r="C5365" s="67"/>
      <c r="D5365" s="68">
        <v>0</v>
      </c>
      <c r="E5365" s="110">
        <f t="shared" si="85"/>
        <v>48737</v>
      </c>
      <c r="F5365" s="69">
        <v>7.9331758089398342E-3</v>
      </c>
    </row>
    <row r="5366" spans="1:6" x14ac:dyDescent="0.3">
      <c r="A5366" s="24">
        <v>40244</v>
      </c>
      <c r="B5366" s="66">
        <v>840.44400000000007</v>
      </c>
      <c r="C5366" s="67"/>
      <c r="D5366" s="68">
        <v>0</v>
      </c>
      <c r="E5366" s="110">
        <f t="shared" si="85"/>
        <v>48737</v>
      </c>
      <c r="F5366" s="69">
        <v>7.9331758089398342E-3</v>
      </c>
    </row>
    <row r="5367" spans="1:6" x14ac:dyDescent="0.3">
      <c r="A5367" s="24">
        <v>40245</v>
      </c>
      <c r="B5367" s="66">
        <v>840.44400000000007</v>
      </c>
      <c r="C5367" s="67"/>
      <c r="D5367" s="68">
        <v>0</v>
      </c>
      <c r="E5367" s="110">
        <f t="shared" si="85"/>
        <v>48737</v>
      </c>
      <c r="F5367" s="69">
        <v>7.9331758089398342E-3</v>
      </c>
    </row>
    <row r="5368" spans="1:6" x14ac:dyDescent="0.3">
      <c r="A5368" s="24">
        <v>40246</v>
      </c>
      <c r="B5368" s="66">
        <v>840.44400000000007</v>
      </c>
      <c r="C5368" s="67"/>
      <c r="D5368" s="68">
        <v>0</v>
      </c>
      <c r="E5368" s="110">
        <f t="shared" si="85"/>
        <v>48737</v>
      </c>
      <c r="F5368" s="69">
        <v>7.9331758089398342E-3</v>
      </c>
    </row>
    <row r="5369" spans="1:6" x14ac:dyDescent="0.3">
      <c r="A5369" s="24">
        <v>40247</v>
      </c>
      <c r="B5369" s="66">
        <v>840.44400000000007</v>
      </c>
      <c r="C5369" s="67"/>
      <c r="D5369" s="68">
        <v>0</v>
      </c>
      <c r="E5369" s="110">
        <f t="shared" si="85"/>
        <v>48737</v>
      </c>
      <c r="F5369" s="69">
        <v>7.9331758089398342E-3</v>
      </c>
    </row>
    <row r="5370" spans="1:6" x14ac:dyDescent="0.3">
      <c r="A5370" s="24">
        <v>40248</v>
      </c>
      <c r="B5370" s="66">
        <v>840.44400000000007</v>
      </c>
      <c r="C5370" s="67"/>
      <c r="D5370" s="68">
        <v>0</v>
      </c>
      <c r="E5370" s="110">
        <f t="shared" si="85"/>
        <v>48737</v>
      </c>
      <c r="F5370" s="69">
        <v>7.9331758089398342E-3</v>
      </c>
    </row>
    <row r="5371" spans="1:6" x14ac:dyDescent="0.3">
      <c r="A5371" s="24">
        <v>40249</v>
      </c>
      <c r="B5371" s="66">
        <v>840.44400000000007</v>
      </c>
      <c r="C5371" s="67"/>
      <c r="D5371" s="68">
        <v>0</v>
      </c>
      <c r="E5371" s="110">
        <f t="shared" si="85"/>
        <v>48737</v>
      </c>
      <c r="F5371" s="69">
        <v>7.9331758089398342E-3</v>
      </c>
    </row>
    <row r="5372" spans="1:6" x14ac:dyDescent="0.3">
      <c r="A5372" s="24">
        <v>40250</v>
      </c>
      <c r="B5372" s="66">
        <v>840.44400000000007</v>
      </c>
      <c r="C5372" s="67"/>
      <c r="D5372" s="68">
        <v>0</v>
      </c>
      <c r="E5372" s="110">
        <f t="shared" si="85"/>
        <v>48737</v>
      </c>
      <c r="F5372" s="69">
        <v>7.9331758089398342E-3</v>
      </c>
    </row>
    <row r="5373" spans="1:6" x14ac:dyDescent="0.3">
      <c r="A5373" s="24">
        <v>40251</v>
      </c>
      <c r="B5373" s="66">
        <v>840.44400000000007</v>
      </c>
      <c r="C5373" s="67"/>
      <c r="D5373" s="68">
        <v>0</v>
      </c>
      <c r="E5373" s="110">
        <f t="shared" si="85"/>
        <v>48737</v>
      </c>
      <c r="F5373" s="69">
        <v>7.9331758089398342E-3</v>
      </c>
    </row>
    <row r="5374" spans="1:6" x14ac:dyDescent="0.3">
      <c r="A5374" s="24">
        <v>40252</v>
      </c>
      <c r="B5374" s="66">
        <v>840.44400000000007</v>
      </c>
      <c r="C5374" s="67"/>
      <c r="D5374" s="68">
        <v>0</v>
      </c>
      <c r="E5374" s="110">
        <f t="shared" si="85"/>
        <v>48737</v>
      </c>
      <c r="F5374" s="69">
        <v>7.9331758089398342E-3</v>
      </c>
    </row>
    <row r="5375" spans="1:6" x14ac:dyDescent="0.3">
      <c r="A5375" s="24">
        <v>40253</v>
      </c>
      <c r="B5375" s="66">
        <v>840.44400000000007</v>
      </c>
      <c r="C5375" s="67"/>
      <c r="D5375" s="68">
        <v>0</v>
      </c>
      <c r="E5375" s="110">
        <f t="shared" si="85"/>
        <v>48737</v>
      </c>
      <c r="F5375" s="69">
        <v>7.9331758089398342E-3</v>
      </c>
    </row>
    <row r="5376" spans="1:6" x14ac:dyDescent="0.3">
      <c r="A5376" s="24">
        <v>40254</v>
      </c>
      <c r="B5376" s="66">
        <v>840.44400000000007</v>
      </c>
      <c r="C5376" s="67"/>
      <c r="D5376" s="68">
        <v>0</v>
      </c>
      <c r="E5376" s="110">
        <f t="shared" si="85"/>
        <v>48737</v>
      </c>
      <c r="F5376" s="69">
        <v>7.9331758089398342E-3</v>
      </c>
    </row>
    <row r="5377" spans="1:6" x14ac:dyDescent="0.3">
      <c r="A5377" s="24">
        <v>40255</v>
      </c>
      <c r="B5377" s="66">
        <v>840.44400000000007</v>
      </c>
      <c r="C5377" s="67"/>
      <c r="D5377" s="68">
        <v>0</v>
      </c>
      <c r="E5377" s="110">
        <f t="shared" si="85"/>
        <v>48737</v>
      </c>
      <c r="F5377" s="69">
        <v>7.9331758089398342E-3</v>
      </c>
    </row>
    <row r="5378" spans="1:6" x14ac:dyDescent="0.3">
      <c r="A5378" s="24">
        <v>40256</v>
      </c>
      <c r="B5378" s="66">
        <v>840.44400000000007</v>
      </c>
      <c r="C5378" s="67"/>
      <c r="D5378" s="68">
        <v>0</v>
      </c>
      <c r="E5378" s="110">
        <f t="shared" si="85"/>
        <v>48737</v>
      </c>
      <c r="F5378" s="69">
        <v>7.9331758089398342E-3</v>
      </c>
    </row>
    <row r="5379" spans="1:6" x14ac:dyDescent="0.3">
      <c r="A5379" s="24">
        <v>40257</v>
      </c>
      <c r="B5379" s="66">
        <v>840.44400000000007</v>
      </c>
      <c r="C5379" s="67"/>
      <c r="D5379" s="68">
        <v>0</v>
      </c>
      <c r="E5379" s="110">
        <f t="shared" si="85"/>
        <v>48737</v>
      </c>
      <c r="F5379" s="69">
        <v>7.9331758089398342E-3</v>
      </c>
    </row>
    <row r="5380" spans="1:6" x14ac:dyDescent="0.3">
      <c r="A5380" s="24">
        <v>40258</v>
      </c>
      <c r="B5380" s="66">
        <v>840.44400000000007</v>
      </c>
      <c r="C5380" s="67"/>
      <c r="D5380" s="68">
        <v>0</v>
      </c>
      <c r="E5380" s="110">
        <f t="shared" si="85"/>
        <v>48737</v>
      </c>
      <c r="F5380" s="69">
        <v>7.9331758089398342E-3</v>
      </c>
    </row>
    <row r="5381" spans="1:6" x14ac:dyDescent="0.3">
      <c r="A5381" s="24">
        <v>40259</v>
      </c>
      <c r="B5381" s="66">
        <v>840.44400000000007</v>
      </c>
      <c r="C5381" s="67"/>
      <c r="D5381" s="68">
        <v>0</v>
      </c>
      <c r="E5381" s="110">
        <f t="shared" si="85"/>
        <v>48737</v>
      </c>
      <c r="F5381" s="69">
        <v>7.9331758089398342E-3</v>
      </c>
    </row>
    <row r="5382" spans="1:6" x14ac:dyDescent="0.3">
      <c r="A5382" s="24">
        <v>40260</v>
      </c>
      <c r="B5382" s="66">
        <v>840.44400000000007</v>
      </c>
      <c r="C5382" s="67"/>
      <c r="D5382" s="68">
        <v>0</v>
      </c>
      <c r="E5382" s="110">
        <f t="shared" ref="E5382:E5445" si="86">+E5381</f>
        <v>48737</v>
      </c>
      <c r="F5382" s="69">
        <v>7.9331758089398342E-3</v>
      </c>
    </row>
    <row r="5383" spans="1:6" x14ac:dyDescent="0.3">
      <c r="A5383" s="24">
        <v>40261</v>
      </c>
      <c r="B5383" s="66">
        <v>840.44400000000007</v>
      </c>
      <c r="C5383" s="67"/>
      <c r="D5383" s="68">
        <v>0</v>
      </c>
      <c r="E5383" s="110">
        <f t="shared" si="86"/>
        <v>48737</v>
      </c>
      <c r="F5383" s="69">
        <v>7.9331758089398342E-3</v>
      </c>
    </row>
    <row r="5384" spans="1:6" x14ac:dyDescent="0.3">
      <c r="A5384" s="24">
        <v>40262</v>
      </c>
      <c r="B5384" s="66">
        <v>840.44400000000007</v>
      </c>
      <c r="C5384" s="67"/>
      <c r="D5384" s="68">
        <v>0</v>
      </c>
      <c r="E5384" s="110">
        <f t="shared" si="86"/>
        <v>48737</v>
      </c>
      <c r="F5384" s="69">
        <v>7.9331758089398342E-3</v>
      </c>
    </row>
    <row r="5385" spans="1:6" x14ac:dyDescent="0.3">
      <c r="A5385" s="24">
        <v>40263</v>
      </c>
      <c r="B5385" s="66">
        <v>840.44400000000007</v>
      </c>
      <c r="C5385" s="67"/>
      <c r="D5385" s="68">
        <v>0</v>
      </c>
      <c r="E5385" s="110">
        <f t="shared" si="86"/>
        <v>48737</v>
      </c>
      <c r="F5385" s="69">
        <v>7.9331758089398342E-3</v>
      </c>
    </row>
    <row r="5386" spans="1:6" x14ac:dyDescent="0.3">
      <c r="A5386" s="24">
        <v>40264</v>
      </c>
      <c r="B5386" s="66">
        <v>840.44400000000007</v>
      </c>
      <c r="C5386" s="67"/>
      <c r="D5386" s="68">
        <v>0</v>
      </c>
      <c r="E5386" s="110">
        <f t="shared" si="86"/>
        <v>48737</v>
      </c>
      <c r="F5386" s="69">
        <v>7.9331758089398342E-3</v>
      </c>
    </row>
    <row r="5387" spans="1:6" x14ac:dyDescent="0.3">
      <c r="A5387" s="24">
        <v>40265</v>
      </c>
      <c r="B5387" s="66">
        <v>840.44400000000007</v>
      </c>
      <c r="C5387" s="67"/>
      <c r="D5387" s="68">
        <v>0</v>
      </c>
      <c r="E5387" s="110">
        <f t="shared" si="86"/>
        <v>48737</v>
      </c>
      <c r="F5387" s="69">
        <v>7.9331758089398342E-3</v>
      </c>
    </row>
    <row r="5388" spans="1:6" x14ac:dyDescent="0.3">
      <c r="A5388" s="24">
        <v>40266</v>
      </c>
      <c r="B5388" s="66">
        <v>840.44400000000007</v>
      </c>
      <c r="C5388" s="67"/>
      <c r="D5388" s="68">
        <v>0</v>
      </c>
      <c r="E5388" s="110">
        <f t="shared" si="86"/>
        <v>48737</v>
      </c>
      <c r="F5388" s="69">
        <v>7.9331758089398342E-3</v>
      </c>
    </row>
    <row r="5389" spans="1:6" x14ac:dyDescent="0.3">
      <c r="A5389" s="24">
        <v>40267</v>
      </c>
      <c r="B5389" s="66">
        <v>840.44400000000007</v>
      </c>
      <c r="C5389" s="67"/>
      <c r="D5389" s="68">
        <v>0</v>
      </c>
      <c r="E5389" s="110">
        <f t="shared" si="86"/>
        <v>48737</v>
      </c>
      <c r="F5389" s="69">
        <v>8.0131267343796428E-3</v>
      </c>
    </row>
    <row r="5390" spans="1:6" x14ac:dyDescent="0.3">
      <c r="A5390" s="24">
        <v>40268</v>
      </c>
      <c r="B5390" s="66">
        <v>861.20467000000008</v>
      </c>
      <c r="C5390" s="67"/>
      <c r="D5390" s="68">
        <v>0</v>
      </c>
      <c r="E5390" s="110">
        <f t="shared" si="86"/>
        <v>48737</v>
      </c>
      <c r="F5390" s="69">
        <v>8.0131267343796428E-3</v>
      </c>
    </row>
    <row r="5391" spans="1:6" x14ac:dyDescent="0.3">
      <c r="A5391" s="24">
        <v>40269</v>
      </c>
      <c r="B5391" s="66">
        <v>861.20467000000008</v>
      </c>
      <c r="C5391" s="67"/>
      <c r="D5391" s="68">
        <v>0</v>
      </c>
      <c r="E5391" s="110">
        <f t="shared" si="86"/>
        <v>48737</v>
      </c>
      <c r="F5391" s="69">
        <v>8.0131267343796428E-3</v>
      </c>
    </row>
    <row r="5392" spans="1:6" x14ac:dyDescent="0.3">
      <c r="A5392" s="24">
        <v>40270</v>
      </c>
      <c r="B5392" s="66">
        <v>861.20467000000008</v>
      </c>
      <c r="C5392" s="67"/>
      <c r="D5392" s="68">
        <v>0</v>
      </c>
      <c r="E5392" s="110">
        <f t="shared" si="86"/>
        <v>48737</v>
      </c>
      <c r="F5392" s="69">
        <v>8.0131267343796428E-3</v>
      </c>
    </row>
    <row r="5393" spans="1:6" x14ac:dyDescent="0.3">
      <c r="A5393" s="24">
        <v>40271</v>
      </c>
      <c r="B5393" s="66">
        <v>861.20467000000008</v>
      </c>
      <c r="C5393" s="67"/>
      <c r="D5393" s="68">
        <v>0</v>
      </c>
      <c r="E5393" s="110">
        <f t="shared" si="86"/>
        <v>48737</v>
      </c>
      <c r="F5393" s="69">
        <v>8.0131267343796428E-3</v>
      </c>
    </row>
    <row r="5394" spans="1:6" x14ac:dyDescent="0.3">
      <c r="A5394" s="24">
        <v>40272</v>
      </c>
      <c r="B5394" s="66">
        <v>861.20467000000008</v>
      </c>
      <c r="C5394" s="67"/>
      <c r="D5394" s="68">
        <v>0</v>
      </c>
      <c r="E5394" s="110">
        <f t="shared" si="86"/>
        <v>48737</v>
      </c>
      <c r="F5394" s="69">
        <v>8.0131267343796428E-3</v>
      </c>
    </row>
    <row r="5395" spans="1:6" x14ac:dyDescent="0.3">
      <c r="A5395" s="24">
        <v>40273</v>
      </c>
      <c r="B5395" s="66">
        <v>861.20467000000008</v>
      </c>
      <c r="C5395" s="67"/>
      <c r="D5395" s="68">
        <v>0</v>
      </c>
      <c r="E5395" s="110">
        <f t="shared" si="86"/>
        <v>48737</v>
      </c>
      <c r="F5395" s="69">
        <v>8.0131267343796428E-3</v>
      </c>
    </row>
    <row r="5396" spans="1:6" x14ac:dyDescent="0.3">
      <c r="A5396" s="24">
        <v>40274</v>
      </c>
      <c r="B5396" s="66">
        <v>861.20467000000008</v>
      </c>
      <c r="C5396" s="67"/>
      <c r="D5396" s="68">
        <v>0</v>
      </c>
      <c r="E5396" s="110">
        <f t="shared" si="86"/>
        <v>48737</v>
      </c>
      <c r="F5396" s="69">
        <v>8.0131267343796428E-3</v>
      </c>
    </row>
    <row r="5397" spans="1:6" x14ac:dyDescent="0.3">
      <c r="A5397" s="24">
        <v>40275</v>
      </c>
      <c r="B5397" s="66">
        <v>861.20467000000008</v>
      </c>
      <c r="C5397" s="67"/>
      <c r="D5397" s="68">
        <v>0</v>
      </c>
      <c r="E5397" s="110">
        <f t="shared" si="86"/>
        <v>48737</v>
      </c>
      <c r="F5397" s="69">
        <v>8.0131267343796428E-3</v>
      </c>
    </row>
    <row r="5398" spans="1:6" x14ac:dyDescent="0.3">
      <c r="A5398" s="24">
        <v>40276</v>
      </c>
      <c r="B5398" s="66">
        <v>861.20467000000008</v>
      </c>
      <c r="C5398" s="67"/>
      <c r="D5398" s="68">
        <v>0</v>
      </c>
      <c r="E5398" s="110">
        <f t="shared" si="86"/>
        <v>48737</v>
      </c>
      <c r="F5398" s="69">
        <v>8.0131267343796428E-3</v>
      </c>
    </row>
    <row r="5399" spans="1:6" x14ac:dyDescent="0.3">
      <c r="A5399" s="24">
        <v>40277</v>
      </c>
      <c r="B5399" s="66">
        <v>861.20467000000008</v>
      </c>
      <c r="C5399" s="67"/>
      <c r="D5399" s="68">
        <v>0</v>
      </c>
      <c r="E5399" s="110">
        <f t="shared" si="86"/>
        <v>48737</v>
      </c>
      <c r="F5399" s="69">
        <v>8.0131267343796428E-3</v>
      </c>
    </row>
    <row r="5400" spans="1:6" x14ac:dyDescent="0.3">
      <c r="A5400" s="24">
        <v>40278</v>
      </c>
      <c r="B5400" s="66">
        <v>861.20467000000008</v>
      </c>
      <c r="C5400" s="67"/>
      <c r="D5400" s="68">
        <v>0</v>
      </c>
      <c r="E5400" s="110">
        <f t="shared" si="86"/>
        <v>48737</v>
      </c>
      <c r="F5400" s="69">
        <v>8.0131267343796428E-3</v>
      </c>
    </row>
    <row r="5401" spans="1:6" x14ac:dyDescent="0.3">
      <c r="A5401" s="24">
        <v>40279</v>
      </c>
      <c r="B5401" s="66">
        <v>861.20467000000008</v>
      </c>
      <c r="C5401" s="67"/>
      <c r="D5401" s="68">
        <v>0</v>
      </c>
      <c r="E5401" s="110">
        <f t="shared" si="86"/>
        <v>48737</v>
      </c>
      <c r="F5401" s="69">
        <v>8.0131267343796428E-3</v>
      </c>
    </row>
    <row r="5402" spans="1:6" x14ac:dyDescent="0.3">
      <c r="A5402" s="24">
        <v>40280</v>
      </c>
      <c r="B5402" s="66">
        <v>861.20467000000008</v>
      </c>
      <c r="C5402" s="67"/>
      <c r="D5402" s="68">
        <v>0</v>
      </c>
      <c r="E5402" s="110">
        <f t="shared" si="86"/>
        <v>48737</v>
      </c>
      <c r="F5402" s="69">
        <v>8.0131267343796428E-3</v>
      </c>
    </row>
    <row r="5403" spans="1:6" x14ac:dyDescent="0.3">
      <c r="A5403" s="24">
        <v>40281</v>
      </c>
      <c r="B5403" s="66">
        <v>861.20467000000008</v>
      </c>
      <c r="C5403" s="67"/>
      <c r="D5403" s="68">
        <v>0</v>
      </c>
      <c r="E5403" s="110">
        <f t="shared" si="86"/>
        <v>48737</v>
      </c>
      <c r="F5403" s="69">
        <v>8.0131267343796428E-3</v>
      </c>
    </row>
    <row r="5404" spans="1:6" x14ac:dyDescent="0.3">
      <c r="A5404" s="24">
        <v>40282</v>
      </c>
      <c r="B5404" s="66">
        <v>861.20467000000008</v>
      </c>
      <c r="C5404" s="67"/>
      <c r="D5404" s="68">
        <v>0</v>
      </c>
      <c r="E5404" s="110">
        <f t="shared" si="86"/>
        <v>48737</v>
      </c>
      <c r="F5404" s="69">
        <v>8.0131267343796428E-3</v>
      </c>
    </row>
    <row r="5405" spans="1:6" x14ac:dyDescent="0.3">
      <c r="A5405" s="24">
        <v>40283</v>
      </c>
      <c r="B5405" s="66">
        <v>861.20467000000008</v>
      </c>
      <c r="C5405" s="67"/>
      <c r="D5405" s="68">
        <v>0</v>
      </c>
      <c r="E5405" s="110">
        <f t="shared" si="86"/>
        <v>48737</v>
      </c>
      <c r="F5405" s="69">
        <v>8.0131267343796428E-3</v>
      </c>
    </row>
    <row r="5406" spans="1:6" x14ac:dyDescent="0.3">
      <c r="A5406" s="24">
        <v>40284</v>
      </c>
      <c r="B5406" s="66">
        <v>861.20467000000008</v>
      </c>
      <c r="C5406" s="67"/>
      <c r="D5406" s="68">
        <v>0</v>
      </c>
      <c r="E5406" s="110">
        <f t="shared" si="86"/>
        <v>48737</v>
      </c>
      <c r="F5406" s="69">
        <v>8.0131267343796428E-3</v>
      </c>
    </row>
    <row r="5407" spans="1:6" x14ac:dyDescent="0.3">
      <c r="A5407" s="24">
        <v>40285</v>
      </c>
      <c r="B5407" s="66">
        <v>861.20467000000008</v>
      </c>
      <c r="C5407" s="67"/>
      <c r="D5407" s="68">
        <v>0</v>
      </c>
      <c r="E5407" s="110">
        <f t="shared" si="86"/>
        <v>48737</v>
      </c>
      <c r="F5407" s="69">
        <v>8.0131267343796428E-3</v>
      </c>
    </row>
    <row r="5408" spans="1:6" x14ac:dyDescent="0.3">
      <c r="A5408" s="24">
        <v>40286</v>
      </c>
      <c r="B5408" s="66">
        <v>861.20467000000008</v>
      </c>
      <c r="C5408" s="67"/>
      <c r="D5408" s="68">
        <v>0</v>
      </c>
      <c r="E5408" s="110">
        <f t="shared" si="86"/>
        <v>48737</v>
      </c>
      <c r="F5408" s="69">
        <v>8.0131267343796428E-3</v>
      </c>
    </row>
    <row r="5409" spans="1:6" x14ac:dyDescent="0.3">
      <c r="A5409" s="24">
        <v>40287</v>
      </c>
      <c r="B5409" s="66">
        <v>861.20467000000008</v>
      </c>
      <c r="C5409" s="67"/>
      <c r="D5409" s="68">
        <v>0</v>
      </c>
      <c r="E5409" s="110">
        <f t="shared" si="86"/>
        <v>48737</v>
      </c>
      <c r="F5409" s="69">
        <v>8.0131267343796428E-3</v>
      </c>
    </row>
    <row r="5410" spans="1:6" x14ac:dyDescent="0.3">
      <c r="A5410" s="24">
        <v>40288</v>
      </c>
      <c r="B5410" s="66">
        <v>861.20467000000008</v>
      </c>
      <c r="C5410" s="67"/>
      <c r="D5410" s="68">
        <v>0</v>
      </c>
      <c r="E5410" s="110">
        <f t="shared" si="86"/>
        <v>48737</v>
      </c>
      <c r="F5410" s="69">
        <v>8.0131267343796428E-3</v>
      </c>
    </row>
    <row r="5411" spans="1:6" x14ac:dyDescent="0.3">
      <c r="A5411" s="24">
        <v>40289</v>
      </c>
      <c r="B5411" s="66">
        <v>861.20467000000008</v>
      </c>
      <c r="C5411" s="67"/>
      <c r="D5411" s="68">
        <v>0</v>
      </c>
      <c r="E5411" s="110">
        <f t="shared" si="86"/>
        <v>48737</v>
      </c>
      <c r="F5411" s="69">
        <v>8.0131267343796428E-3</v>
      </c>
    </row>
    <row r="5412" spans="1:6" x14ac:dyDescent="0.3">
      <c r="A5412" s="24">
        <v>40290</v>
      </c>
      <c r="B5412" s="66">
        <v>861.20467000000008</v>
      </c>
      <c r="C5412" s="67"/>
      <c r="D5412" s="68">
        <v>0</v>
      </c>
      <c r="E5412" s="110">
        <f t="shared" si="86"/>
        <v>48737</v>
      </c>
      <c r="F5412" s="69">
        <v>8.0131267343796428E-3</v>
      </c>
    </row>
    <row r="5413" spans="1:6" x14ac:dyDescent="0.3">
      <c r="A5413" s="24">
        <v>40291</v>
      </c>
      <c r="B5413" s="66">
        <v>861.20467000000008</v>
      </c>
      <c r="C5413" s="67"/>
      <c r="D5413" s="68">
        <v>0</v>
      </c>
      <c r="E5413" s="110">
        <f t="shared" si="86"/>
        <v>48737</v>
      </c>
      <c r="F5413" s="69">
        <v>8.0131267343796428E-3</v>
      </c>
    </row>
    <row r="5414" spans="1:6" x14ac:dyDescent="0.3">
      <c r="A5414" s="24">
        <v>40292</v>
      </c>
      <c r="B5414" s="66">
        <v>861.20467000000008</v>
      </c>
      <c r="C5414" s="67"/>
      <c r="D5414" s="68">
        <v>0</v>
      </c>
      <c r="E5414" s="110">
        <f t="shared" si="86"/>
        <v>48737</v>
      </c>
      <c r="F5414" s="69">
        <v>8.0131267343796428E-3</v>
      </c>
    </row>
    <row r="5415" spans="1:6" x14ac:dyDescent="0.3">
      <c r="A5415" s="24">
        <v>40293</v>
      </c>
      <c r="B5415" s="66">
        <v>861.20467000000008</v>
      </c>
      <c r="C5415" s="67"/>
      <c r="D5415" s="68">
        <v>0</v>
      </c>
      <c r="E5415" s="110">
        <f t="shared" si="86"/>
        <v>48737</v>
      </c>
      <c r="F5415" s="69">
        <v>8.0131267343796428E-3</v>
      </c>
    </row>
    <row r="5416" spans="1:6" x14ac:dyDescent="0.3">
      <c r="A5416" s="24">
        <v>40294</v>
      </c>
      <c r="B5416" s="66">
        <v>861.20467000000008</v>
      </c>
      <c r="C5416" s="67"/>
      <c r="D5416" s="68">
        <v>0</v>
      </c>
      <c r="E5416" s="110">
        <f t="shared" si="86"/>
        <v>48737</v>
      </c>
      <c r="F5416" s="69">
        <v>8.0131267343796428E-3</v>
      </c>
    </row>
    <row r="5417" spans="1:6" x14ac:dyDescent="0.3">
      <c r="A5417" s="24">
        <v>40295</v>
      </c>
      <c r="B5417" s="66">
        <v>861.20467000000008</v>
      </c>
      <c r="C5417" s="67"/>
      <c r="D5417" s="68">
        <v>0</v>
      </c>
      <c r="E5417" s="110">
        <f t="shared" si="86"/>
        <v>48737</v>
      </c>
      <c r="F5417" s="69">
        <v>8.0131267343796428E-3</v>
      </c>
    </row>
    <row r="5418" spans="1:6" x14ac:dyDescent="0.3">
      <c r="A5418" s="24">
        <v>40296</v>
      </c>
      <c r="B5418" s="66">
        <v>861.20467000000008</v>
      </c>
      <c r="C5418" s="67"/>
      <c r="D5418" s="68">
        <v>0</v>
      </c>
      <c r="E5418" s="110">
        <f t="shared" si="86"/>
        <v>48737</v>
      </c>
      <c r="F5418" s="69">
        <v>8.0131267343796428E-3</v>
      </c>
    </row>
    <row r="5419" spans="1:6" x14ac:dyDescent="0.3">
      <c r="A5419" s="24">
        <v>40297</v>
      </c>
      <c r="B5419" s="66">
        <v>861.20467000000008</v>
      </c>
      <c r="C5419" s="67"/>
      <c r="D5419" s="68">
        <v>0</v>
      </c>
      <c r="E5419" s="110">
        <f t="shared" si="86"/>
        <v>48737</v>
      </c>
      <c r="F5419" s="69">
        <v>8.0131267343796428E-3</v>
      </c>
    </row>
    <row r="5420" spans="1:6" x14ac:dyDescent="0.3">
      <c r="A5420" s="24">
        <v>40298</v>
      </c>
      <c r="B5420" s="66">
        <v>861.20467000000008</v>
      </c>
      <c r="C5420" s="67"/>
      <c r="D5420" s="68">
        <v>0</v>
      </c>
      <c r="E5420" s="110">
        <f t="shared" si="86"/>
        <v>48737</v>
      </c>
      <c r="F5420" s="69">
        <v>8.0131267343796428E-3</v>
      </c>
    </row>
    <row r="5421" spans="1:6" x14ac:dyDescent="0.3">
      <c r="A5421" s="24">
        <v>40299</v>
      </c>
      <c r="B5421" s="66">
        <v>861.20467000000008</v>
      </c>
      <c r="C5421" s="67"/>
      <c r="D5421" s="68">
        <v>0</v>
      </c>
      <c r="E5421" s="110">
        <f t="shared" si="86"/>
        <v>48737</v>
      </c>
      <c r="F5421" s="69">
        <v>8.0131267343796428E-3</v>
      </c>
    </row>
    <row r="5422" spans="1:6" x14ac:dyDescent="0.3">
      <c r="A5422" s="24">
        <v>40300</v>
      </c>
      <c r="B5422" s="66">
        <v>861.20467000000008</v>
      </c>
      <c r="C5422" s="67"/>
      <c r="D5422" s="68">
        <v>0</v>
      </c>
      <c r="E5422" s="110">
        <f t="shared" si="86"/>
        <v>48737</v>
      </c>
      <c r="F5422" s="69">
        <v>8.0131267343796428E-3</v>
      </c>
    </row>
    <row r="5423" spans="1:6" x14ac:dyDescent="0.3">
      <c r="A5423" s="24">
        <v>40301</v>
      </c>
      <c r="B5423" s="66">
        <v>861.20467000000008</v>
      </c>
      <c r="C5423" s="67"/>
      <c r="D5423" s="68">
        <v>0</v>
      </c>
      <c r="E5423" s="110">
        <f t="shared" si="86"/>
        <v>48737</v>
      </c>
      <c r="F5423" s="69">
        <v>8.0131267343796428E-3</v>
      </c>
    </row>
    <row r="5424" spans="1:6" x14ac:dyDescent="0.3">
      <c r="A5424" s="24">
        <v>40302</v>
      </c>
      <c r="B5424" s="66">
        <v>861.20467000000008</v>
      </c>
      <c r="C5424" s="67"/>
      <c r="D5424" s="68">
        <v>0</v>
      </c>
      <c r="E5424" s="110">
        <f t="shared" si="86"/>
        <v>48737</v>
      </c>
      <c r="F5424" s="69">
        <v>8.0131267343796428E-3</v>
      </c>
    </row>
    <row r="5425" spans="1:6" x14ac:dyDescent="0.3">
      <c r="A5425" s="24">
        <v>40303</v>
      </c>
      <c r="B5425" s="66">
        <v>861.20467000000008</v>
      </c>
      <c r="C5425" s="67"/>
      <c r="D5425" s="68">
        <v>0</v>
      </c>
      <c r="E5425" s="110">
        <f t="shared" si="86"/>
        <v>48737</v>
      </c>
      <c r="F5425" s="69">
        <v>8.0131267343796428E-3</v>
      </c>
    </row>
    <row r="5426" spans="1:6" x14ac:dyDescent="0.3">
      <c r="A5426" s="24">
        <v>40304</v>
      </c>
      <c r="B5426" s="66">
        <v>861.20467000000008</v>
      </c>
      <c r="C5426" s="67"/>
      <c r="D5426" s="68">
        <v>0</v>
      </c>
      <c r="E5426" s="110">
        <f t="shared" si="86"/>
        <v>48737</v>
      </c>
      <c r="F5426" s="69">
        <v>8.0131267343796428E-3</v>
      </c>
    </row>
    <row r="5427" spans="1:6" x14ac:dyDescent="0.3">
      <c r="A5427" s="24">
        <v>40305</v>
      </c>
      <c r="B5427" s="66">
        <v>861.20467000000008</v>
      </c>
      <c r="C5427" s="67"/>
      <c r="D5427" s="68">
        <v>0</v>
      </c>
      <c r="E5427" s="110">
        <f t="shared" si="86"/>
        <v>48737</v>
      </c>
      <c r="F5427" s="69">
        <v>8.0131267343796428E-3</v>
      </c>
    </row>
    <row r="5428" spans="1:6" x14ac:dyDescent="0.3">
      <c r="A5428" s="24">
        <v>40306</v>
      </c>
      <c r="B5428" s="66">
        <v>861.20467000000008</v>
      </c>
      <c r="C5428" s="67"/>
      <c r="D5428" s="68">
        <v>0</v>
      </c>
      <c r="E5428" s="110">
        <f t="shared" si="86"/>
        <v>48737</v>
      </c>
      <c r="F5428" s="69">
        <v>8.0131267343796428E-3</v>
      </c>
    </row>
    <row r="5429" spans="1:6" x14ac:dyDescent="0.3">
      <c r="A5429" s="24">
        <v>40307</v>
      </c>
      <c r="B5429" s="66">
        <v>861.20467000000008</v>
      </c>
      <c r="C5429" s="67"/>
      <c r="D5429" s="68">
        <v>0</v>
      </c>
      <c r="E5429" s="110">
        <f t="shared" si="86"/>
        <v>48737</v>
      </c>
      <c r="F5429" s="69">
        <v>8.0131267343796428E-3</v>
      </c>
    </row>
    <row r="5430" spans="1:6" x14ac:dyDescent="0.3">
      <c r="A5430" s="24">
        <v>40308</v>
      </c>
      <c r="B5430" s="66">
        <v>861.20467000000008</v>
      </c>
      <c r="C5430" s="67"/>
      <c r="D5430" s="68">
        <v>0</v>
      </c>
      <c r="E5430" s="110">
        <f t="shared" si="86"/>
        <v>48737</v>
      </c>
      <c r="F5430" s="69">
        <v>8.0131267343796428E-3</v>
      </c>
    </row>
    <row r="5431" spans="1:6" x14ac:dyDescent="0.3">
      <c r="A5431" s="24">
        <v>40309</v>
      </c>
      <c r="B5431" s="66">
        <v>861.20467000000008</v>
      </c>
      <c r="C5431" s="67"/>
      <c r="D5431" s="68">
        <v>0</v>
      </c>
      <c r="E5431" s="110">
        <f t="shared" si="86"/>
        <v>48737</v>
      </c>
      <c r="F5431" s="69">
        <v>8.0131267343796428E-3</v>
      </c>
    </row>
    <row r="5432" spans="1:6" x14ac:dyDescent="0.3">
      <c r="A5432" s="24">
        <v>40310</v>
      </c>
      <c r="B5432" s="66">
        <v>861.20467000000008</v>
      </c>
      <c r="C5432" s="67"/>
      <c r="D5432" s="68">
        <v>0</v>
      </c>
      <c r="E5432" s="110">
        <f t="shared" si="86"/>
        <v>48737</v>
      </c>
      <c r="F5432" s="69">
        <v>8.0131267343796428E-3</v>
      </c>
    </row>
    <row r="5433" spans="1:6" x14ac:dyDescent="0.3">
      <c r="A5433" s="24">
        <v>40311</v>
      </c>
      <c r="B5433" s="66">
        <v>861.20467000000008</v>
      </c>
      <c r="C5433" s="67"/>
      <c r="D5433" s="68">
        <v>0</v>
      </c>
      <c r="E5433" s="110">
        <f t="shared" si="86"/>
        <v>48737</v>
      </c>
      <c r="F5433" s="69">
        <v>8.0131267343796428E-3</v>
      </c>
    </row>
    <row r="5434" spans="1:6" x14ac:dyDescent="0.3">
      <c r="A5434" s="24">
        <v>40312</v>
      </c>
      <c r="B5434" s="66">
        <v>861.20467000000008</v>
      </c>
      <c r="C5434" s="67"/>
      <c r="D5434" s="68">
        <v>0</v>
      </c>
      <c r="E5434" s="110">
        <f t="shared" si="86"/>
        <v>48737</v>
      </c>
      <c r="F5434" s="69">
        <v>8.0131267343796428E-3</v>
      </c>
    </row>
    <row r="5435" spans="1:6" x14ac:dyDescent="0.3">
      <c r="A5435" s="24">
        <v>40313</v>
      </c>
      <c r="B5435" s="66">
        <v>861.20467000000008</v>
      </c>
      <c r="C5435" s="67"/>
      <c r="D5435" s="68">
        <v>0</v>
      </c>
      <c r="E5435" s="110">
        <f t="shared" si="86"/>
        <v>48737</v>
      </c>
      <c r="F5435" s="69">
        <v>8.0131267343796428E-3</v>
      </c>
    </row>
    <row r="5436" spans="1:6" x14ac:dyDescent="0.3">
      <c r="A5436" s="24">
        <v>40314</v>
      </c>
      <c r="B5436" s="66">
        <v>861.20467000000008</v>
      </c>
      <c r="C5436" s="67"/>
      <c r="D5436" s="68">
        <v>0</v>
      </c>
      <c r="E5436" s="110">
        <f t="shared" si="86"/>
        <v>48737</v>
      </c>
      <c r="F5436" s="69">
        <v>8.0131267343796428E-3</v>
      </c>
    </row>
    <row r="5437" spans="1:6" x14ac:dyDescent="0.3">
      <c r="A5437" s="24">
        <v>40315</v>
      </c>
      <c r="B5437" s="66">
        <v>861.20467000000008</v>
      </c>
      <c r="C5437" s="67"/>
      <c r="D5437" s="68">
        <v>0</v>
      </c>
      <c r="E5437" s="110">
        <f t="shared" si="86"/>
        <v>48737</v>
      </c>
      <c r="F5437" s="69">
        <v>8.0131267343796428E-3</v>
      </c>
    </row>
    <row r="5438" spans="1:6" x14ac:dyDescent="0.3">
      <c r="A5438" s="24">
        <v>40316</v>
      </c>
      <c r="B5438" s="66">
        <v>861.20467000000008</v>
      </c>
      <c r="C5438" s="67"/>
      <c r="D5438" s="68">
        <v>0</v>
      </c>
      <c r="E5438" s="110">
        <f t="shared" si="86"/>
        <v>48737</v>
      </c>
      <c r="F5438" s="69">
        <v>8.0131267343796428E-3</v>
      </c>
    </row>
    <row r="5439" spans="1:6" x14ac:dyDescent="0.3">
      <c r="A5439" s="24">
        <v>40317</v>
      </c>
      <c r="B5439" s="66">
        <v>861.20467000000008</v>
      </c>
      <c r="C5439" s="67"/>
      <c r="D5439" s="68">
        <v>0</v>
      </c>
      <c r="E5439" s="110">
        <f t="shared" si="86"/>
        <v>48737</v>
      </c>
      <c r="F5439" s="69">
        <v>8.0131267343796428E-3</v>
      </c>
    </row>
    <row r="5440" spans="1:6" x14ac:dyDescent="0.3">
      <c r="A5440" s="24">
        <v>40318</v>
      </c>
      <c r="B5440" s="66">
        <v>861.20467000000008</v>
      </c>
      <c r="C5440" s="67"/>
      <c r="D5440" s="68">
        <v>10.5</v>
      </c>
      <c r="E5440" s="110">
        <f t="shared" si="86"/>
        <v>48737</v>
      </c>
      <c r="F5440" s="69">
        <v>1.2944281647844037E-2</v>
      </c>
    </row>
    <row r="5441" spans="1:6" x14ac:dyDescent="0.3">
      <c r="A5441" s="24">
        <v>40319</v>
      </c>
      <c r="B5441" s="66">
        <v>861.20467000000008</v>
      </c>
      <c r="C5441" s="67"/>
      <c r="D5441" s="68">
        <v>0</v>
      </c>
      <c r="E5441" s="110">
        <f t="shared" si="86"/>
        <v>48737</v>
      </c>
      <c r="F5441" s="69">
        <v>1.2944281647844037E-2</v>
      </c>
    </row>
    <row r="5442" spans="1:6" x14ac:dyDescent="0.3">
      <c r="A5442" s="24">
        <v>40320</v>
      </c>
      <c r="B5442" s="66">
        <v>861.20467000000008</v>
      </c>
      <c r="C5442" s="67"/>
      <c r="D5442" s="68">
        <v>0</v>
      </c>
      <c r="E5442" s="110">
        <f t="shared" si="86"/>
        <v>48737</v>
      </c>
      <c r="F5442" s="69">
        <v>1.2944281647844037E-2</v>
      </c>
    </row>
    <row r="5443" spans="1:6" x14ac:dyDescent="0.3">
      <c r="A5443" s="24">
        <v>40321</v>
      </c>
      <c r="B5443" s="66">
        <v>861.20467000000008</v>
      </c>
      <c r="C5443" s="67"/>
      <c r="D5443" s="68">
        <v>0</v>
      </c>
      <c r="E5443" s="110">
        <f t="shared" si="86"/>
        <v>48737</v>
      </c>
      <c r="F5443" s="69">
        <v>1.2944281647844037E-2</v>
      </c>
    </row>
    <row r="5444" spans="1:6" x14ac:dyDescent="0.3">
      <c r="A5444" s="24">
        <v>40322</v>
      </c>
      <c r="B5444" s="66">
        <v>861.20467000000008</v>
      </c>
      <c r="C5444" s="67"/>
      <c r="D5444" s="68">
        <v>0</v>
      </c>
      <c r="E5444" s="110">
        <f t="shared" si="86"/>
        <v>48737</v>
      </c>
      <c r="F5444" s="69">
        <v>1.2944281647844037E-2</v>
      </c>
    </row>
    <row r="5445" spans="1:6" x14ac:dyDescent="0.3">
      <c r="A5445" s="24">
        <v>40323</v>
      </c>
      <c r="B5445" s="66">
        <v>861.20467000000008</v>
      </c>
      <c r="C5445" s="67"/>
      <c r="D5445" s="68">
        <v>0</v>
      </c>
      <c r="E5445" s="110">
        <f t="shared" si="86"/>
        <v>48737</v>
      </c>
      <c r="F5445" s="69">
        <v>1.2944281647844037E-2</v>
      </c>
    </row>
    <row r="5446" spans="1:6" x14ac:dyDescent="0.3">
      <c r="A5446" s="24">
        <v>40324</v>
      </c>
      <c r="B5446" s="66">
        <v>861.20467000000008</v>
      </c>
      <c r="C5446" s="67"/>
      <c r="D5446" s="68">
        <v>0</v>
      </c>
      <c r="E5446" s="110">
        <f t="shared" ref="E5446:E5509" si="87">+E5445</f>
        <v>48737</v>
      </c>
      <c r="F5446" s="69">
        <v>1.2944281647844037E-2</v>
      </c>
    </row>
    <row r="5447" spans="1:6" x14ac:dyDescent="0.3">
      <c r="A5447" s="24">
        <v>40325</v>
      </c>
      <c r="B5447" s="66">
        <v>861.20467000000008</v>
      </c>
      <c r="C5447" s="67"/>
      <c r="D5447" s="68">
        <v>0</v>
      </c>
      <c r="E5447" s="110">
        <f t="shared" si="87"/>
        <v>48737</v>
      </c>
      <c r="F5447" s="69">
        <v>1.2944281647844037E-2</v>
      </c>
    </row>
    <row r="5448" spans="1:6" x14ac:dyDescent="0.3">
      <c r="A5448" s="24">
        <v>40326</v>
      </c>
      <c r="B5448" s="66">
        <v>861.20467000000008</v>
      </c>
      <c r="C5448" s="67"/>
      <c r="D5448" s="68">
        <v>0</v>
      </c>
      <c r="E5448" s="110">
        <f t="shared" si="87"/>
        <v>48737</v>
      </c>
      <c r="F5448" s="69">
        <v>1.2944281647844037E-2</v>
      </c>
    </row>
    <row r="5449" spans="1:6" x14ac:dyDescent="0.3">
      <c r="A5449" s="24">
        <v>40327</v>
      </c>
      <c r="B5449" s="66">
        <v>861.20467000000008</v>
      </c>
      <c r="C5449" s="67"/>
      <c r="D5449" s="68">
        <v>0</v>
      </c>
      <c r="E5449" s="110">
        <f t="shared" si="87"/>
        <v>48737</v>
      </c>
      <c r="F5449" s="69">
        <v>1.2944281647844037E-2</v>
      </c>
    </row>
    <row r="5450" spans="1:6" x14ac:dyDescent="0.3">
      <c r="A5450" s="24">
        <v>40328</v>
      </c>
      <c r="B5450" s="66">
        <v>861.20467000000008</v>
      </c>
      <c r="C5450" s="67"/>
      <c r="D5450" s="68">
        <v>0</v>
      </c>
      <c r="E5450" s="110">
        <f t="shared" si="87"/>
        <v>48737</v>
      </c>
      <c r="F5450" s="69">
        <v>1.2944281647844037E-2</v>
      </c>
    </row>
    <row r="5451" spans="1:6" x14ac:dyDescent="0.3">
      <c r="A5451" s="24">
        <v>40329</v>
      </c>
      <c r="B5451" s="66">
        <v>861.20467000000008</v>
      </c>
      <c r="C5451" s="67"/>
      <c r="D5451" s="68">
        <v>0</v>
      </c>
      <c r="E5451" s="110">
        <f t="shared" si="87"/>
        <v>48737</v>
      </c>
      <c r="F5451" s="69">
        <v>1.2944281647844037E-2</v>
      </c>
    </row>
    <row r="5452" spans="1:6" x14ac:dyDescent="0.3">
      <c r="A5452" s="24">
        <v>40330</v>
      </c>
      <c r="B5452" s="66">
        <v>861.20467000000008</v>
      </c>
      <c r="C5452" s="67"/>
      <c r="D5452" s="68">
        <v>0</v>
      </c>
      <c r="E5452" s="110">
        <f t="shared" si="87"/>
        <v>48737</v>
      </c>
      <c r="F5452" s="69">
        <v>1.2944281647844037E-2</v>
      </c>
    </row>
    <row r="5453" spans="1:6" x14ac:dyDescent="0.3">
      <c r="A5453" s="24">
        <v>40331</v>
      </c>
      <c r="B5453" s="66">
        <v>861.20467000000008</v>
      </c>
      <c r="C5453" s="67"/>
      <c r="D5453" s="68">
        <v>0</v>
      </c>
      <c r="E5453" s="110">
        <f t="shared" si="87"/>
        <v>48737</v>
      </c>
      <c r="F5453" s="69">
        <v>1.2944281647844037E-2</v>
      </c>
    </row>
    <row r="5454" spans="1:6" x14ac:dyDescent="0.3">
      <c r="A5454" s="24">
        <v>40332</v>
      </c>
      <c r="B5454" s="66">
        <v>861.20467000000008</v>
      </c>
      <c r="C5454" s="67"/>
      <c r="D5454" s="68">
        <v>0</v>
      </c>
      <c r="E5454" s="110">
        <f t="shared" si="87"/>
        <v>48737</v>
      </c>
      <c r="F5454" s="69">
        <v>1.2944281647844037E-2</v>
      </c>
    </row>
    <row r="5455" spans="1:6" x14ac:dyDescent="0.3">
      <c r="A5455" s="24">
        <v>40333</v>
      </c>
      <c r="B5455" s="66">
        <v>861.20467000000008</v>
      </c>
      <c r="C5455" s="67"/>
      <c r="D5455" s="68">
        <v>0</v>
      </c>
      <c r="E5455" s="110">
        <f t="shared" si="87"/>
        <v>48737</v>
      </c>
      <c r="F5455" s="69">
        <v>1.2944281647844037E-2</v>
      </c>
    </row>
    <row r="5456" spans="1:6" x14ac:dyDescent="0.3">
      <c r="A5456" s="24">
        <v>40334</v>
      </c>
      <c r="B5456" s="66">
        <v>861.20467000000008</v>
      </c>
      <c r="C5456" s="67"/>
      <c r="D5456" s="68">
        <v>0</v>
      </c>
      <c r="E5456" s="110">
        <f t="shared" si="87"/>
        <v>48737</v>
      </c>
      <c r="F5456" s="69">
        <v>1.2944281647844037E-2</v>
      </c>
    </row>
    <row r="5457" spans="1:6" x14ac:dyDescent="0.3">
      <c r="A5457" s="24">
        <v>40335</v>
      </c>
      <c r="B5457" s="66">
        <v>861.20467000000008</v>
      </c>
      <c r="C5457" s="67"/>
      <c r="D5457" s="68">
        <v>0</v>
      </c>
      <c r="E5457" s="110">
        <f t="shared" si="87"/>
        <v>48737</v>
      </c>
      <c r="F5457" s="69">
        <v>1.2944281647844037E-2</v>
      </c>
    </row>
    <row r="5458" spans="1:6" x14ac:dyDescent="0.3">
      <c r="A5458" s="24">
        <v>40336</v>
      </c>
      <c r="B5458" s="66">
        <v>861.20467000000008</v>
      </c>
      <c r="C5458" s="67"/>
      <c r="D5458" s="68">
        <v>0</v>
      </c>
      <c r="E5458" s="110">
        <f t="shared" si="87"/>
        <v>48737</v>
      </c>
      <c r="F5458" s="69">
        <v>1.2944281647844037E-2</v>
      </c>
    </row>
    <row r="5459" spans="1:6" x14ac:dyDescent="0.3">
      <c r="A5459" s="24">
        <v>40337</v>
      </c>
      <c r="B5459" s="66">
        <v>861.20467000000008</v>
      </c>
      <c r="C5459" s="67"/>
      <c r="D5459" s="68">
        <v>0</v>
      </c>
      <c r="E5459" s="110">
        <f t="shared" si="87"/>
        <v>48737</v>
      </c>
      <c r="F5459" s="69">
        <v>1.2944281647844037E-2</v>
      </c>
    </row>
    <row r="5460" spans="1:6" x14ac:dyDescent="0.3">
      <c r="A5460" s="24">
        <v>40338</v>
      </c>
      <c r="B5460" s="66">
        <v>861.20467000000008</v>
      </c>
      <c r="C5460" s="67"/>
      <c r="D5460" s="68">
        <v>0</v>
      </c>
      <c r="E5460" s="110">
        <f t="shared" si="87"/>
        <v>48737</v>
      </c>
      <c r="F5460" s="69">
        <v>1.2944281647844037E-2</v>
      </c>
    </row>
    <row r="5461" spans="1:6" x14ac:dyDescent="0.3">
      <c r="A5461" s="24">
        <v>40339</v>
      </c>
      <c r="B5461" s="66">
        <v>861.20467000000008</v>
      </c>
      <c r="C5461" s="67"/>
      <c r="D5461" s="68">
        <v>0</v>
      </c>
      <c r="E5461" s="110">
        <f t="shared" si="87"/>
        <v>48737</v>
      </c>
      <c r="F5461" s="69">
        <v>1.2944281647844037E-2</v>
      </c>
    </row>
    <row r="5462" spans="1:6" x14ac:dyDescent="0.3">
      <c r="A5462" s="24">
        <v>40340</v>
      </c>
      <c r="B5462" s="66">
        <v>861.20467000000008</v>
      </c>
      <c r="C5462" s="67"/>
      <c r="D5462" s="68">
        <v>0</v>
      </c>
      <c r="E5462" s="110">
        <f t="shared" si="87"/>
        <v>48737</v>
      </c>
      <c r="F5462" s="69">
        <v>1.2944281647844037E-2</v>
      </c>
    </row>
    <row r="5463" spans="1:6" x14ac:dyDescent="0.3">
      <c r="A5463" s="24">
        <v>40341</v>
      </c>
      <c r="B5463" s="66">
        <v>861.20467000000008</v>
      </c>
      <c r="C5463" s="67"/>
      <c r="D5463" s="68">
        <v>0</v>
      </c>
      <c r="E5463" s="110">
        <f t="shared" si="87"/>
        <v>48737</v>
      </c>
      <c r="F5463" s="69">
        <v>1.2944281647844037E-2</v>
      </c>
    </row>
    <row r="5464" spans="1:6" x14ac:dyDescent="0.3">
      <c r="A5464" s="24">
        <v>40342</v>
      </c>
      <c r="B5464" s="66">
        <v>861.20467000000008</v>
      </c>
      <c r="C5464" s="67"/>
      <c r="D5464" s="68">
        <v>0</v>
      </c>
      <c r="E5464" s="110">
        <f t="shared" si="87"/>
        <v>48737</v>
      </c>
      <c r="F5464" s="69">
        <v>1.2944281647844037E-2</v>
      </c>
    </row>
    <row r="5465" spans="1:6" x14ac:dyDescent="0.3">
      <c r="A5465" s="24">
        <v>40343</v>
      </c>
      <c r="B5465" s="66">
        <v>861.20467000000008</v>
      </c>
      <c r="C5465" s="67"/>
      <c r="D5465" s="68">
        <v>0</v>
      </c>
      <c r="E5465" s="110">
        <f t="shared" si="87"/>
        <v>48737</v>
      </c>
      <c r="F5465" s="69">
        <v>1.2944281647844037E-2</v>
      </c>
    </row>
    <row r="5466" spans="1:6" x14ac:dyDescent="0.3">
      <c r="A5466" s="24">
        <v>40344</v>
      </c>
      <c r="B5466" s="66">
        <v>861.20467000000008</v>
      </c>
      <c r="C5466" s="67"/>
      <c r="D5466" s="68">
        <v>0</v>
      </c>
      <c r="E5466" s="110">
        <f t="shared" si="87"/>
        <v>48737</v>
      </c>
      <c r="F5466" s="69">
        <v>1.2944281647844037E-2</v>
      </c>
    </row>
    <row r="5467" spans="1:6" x14ac:dyDescent="0.3">
      <c r="A5467" s="24">
        <v>40345</v>
      </c>
      <c r="B5467" s="66">
        <v>861.20467000000008</v>
      </c>
      <c r="C5467" s="67"/>
      <c r="D5467" s="68">
        <v>0</v>
      </c>
      <c r="E5467" s="110">
        <f t="shared" si="87"/>
        <v>48737</v>
      </c>
      <c r="F5467" s="69">
        <v>1.2944281647844037E-2</v>
      </c>
    </row>
    <row r="5468" spans="1:6" x14ac:dyDescent="0.3">
      <c r="A5468" s="24">
        <v>40346</v>
      </c>
      <c r="B5468" s="66">
        <v>861.20467000000008</v>
      </c>
      <c r="C5468" s="67"/>
      <c r="D5468" s="68">
        <v>0</v>
      </c>
      <c r="E5468" s="110">
        <f t="shared" si="87"/>
        <v>48737</v>
      </c>
      <c r="F5468" s="69">
        <v>1.2944281647844037E-2</v>
      </c>
    </row>
    <row r="5469" spans="1:6" x14ac:dyDescent="0.3">
      <c r="A5469" s="24">
        <v>40347</v>
      </c>
      <c r="B5469" s="66">
        <v>861.20467000000008</v>
      </c>
      <c r="C5469" s="67"/>
      <c r="D5469" s="68">
        <v>0</v>
      </c>
      <c r="E5469" s="110">
        <f t="shared" si="87"/>
        <v>48737</v>
      </c>
      <c r="F5469" s="69">
        <v>1.2944281647844037E-2</v>
      </c>
    </row>
    <row r="5470" spans="1:6" x14ac:dyDescent="0.3">
      <c r="A5470" s="24">
        <v>40348</v>
      </c>
      <c r="B5470" s="66">
        <v>861.20467000000008</v>
      </c>
      <c r="C5470" s="67"/>
      <c r="D5470" s="68">
        <v>0</v>
      </c>
      <c r="E5470" s="110">
        <f t="shared" si="87"/>
        <v>48737</v>
      </c>
      <c r="F5470" s="69">
        <v>1.2944281647844037E-2</v>
      </c>
    </row>
    <row r="5471" spans="1:6" x14ac:dyDescent="0.3">
      <c r="A5471" s="24">
        <v>40349</v>
      </c>
      <c r="B5471" s="66">
        <v>861.20467000000008</v>
      </c>
      <c r="C5471" s="67"/>
      <c r="D5471" s="68">
        <v>0</v>
      </c>
      <c r="E5471" s="110">
        <f t="shared" si="87"/>
        <v>48737</v>
      </c>
      <c r="F5471" s="69">
        <v>1.2944281647844037E-2</v>
      </c>
    </row>
    <row r="5472" spans="1:6" x14ac:dyDescent="0.3">
      <c r="A5472" s="24">
        <v>40350</v>
      </c>
      <c r="B5472" s="66">
        <v>861.20467000000008</v>
      </c>
      <c r="C5472" s="67"/>
      <c r="D5472" s="68">
        <v>0</v>
      </c>
      <c r="E5472" s="110">
        <f t="shared" si="87"/>
        <v>48737</v>
      </c>
      <c r="F5472" s="69">
        <v>1.2944281647844037E-2</v>
      </c>
    </row>
    <row r="5473" spans="1:6" x14ac:dyDescent="0.3">
      <c r="A5473" s="24">
        <v>40351</v>
      </c>
      <c r="B5473" s="66">
        <v>861.20467000000008</v>
      </c>
      <c r="C5473" s="67"/>
      <c r="D5473" s="68">
        <v>0</v>
      </c>
      <c r="E5473" s="110">
        <f t="shared" si="87"/>
        <v>48737</v>
      </c>
      <c r="F5473" s="69">
        <v>1.2944281647844037E-2</v>
      </c>
    </row>
    <row r="5474" spans="1:6" x14ac:dyDescent="0.3">
      <c r="A5474" s="24">
        <v>40352</v>
      </c>
      <c r="B5474" s="66">
        <v>861.20467000000008</v>
      </c>
      <c r="C5474" s="67"/>
      <c r="D5474" s="68">
        <v>0</v>
      </c>
      <c r="E5474" s="110">
        <f t="shared" si="87"/>
        <v>48737</v>
      </c>
      <c r="F5474" s="69">
        <v>1.2944281647844037E-2</v>
      </c>
    </row>
    <row r="5475" spans="1:6" x14ac:dyDescent="0.3">
      <c r="A5475" s="24">
        <v>40353</v>
      </c>
      <c r="B5475" s="66">
        <v>861.20467000000008</v>
      </c>
      <c r="C5475" s="67"/>
      <c r="D5475" s="68">
        <v>0</v>
      </c>
      <c r="E5475" s="110">
        <f t="shared" si="87"/>
        <v>48737</v>
      </c>
      <c r="F5475" s="69">
        <v>1.2944281647844037E-2</v>
      </c>
    </row>
    <row r="5476" spans="1:6" x14ac:dyDescent="0.3">
      <c r="A5476" s="24">
        <v>40354</v>
      </c>
      <c r="B5476" s="66">
        <v>861.20467000000008</v>
      </c>
      <c r="C5476" s="67"/>
      <c r="D5476" s="68">
        <v>0</v>
      </c>
      <c r="E5476" s="110">
        <f t="shared" si="87"/>
        <v>48737</v>
      </c>
      <c r="F5476" s="69">
        <v>1.2944281647844037E-2</v>
      </c>
    </row>
    <row r="5477" spans="1:6" x14ac:dyDescent="0.3">
      <c r="A5477" s="24">
        <v>40355</v>
      </c>
      <c r="B5477" s="66">
        <v>861.20467000000008</v>
      </c>
      <c r="C5477" s="67"/>
      <c r="D5477" s="68">
        <v>0</v>
      </c>
      <c r="E5477" s="110">
        <f t="shared" si="87"/>
        <v>48737</v>
      </c>
      <c r="F5477" s="69">
        <v>1.2944281647844037E-2</v>
      </c>
    </row>
    <row r="5478" spans="1:6" x14ac:dyDescent="0.3">
      <c r="A5478" s="24">
        <v>40356</v>
      </c>
      <c r="B5478" s="66">
        <v>861.20467000000008</v>
      </c>
      <c r="C5478" s="67"/>
      <c r="D5478" s="68">
        <v>0</v>
      </c>
      <c r="E5478" s="110">
        <f t="shared" si="87"/>
        <v>48737</v>
      </c>
      <c r="F5478" s="69">
        <v>1.2944281647844037E-2</v>
      </c>
    </row>
    <row r="5479" spans="1:6" x14ac:dyDescent="0.3">
      <c r="A5479" s="24">
        <v>40357</v>
      </c>
      <c r="B5479" s="66">
        <v>861.20467000000008</v>
      </c>
      <c r="C5479" s="67"/>
      <c r="D5479" s="68">
        <v>0</v>
      </c>
      <c r="E5479" s="110">
        <f t="shared" si="87"/>
        <v>48737</v>
      </c>
      <c r="F5479" s="69">
        <v>1.2944281647844037E-2</v>
      </c>
    </row>
    <row r="5480" spans="1:6" x14ac:dyDescent="0.3">
      <c r="A5480" s="24">
        <v>40358</v>
      </c>
      <c r="B5480" s="66">
        <v>861.20467000000008</v>
      </c>
      <c r="C5480" s="67"/>
      <c r="D5480" s="68">
        <v>0</v>
      </c>
      <c r="E5480" s="110">
        <f t="shared" si="87"/>
        <v>48737</v>
      </c>
      <c r="F5480" s="69">
        <v>1.2982741608821341E-2</v>
      </c>
    </row>
    <row r="5481" spans="1:6" x14ac:dyDescent="0.3">
      <c r="A5481" s="24">
        <v>40359</v>
      </c>
      <c r="B5481" s="66">
        <v>871.41606999999999</v>
      </c>
      <c r="C5481" s="67"/>
      <c r="D5481" s="68">
        <v>0</v>
      </c>
      <c r="E5481" s="110">
        <f t="shared" si="87"/>
        <v>48737</v>
      </c>
      <c r="F5481" s="69">
        <v>1.2982741608821341E-2</v>
      </c>
    </row>
    <row r="5482" spans="1:6" x14ac:dyDescent="0.3">
      <c r="A5482" s="24">
        <v>40360</v>
      </c>
      <c r="B5482" s="66">
        <v>871.41606999999999</v>
      </c>
      <c r="C5482" s="67"/>
      <c r="D5482" s="68">
        <v>0</v>
      </c>
      <c r="E5482" s="110">
        <f t="shared" si="87"/>
        <v>48737</v>
      </c>
      <c r="F5482" s="69">
        <v>1.2982741608821341E-2</v>
      </c>
    </row>
    <row r="5483" spans="1:6" x14ac:dyDescent="0.3">
      <c r="A5483" s="24">
        <v>40361</v>
      </c>
      <c r="B5483" s="66">
        <v>871.41606999999999</v>
      </c>
      <c r="C5483" s="67"/>
      <c r="D5483" s="68">
        <v>0</v>
      </c>
      <c r="E5483" s="110">
        <f t="shared" si="87"/>
        <v>48737</v>
      </c>
      <c r="F5483" s="69">
        <v>1.2982741608821341E-2</v>
      </c>
    </row>
    <row r="5484" spans="1:6" x14ac:dyDescent="0.3">
      <c r="A5484" s="24">
        <v>40362</v>
      </c>
      <c r="B5484" s="66">
        <v>871.41606999999999</v>
      </c>
      <c r="C5484" s="67"/>
      <c r="D5484" s="68">
        <v>0</v>
      </c>
      <c r="E5484" s="110">
        <f t="shared" si="87"/>
        <v>48737</v>
      </c>
      <c r="F5484" s="69">
        <v>1.2982741608821341E-2</v>
      </c>
    </row>
    <row r="5485" spans="1:6" x14ac:dyDescent="0.3">
      <c r="A5485" s="24">
        <v>40363</v>
      </c>
      <c r="B5485" s="66">
        <v>871.41606999999999</v>
      </c>
      <c r="C5485" s="67"/>
      <c r="D5485" s="68">
        <v>0</v>
      </c>
      <c r="E5485" s="110">
        <f t="shared" si="87"/>
        <v>48737</v>
      </c>
      <c r="F5485" s="69">
        <v>1.2982741608821341E-2</v>
      </c>
    </row>
    <row r="5486" spans="1:6" x14ac:dyDescent="0.3">
      <c r="A5486" s="24">
        <v>40364</v>
      </c>
      <c r="B5486" s="66">
        <v>871.41606999999999</v>
      </c>
      <c r="C5486" s="67"/>
      <c r="D5486" s="68">
        <v>0</v>
      </c>
      <c r="E5486" s="110">
        <f t="shared" si="87"/>
        <v>48737</v>
      </c>
      <c r="F5486" s="69">
        <v>1.2982741608821341E-2</v>
      </c>
    </row>
    <row r="5487" spans="1:6" x14ac:dyDescent="0.3">
      <c r="A5487" s="24">
        <v>40365</v>
      </c>
      <c r="B5487" s="66">
        <v>871.41606999999999</v>
      </c>
      <c r="C5487" s="67"/>
      <c r="D5487" s="68">
        <v>0</v>
      </c>
      <c r="E5487" s="110">
        <f t="shared" si="87"/>
        <v>48737</v>
      </c>
      <c r="F5487" s="69">
        <v>1.2982741608821341E-2</v>
      </c>
    </row>
    <row r="5488" spans="1:6" x14ac:dyDescent="0.3">
      <c r="A5488" s="24">
        <v>40366</v>
      </c>
      <c r="B5488" s="66">
        <v>871.41606999999999</v>
      </c>
      <c r="C5488" s="67"/>
      <c r="D5488" s="68">
        <v>0</v>
      </c>
      <c r="E5488" s="110">
        <f t="shared" si="87"/>
        <v>48737</v>
      </c>
      <c r="F5488" s="69">
        <v>1.2982741608821341E-2</v>
      </c>
    </row>
    <row r="5489" spans="1:6" x14ac:dyDescent="0.3">
      <c r="A5489" s="24">
        <v>40367</v>
      </c>
      <c r="B5489" s="66">
        <v>871.41606999999999</v>
      </c>
      <c r="C5489" s="67"/>
      <c r="D5489" s="68">
        <v>0</v>
      </c>
      <c r="E5489" s="110">
        <f t="shared" si="87"/>
        <v>48737</v>
      </c>
      <c r="F5489" s="69">
        <v>1.2982741608821341E-2</v>
      </c>
    </row>
    <row r="5490" spans="1:6" x14ac:dyDescent="0.3">
      <c r="A5490" s="24">
        <v>40368</v>
      </c>
      <c r="B5490" s="66">
        <v>871.41606999999999</v>
      </c>
      <c r="C5490" s="67"/>
      <c r="D5490" s="68">
        <v>0</v>
      </c>
      <c r="E5490" s="110">
        <f t="shared" si="87"/>
        <v>48737</v>
      </c>
      <c r="F5490" s="69">
        <v>1.2982741608821341E-2</v>
      </c>
    </row>
    <row r="5491" spans="1:6" x14ac:dyDescent="0.3">
      <c r="A5491" s="24">
        <v>40369</v>
      </c>
      <c r="B5491" s="66">
        <v>871.41606999999999</v>
      </c>
      <c r="C5491" s="67"/>
      <c r="D5491" s="68">
        <v>0</v>
      </c>
      <c r="E5491" s="110">
        <f t="shared" si="87"/>
        <v>48737</v>
      </c>
      <c r="F5491" s="69">
        <v>1.2982741608821341E-2</v>
      </c>
    </row>
    <row r="5492" spans="1:6" x14ac:dyDescent="0.3">
      <c r="A5492" s="24">
        <v>40370</v>
      </c>
      <c r="B5492" s="66">
        <v>871.41606999999999</v>
      </c>
      <c r="C5492" s="67"/>
      <c r="D5492" s="68">
        <v>0</v>
      </c>
      <c r="E5492" s="110">
        <f t="shared" si="87"/>
        <v>48737</v>
      </c>
      <c r="F5492" s="69">
        <v>1.2982741608821341E-2</v>
      </c>
    </row>
    <row r="5493" spans="1:6" x14ac:dyDescent="0.3">
      <c r="A5493" s="24">
        <v>40371</v>
      </c>
      <c r="B5493" s="66">
        <v>871.41606999999999</v>
      </c>
      <c r="C5493" s="67"/>
      <c r="D5493" s="68">
        <v>0</v>
      </c>
      <c r="E5493" s="110">
        <f t="shared" si="87"/>
        <v>48737</v>
      </c>
      <c r="F5493" s="69">
        <v>1.2982741608821341E-2</v>
      </c>
    </row>
    <row r="5494" spans="1:6" x14ac:dyDescent="0.3">
      <c r="A5494" s="24">
        <v>40372</v>
      </c>
      <c r="B5494" s="66">
        <v>871.41606999999999</v>
      </c>
      <c r="C5494" s="67"/>
      <c r="D5494" s="68">
        <v>0</v>
      </c>
      <c r="E5494" s="110">
        <f t="shared" si="87"/>
        <v>48737</v>
      </c>
      <c r="F5494" s="69">
        <v>1.2982741608821341E-2</v>
      </c>
    </row>
    <row r="5495" spans="1:6" x14ac:dyDescent="0.3">
      <c r="A5495" s="24">
        <v>40373</v>
      </c>
      <c r="B5495" s="66">
        <v>871.41606999999999</v>
      </c>
      <c r="C5495" s="67"/>
      <c r="D5495" s="68">
        <v>0</v>
      </c>
      <c r="E5495" s="110">
        <f t="shared" si="87"/>
        <v>48737</v>
      </c>
      <c r="F5495" s="69">
        <v>1.2982741608821341E-2</v>
      </c>
    </row>
    <row r="5496" spans="1:6" x14ac:dyDescent="0.3">
      <c r="A5496" s="24">
        <v>40374</v>
      </c>
      <c r="B5496" s="66">
        <v>871.41606999999999</v>
      </c>
      <c r="C5496" s="67"/>
      <c r="D5496" s="68">
        <v>0</v>
      </c>
      <c r="E5496" s="110">
        <f t="shared" si="87"/>
        <v>48737</v>
      </c>
      <c r="F5496" s="69">
        <v>1.2982741608821341E-2</v>
      </c>
    </row>
    <row r="5497" spans="1:6" x14ac:dyDescent="0.3">
      <c r="A5497" s="24">
        <v>40375</v>
      </c>
      <c r="B5497" s="66">
        <v>871.41606999999999</v>
      </c>
      <c r="C5497" s="67"/>
      <c r="D5497" s="68">
        <v>0</v>
      </c>
      <c r="E5497" s="110">
        <f t="shared" si="87"/>
        <v>48737</v>
      </c>
      <c r="F5497" s="69">
        <v>1.2982741608821341E-2</v>
      </c>
    </row>
    <row r="5498" spans="1:6" x14ac:dyDescent="0.3">
      <c r="A5498" s="24">
        <v>40376</v>
      </c>
      <c r="B5498" s="66">
        <v>871.41606999999999</v>
      </c>
      <c r="C5498" s="67"/>
      <c r="D5498" s="68">
        <v>0</v>
      </c>
      <c r="E5498" s="110">
        <f t="shared" si="87"/>
        <v>48737</v>
      </c>
      <c r="F5498" s="69">
        <v>1.2982741608821341E-2</v>
      </c>
    </row>
    <row r="5499" spans="1:6" x14ac:dyDescent="0.3">
      <c r="A5499" s="24">
        <v>40377</v>
      </c>
      <c r="B5499" s="66">
        <v>871.41606999999999</v>
      </c>
      <c r="C5499" s="67"/>
      <c r="D5499" s="68">
        <v>0</v>
      </c>
      <c r="E5499" s="110">
        <f t="shared" si="87"/>
        <v>48737</v>
      </c>
      <c r="F5499" s="69">
        <v>1.2982741608821341E-2</v>
      </c>
    </row>
    <row r="5500" spans="1:6" x14ac:dyDescent="0.3">
      <c r="A5500" s="24">
        <v>40378</v>
      </c>
      <c r="B5500" s="66">
        <v>871.41606999999999</v>
      </c>
      <c r="C5500" s="67"/>
      <c r="D5500" s="68">
        <v>0</v>
      </c>
      <c r="E5500" s="110">
        <f t="shared" si="87"/>
        <v>48737</v>
      </c>
      <c r="F5500" s="69">
        <v>1.2982741608821341E-2</v>
      </c>
    </row>
    <row r="5501" spans="1:6" x14ac:dyDescent="0.3">
      <c r="A5501" s="24">
        <v>40379</v>
      </c>
      <c r="B5501" s="66">
        <v>871.41606999999999</v>
      </c>
      <c r="C5501" s="67"/>
      <c r="D5501" s="68">
        <v>0</v>
      </c>
      <c r="E5501" s="110">
        <f t="shared" si="87"/>
        <v>48737</v>
      </c>
      <c r="F5501" s="69">
        <v>1.2982741608821341E-2</v>
      </c>
    </row>
    <row r="5502" spans="1:6" x14ac:dyDescent="0.3">
      <c r="A5502" s="24">
        <v>40380</v>
      </c>
      <c r="B5502" s="66">
        <v>871.41606999999999</v>
      </c>
      <c r="C5502" s="67"/>
      <c r="D5502" s="68">
        <v>0</v>
      </c>
      <c r="E5502" s="110">
        <f t="shared" si="87"/>
        <v>48737</v>
      </c>
      <c r="F5502" s="69">
        <v>1.2982741608821341E-2</v>
      </c>
    </row>
    <row r="5503" spans="1:6" x14ac:dyDescent="0.3">
      <c r="A5503" s="24">
        <v>40381</v>
      </c>
      <c r="B5503" s="66">
        <v>871.41606999999999</v>
      </c>
      <c r="C5503" s="67"/>
      <c r="D5503" s="68">
        <v>0</v>
      </c>
      <c r="E5503" s="110">
        <f t="shared" si="87"/>
        <v>48737</v>
      </c>
      <c r="F5503" s="69">
        <v>1.2982741608821341E-2</v>
      </c>
    </row>
    <row r="5504" spans="1:6" x14ac:dyDescent="0.3">
      <c r="A5504" s="24">
        <v>40382</v>
      </c>
      <c r="B5504" s="66">
        <v>871.41606999999999</v>
      </c>
      <c r="C5504" s="67"/>
      <c r="D5504" s="68">
        <v>0</v>
      </c>
      <c r="E5504" s="110">
        <f t="shared" si="87"/>
        <v>48737</v>
      </c>
      <c r="F5504" s="69">
        <v>1.2982741608821341E-2</v>
      </c>
    </row>
    <row r="5505" spans="1:6" x14ac:dyDescent="0.3">
      <c r="A5505" s="24">
        <v>40383</v>
      </c>
      <c r="B5505" s="66">
        <v>871.41606999999999</v>
      </c>
      <c r="C5505" s="67"/>
      <c r="D5505" s="68">
        <v>0</v>
      </c>
      <c r="E5505" s="110">
        <f t="shared" si="87"/>
        <v>48737</v>
      </c>
      <c r="F5505" s="69">
        <v>1.2982741608821341E-2</v>
      </c>
    </row>
    <row r="5506" spans="1:6" x14ac:dyDescent="0.3">
      <c r="A5506" s="24">
        <v>40384</v>
      </c>
      <c r="B5506" s="66">
        <v>871.41606999999999</v>
      </c>
      <c r="C5506" s="67"/>
      <c r="D5506" s="68">
        <v>0</v>
      </c>
      <c r="E5506" s="110">
        <f t="shared" si="87"/>
        <v>48737</v>
      </c>
      <c r="F5506" s="69">
        <v>1.2982741608821341E-2</v>
      </c>
    </row>
    <row r="5507" spans="1:6" x14ac:dyDescent="0.3">
      <c r="A5507" s="24">
        <v>40385</v>
      </c>
      <c r="B5507" s="66">
        <v>871.41606999999999</v>
      </c>
      <c r="C5507" s="67"/>
      <c r="D5507" s="68">
        <v>0</v>
      </c>
      <c r="E5507" s="110">
        <f t="shared" si="87"/>
        <v>48737</v>
      </c>
      <c r="F5507" s="69">
        <v>1.2982741608821341E-2</v>
      </c>
    </row>
    <row r="5508" spans="1:6" x14ac:dyDescent="0.3">
      <c r="A5508" s="24">
        <v>40386</v>
      </c>
      <c r="B5508" s="66">
        <v>871.41606999999999</v>
      </c>
      <c r="C5508" s="67"/>
      <c r="D5508" s="68">
        <v>0</v>
      </c>
      <c r="E5508" s="110">
        <f t="shared" si="87"/>
        <v>48737</v>
      </c>
      <c r="F5508" s="69">
        <v>1.2982741608821341E-2</v>
      </c>
    </row>
    <row r="5509" spans="1:6" x14ac:dyDescent="0.3">
      <c r="A5509" s="24">
        <v>40387</v>
      </c>
      <c r="B5509" s="66">
        <v>871.41606999999999</v>
      </c>
      <c r="C5509" s="67"/>
      <c r="D5509" s="68">
        <v>0</v>
      </c>
      <c r="E5509" s="110">
        <f t="shared" si="87"/>
        <v>48737</v>
      </c>
      <c r="F5509" s="69">
        <v>1.2982741608821341E-2</v>
      </c>
    </row>
    <row r="5510" spans="1:6" x14ac:dyDescent="0.3">
      <c r="A5510" s="24">
        <v>40388</v>
      </c>
      <c r="B5510" s="66">
        <v>871.41606999999999</v>
      </c>
      <c r="C5510" s="67"/>
      <c r="D5510" s="68">
        <v>0</v>
      </c>
      <c r="E5510" s="110">
        <f t="shared" ref="E5510:E5573" si="88">+E5509</f>
        <v>48737</v>
      </c>
      <c r="F5510" s="69">
        <v>1.2982741608821341E-2</v>
      </c>
    </row>
    <row r="5511" spans="1:6" x14ac:dyDescent="0.3">
      <c r="A5511" s="24">
        <v>40389</v>
      </c>
      <c r="B5511" s="66">
        <v>871.41606999999999</v>
      </c>
      <c r="C5511" s="67"/>
      <c r="D5511" s="68">
        <v>0</v>
      </c>
      <c r="E5511" s="110">
        <f t="shared" si="88"/>
        <v>48737</v>
      </c>
      <c r="F5511" s="69">
        <v>1.2982741608821341E-2</v>
      </c>
    </row>
    <row r="5512" spans="1:6" x14ac:dyDescent="0.3">
      <c r="A5512" s="24">
        <v>40390</v>
      </c>
      <c r="B5512" s="66">
        <v>871.41606999999999</v>
      </c>
      <c r="C5512" s="67"/>
      <c r="D5512" s="68">
        <v>0</v>
      </c>
      <c r="E5512" s="110">
        <f t="shared" si="88"/>
        <v>48737</v>
      </c>
      <c r="F5512" s="69">
        <v>1.2982741608821341E-2</v>
      </c>
    </row>
    <row r="5513" spans="1:6" x14ac:dyDescent="0.3">
      <c r="A5513" s="24">
        <v>40391</v>
      </c>
      <c r="B5513" s="66">
        <v>871.41606999999999</v>
      </c>
      <c r="C5513" s="67"/>
      <c r="D5513" s="68">
        <v>0</v>
      </c>
      <c r="E5513" s="110">
        <f t="shared" si="88"/>
        <v>48737</v>
      </c>
      <c r="F5513" s="69">
        <v>1.2982741608821341E-2</v>
      </c>
    </row>
    <row r="5514" spans="1:6" x14ac:dyDescent="0.3">
      <c r="A5514" s="24">
        <v>40392</v>
      </c>
      <c r="B5514" s="66">
        <v>871.41606999999999</v>
      </c>
      <c r="C5514" s="67"/>
      <c r="D5514" s="68">
        <v>0</v>
      </c>
      <c r="E5514" s="110">
        <f t="shared" si="88"/>
        <v>48737</v>
      </c>
      <c r="F5514" s="69">
        <v>1.2982741608821341E-2</v>
      </c>
    </row>
    <row r="5515" spans="1:6" x14ac:dyDescent="0.3">
      <c r="A5515" s="24">
        <v>40393</v>
      </c>
      <c r="B5515" s="66">
        <v>871.41606999999999</v>
      </c>
      <c r="C5515" s="67"/>
      <c r="D5515" s="68">
        <v>0</v>
      </c>
      <c r="E5515" s="110">
        <f t="shared" si="88"/>
        <v>48737</v>
      </c>
      <c r="F5515" s="69">
        <v>1.2982741608821341E-2</v>
      </c>
    </row>
    <row r="5516" spans="1:6" x14ac:dyDescent="0.3">
      <c r="A5516" s="24">
        <v>40394</v>
      </c>
      <c r="B5516" s="66">
        <v>871.41606999999999</v>
      </c>
      <c r="C5516" s="67"/>
      <c r="D5516" s="68">
        <v>0</v>
      </c>
      <c r="E5516" s="110">
        <f t="shared" si="88"/>
        <v>48737</v>
      </c>
      <c r="F5516" s="69">
        <v>1.2982741608821341E-2</v>
      </c>
    </row>
    <row r="5517" spans="1:6" x14ac:dyDescent="0.3">
      <c r="A5517" s="24">
        <v>40395</v>
      </c>
      <c r="B5517" s="66">
        <v>871.41606999999999</v>
      </c>
      <c r="C5517" s="67"/>
      <c r="D5517" s="68">
        <v>0</v>
      </c>
      <c r="E5517" s="110">
        <f t="shared" si="88"/>
        <v>48737</v>
      </c>
      <c r="F5517" s="69">
        <v>1.2982741608821341E-2</v>
      </c>
    </row>
    <row r="5518" spans="1:6" x14ac:dyDescent="0.3">
      <c r="A5518" s="24">
        <v>40396</v>
      </c>
      <c r="B5518" s="66">
        <v>871.41606999999999</v>
      </c>
      <c r="C5518" s="67"/>
      <c r="D5518" s="68">
        <v>0</v>
      </c>
      <c r="E5518" s="110">
        <f t="shared" si="88"/>
        <v>48737</v>
      </c>
      <c r="F5518" s="69">
        <v>1.2982741608821341E-2</v>
      </c>
    </row>
    <row r="5519" spans="1:6" x14ac:dyDescent="0.3">
      <c r="A5519" s="24">
        <v>40397</v>
      </c>
      <c r="B5519" s="66">
        <v>871.41606999999999</v>
      </c>
      <c r="C5519" s="67"/>
      <c r="D5519" s="68">
        <v>0</v>
      </c>
      <c r="E5519" s="110">
        <f t="shared" si="88"/>
        <v>48737</v>
      </c>
      <c r="F5519" s="69">
        <v>1.2982741608821341E-2</v>
      </c>
    </row>
    <row r="5520" spans="1:6" x14ac:dyDescent="0.3">
      <c r="A5520" s="24">
        <v>40398</v>
      </c>
      <c r="B5520" s="66">
        <v>871.41606999999999</v>
      </c>
      <c r="C5520" s="67"/>
      <c r="D5520" s="68">
        <v>0</v>
      </c>
      <c r="E5520" s="110">
        <f t="shared" si="88"/>
        <v>48737</v>
      </c>
      <c r="F5520" s="69">
        <v>1.2982741608821341E-2</v>
      </c>
    </row>
    <row r="5521" spans="1:6" x14ac:dyDescent="0.3">
      <c r="A5521" s="24">
        <v>40399</v>
      </c>
      <c r="B5521" s="66">
        <v>871.41606999999999</v>
      </c>
      <c r="C5521" s="67"/>
      <c r="D5521" s="68">
        <v>0</v>
      </c>
      <c r="E5521" s="110">
        <f t="shared" si="88"/>
        <v>48737</v>
      </c>
      <c r="F5521" s="69">
        <v>1.2982741608821341E-2</v>
      </c>
    </row>
    <row r="5522" spans="1:6" x14ac:dyDescent="0.3">
      <c r="A5522" s="24">
        <v>40400</v>
      </c>
      <c r="B5522" s="66">
        <v>871.41606999999999</v>
      </c>
      <c r="C5522" s="67"/>
      <c r="D5522" s="68">
        <v>0</v>
      </c>
      <c r="E5522" s="110">
        <f t="shared" si="88"/>
        <v>48737</v>
      </c>
      <c r="F5522" s="69">
        <v>1.2982741608821341E-2</v>
      </c>
    </row>
    <row r="5523" spans="1:6" x14ac:dyDescent="0.3">
      <c r="A5523" s="24">
        <v>40401</v>
      </c>
      <c r="B5523" s="66">
        <v>871.41606999999999</v>
      </c>
      <c r="C5523" s="67"/>
      <c r="D5523" s="68">
        <v>0</v>
      </c>
      <c r="E5523" s="110">
        <f t="shared" si="88"/>
        <v>48737</v>
      </c>
      <c r="F5523" s="69">
        <v>1.2982741608821341E-2</v>
      </c>
    </row>
    <row r="5524" spans="1:6" x14ac:dyDescent="0.3">
      <c r="A5524" s="24">
        <v>40402</v>
      </c>
      <c r="B5524" s="66">
        <v>871.41606999999999</v>
      </c>
      <c r="C5524" s="67"/>
      <c r="D5524" s="68">
        <v>0</v>
      </c>
      <c r="E5524" s="110">
        <f t="shared" si="88"/>
        <v>48737</v>
      </c>
      <c r="F5524" s="69">
        <v>1.2982741608821341E-2</v>
      </c>
    </row>
    <row r="5525" spans="1:6" x14ac:dyDescent="0.3">
      <c r="A5525" s="24">
        <v>40403</v>
      </c>
      <c r="B5525" s="66">
        <v>871.41606999999999</v>
      </c>
      <c r="C5525" s="67"/>
      <c r="D5525" s="68">
        <v>0</v>
      </c>
      <c r="E5525" s="110">
        <f t="shared" si="88"/>
        <v>48737</v>
      </c>
      <c r="F5525" s="69">
        <v>1.2982741608821341E-2</v>
      </c>
    </row>
    <row r="5526" spans="1:6" x14ac:dyDescent="0.3">
      <c r="A5526" s="24">
        <v>40404</v>
      </c>
      <c r="B5526" s="66">
        <v>871.41606999999999</v>
      </c>
      <c r="C5526" s="67"/>
      <c r="D5526" s="68">
        <v>0</v>
      </c>
      <c r="E5526" s="110">
        <f t="shared" si="88"/>
        <v>48737</v>
      </c>
      <c r="F5526" s="69">
        <v>1.2982741608821341E-2</v>
      </c>
    </row>
    <row r="5527" spans="1:6" x14ac:dyDescent="0.3">
      <c r="A5527" s="24">
        <v>40405</v>
      </c>
      <c r="B5527" s="66">
        <v>871.41606999999999</v>
      </c>
      <c r="C5527" s="67"/>
      <c r="D5527" s="68">
        <v>0</v>
      </c>
      <c r="E5527" s="110">
        <f t="shared" si="88"/>
        <v>48737</v>
      </c>
      <c r="F5527" s="69">
        <v>1.2982741608821341E-2</v>
      </c>
    </row>
    <row r="5528" spans="1:6" x14ac:dyDescent="0.3">
      <c r="A5528" s="24">
        <v>40406</v>
      </c>
      <c r="B5528" s="66">
        <v>871.41606999999999</v>
      </c>
      <c r="C5528" s="67"/>
      <c r="D5528" s="68">
        <v>0</v>
      </c>
      <c r="E5528" s="110">
        <f t="shared" si="88"/>
        <v>48737</v>
      </c>
      <c r="F5528" s="69">
        <v>1.2982741608821341E-2</v>
      </c>
    </row>
    <row r="5529" spans="1:6" x14ac:dyDescent="0.3">
      <c r="A5529" s="24">
        <v>40407</v>
      </c>
      <c r="B5529" s="66">
        <v>871.41606999999999</v>
      </c>
      <c r="C5529" s="67"/>
      <c r="D5529" s="68">
        <v>0</v>
      </c>
      <c r="E5529" s="110">
        <f t="shared" si="88"/>
        <v>48737</v>
      </c>
      <c r="F5529" s="69">
        <v>1.2982741608821341E-2</v>
      </c>
    </row>
    <row r="5530" spans="1:6" x14ac:dyDescent="0.3">
      <c r="A5530" s="24">
        <v>40408</v>
      </c>
      <c r="B5530" s="66">
        <v>871.41606999999999</v>
      </c>
      <c r="C5530" s="67"/>
      <c r="D5530" s="68">
        <v>0</v>
      </c>
      <c r="E5530" s="110">
        <f t="shared" si="88"/>
        <v>48737</v>
      </c>
      <c r="F5530" s="69">
        <v>1.2982741608821341E-2</v>
      </c>
    </row>
    <row r="5531" spans="1:6" x14ac:dyDescent="0.3">
      <c r="A5531" s="24">
        <v>40409</v>
      </c>
      <c r="B5531" s="66">
        <v>871.41606999999999</v>
      </c>
      <c r="C5531" s="67"/>
      <c r="D5531" s="68">
        <v>0</v>
      </c>
      <c r="E5531" s="110">
        <f t="shared" si="88"/>
        <v>48737</v>
      </c>
      <c r="F5531" s="69">
        <v>1.2982741608821341E-2</v>
      </c>
    </row>
    <row r="5532" spans="1:6" x14ac:dyDescent="0.3">
      <c r="A5532" s="24">
        <v>40410</v>
      </c>
      <c r="B5532" s="66">
        <v>871.41606999999999</v>
      </c>
      <c r="C5532" s="67"/>
      <c r="D5532" s="68">
        <v>0</v>
      </c>
      <c r="E5532" s="110">
        <f t="shared" si="88"/>
        <v>48737</v>
      </c>
      <c r="F5532" s="69">
        <v>1.2982741608821341E-2</v>
      </c>
    </row>
    <row r="5533" spans="1:6" x14ac:dyDescent="0.3">
      <c r="A5533" s="24">
        <v>40411</v>
      </c>
      <c r="B5533" s="66">
        <v>871.41606999999999</v>
      </c>
      <c r="C5533" s="67"/>
      <c r="D5533" s="68">
        <v>0</v>
      </c>
      <c r="E5533" s="110">
        <f t="shared" si="88"/>
        <v>48737</v>
      </c>
      <c r="F5533" s="69">
        <v>1.2982741608821341E-2</v>
      </c>
    </row>
    <row r="5534" spans="1:6" x14ac:dyDescent="0.3">
      <c r="A5534" s="24">
        <v>40412</v>
      </c>
      <c r="B5534" s="66">
        <v>871.41606999999999</v>
      </c>
      <c r="C5534" s="67"/>
      <c r="D5534" s="68">
        <v>0</v>
      </c>
      <c r="E5534" s="110">
        <f t="shared" si="88"/>
        <v>48737</v>
      </c>
      <c r="F5534" s="69">
        <v>1.2982741608821341E-2</v>
      </c>
    </row>
    <row r="5535" spans="1:6" x14ac:dyDescent="0.3">
      <c r="A5535" s="24">
        <v>40413</v>
      </c>
      <c r="B5535" s="66">
        <v>871.41606999999999</v>
      </c>
      <c r="C5535" s="67"/>
      <c r="D5535" s="68">
        <v>0</v>
      </c>
      <c r="E5535" s="110">
        <f t="shared" si="88"/>
        <v>48737</v>
      </c>
      <c r="F5535" s="69">
        <v>1.2982741608821341E-2</v>
      </c>
    </row>
    <row r="5536" spans="1:6" x14ac:dyDescent="0.3">
      <c r="A5536" s="24">
        <v>40414</v>
      </c>
      <c r="B5536" s="66">
        <v>871.41606999999999</v>
      </c>
      <c r="C5536" s="67"/>
      <c r="D5536" s="68">
        <v>0</v>
      </c>
      <c r="E5536" s="110">
        <f t="shared" si="88"/>
        <v>48737</v>
      </c>
      <c r="F5536" s="69">
        <v>1.2982741608821341E-2</v>
      </c>
    </row>
    <row r="5537" spans="1:6" x14ac:dyDescent="0.3">
      <c r="A5537" s="24">
        <v>40415</v>
      </c>
      <c r="B5537" s="66">
        <v>871.41606999999999</v>
      </c>
      <c r="C5537" s="67"/>
      <c r="D5537" s="68">
        <v>0</v>
      </c>
      <c r="E5537" s="110">
        <f t="shared" si="88"/>
        <v>48737</v>
      </c>
      <c r="F5537" s="69">
        <v>1.2982741608821341E-2</v>
      </c>
    </row>
    <row r="5538" spans="1:6" x14ac:dyDescent="0.3">
      <c r="A5538" s="24">
        <v>40416</v>
      </c>
      <c r="B5538" s="66">
        <v>871.41606999999999</v>
      </c>
      <c r="C5538" s="67"/>
      <c r="D5538" s="68">
        <v>0</v>
      </c>
      <c r="E5538" s="110">
        <f t="shared" si="88"/>
        <v>48737</v>
      </c>
      <c r="F5538" s="69">
        <v>1.2982741608821341E-2</v>
      </c>
    </row>
    <row r="5539" spans="1:6" x14ac:dyDescent="0.3">
      <c r="A5539" s="24">
        <v>40417</v>
      </c>
      <c r="B5539" s="66">
        <v>871.41606999999999</v>
      </c>
      <c r="C5539" s="67"/>
      <c r="D5539" s="68">
        <v>0</v>
      </c>
      <c r="E5539" s="110">
        <f t="shared" si="88"/>
        <v>48737</v>
      </c>
      <c r="F5539" s="69">
        <v>1.2982741608821341E-2</v>
      </c>
    </row>
    <row r="5540" spans="1:6" x14ac:dyDescent="0.3">
      <c r="A5540" s="24">
        <v>40418</v>
      </c>
      <c r="B5540" s="66">
        <v>871.41606999999999</v>
      </c>
      <c r="C5540" s="67"/>
      <c r="D5540" s="68">
        <v>0</v>
      </c>
      <c r="E5540" s="110">
        <f t="shared" si="88"/>
        <v>48737</v>
      </c>
      <c r="F5540" s="69">
        <v>1.2982741608821341E-2</v>
      </c>
    </row>
    <row r="5541" spans="1:6" x14ac:dyDescent="0.3">
      <c r="A5541" s="24">
        <v>40419</v>
      </c>
      <c r="B5541" s="66">
        <v>871.41606999999999</v>
      </c>
      <c r="C5541" s="67"/>
      <c r="D5541" s="68">
        <v>0</v>
      </c>
      <c r="E5541" s="110">
        <f t="shared" si="88"/>
        <v>48737</v>
      </c>
      <c r="F5541" s="69">
        <v>1.2982741608821341E-2</v>
      </c>
    </row>
    <row r="5542" spans="1:6" x14ac:dyDescent="0.3">
      <c r="A5542" s="24">
        <v>40420</v>
      </c>
      <c r="B5542" s="66">
        <v>871.41606999999999</v>
      </c>
      <c r="C5542" s="67"/>
      <c r="D5542" s="68">
        <v>0</v>
      </c>
      <c r="E5542" s="110">
        <f t="shared" si="88"/>
        <v>48737</v>
      </c>
      <c r="F5542" s="69">
        <v>1.2982741608821341E-2</v>
      </c>
    </row>
    <row r="5543" spans="1:6" x14ac:dyDescent="0.3">
      <c r="A5543" s="24">
        <v>40421</v>
      </c>
      <c r="B5543" s="66">
        <v>871.41606999999999</v>
      </c>
      <c r="C5543" s="67"/>
      <c r="D5543" s="68">
        <v>0</v>
      </c>
      <c r="E5543" s="110">
        <f t="shared" si="88"/>
        <v>48737</v>
      </c>
      <c r="F5543" s="69">
        <v>1.2982741608821341E-2</v>
      </c>
    </row>
    <row r="5544" spans="1:6" x14ac:dyDescent="0.3">
      <c r="A5544" s="24">
        <v>40422</v>
      </c>
      <c r="B5544" s="66">
        <v>871.41606999999999</v>
      </c>
      <c r="C5544" s="67"/>
      <c r="D5544" s="68">
        <v>0</v>
      </c>
      <c r="E5544" s="110">
        <f t="shared" si="88"/>
        <v>48737</v>
      </c>
      <c r="F5544" s="69">
        <v>1.2982741608821341E-2</v>
      </c>
    </row>
    <row r="5545" spans="1:6" x14ac:dyDescent="0.3">
      <c r="A5545" s="24">
        <v>40423</v>
      </c>
      <c r="B5545" s="66">
        <v>871.41606999999999</v>
      </c>
      <c r="C5545" s="67"/>
      <c r="D5545" s="68">
        <v>0</v>
      </c>
      <c r="E5545" s="110">
        <f t="shared" si="88"/>
        <v>48737</v>
      </c>
      <c r="F5545" s="69">
        <v>1.2982741608821341E-2</v>
      </c>
    </row>
    <row r="5546" spans="1:6" x14ac:dyDescent="0.3">
      <c r="A5546" s="24">
        <v>40424</v>
      </c>
      <c r="B5546" s="66">
        <v>871.41606999999999</v>
      </c>
      <c r="C5546" s="67"/>
      <c r="D5546" s="68">
        <v>0</v>
      </c>
      <c r="E5546" s="110">
        <f t="shared" si="88"/>
        <v>48737</v>
      </c>
      <c r="F5546" s="69">
        <v>1.2982741608821341E-2</v>
      </c>
    </row>
    <row r="5547" spans="1:6" x14ac:dyDescent="0.3">
      <c r="A5547" s="24">
        <v>40425</v>
      </c>
      <c r="B5547" s="66">
        <v>871.41606999999999</v>
      </c>
      <c r="C5547" s="67"/>
      <c r="D5547" s="68">
        <v>0</v>
      </c>
      <c r="E5547" s="110">
        <f t="shared" si="88"/>
        <v>48737</v>
      </c>
      <c r="F5547" s="69">
        <v>1.2982741608821341E-2</v>
      </c>
    </row>
    <row r="5548" spans="1:6" x14ac:dyDescent="0.3">
      <c r="A5548" s="24">
        <v>40426</v>
      </c>
      <c r="B5548" s="66">
        <v>871.41606999999999</v>
      </c>
      <c r="C5548" s="67"/>
      <c r="D5548" s="68">
        <v>0</v>
      </c>
      <c r="E5548" s="110">
        <f t="shared" si="88"/>
        <v>48737</v>
      </c>
      <c r="F5548" s="69">
        <v>1.2982741608821341E-2</v>
      </c>
    </row>
    <row r="5549" spans="1:6" x14ac:dyDescent="0.3">
      <c r="A5549" s="24">
        <v>40427</v>
      </c>
      <c r="B5549" s="66">
        <v>871.41606999999999</v>
      </c>
      <c r="C5549" s="67"/>
      <c r="D5549" s="68">
        <v>0</v>
      </c>
      <c r="E5549" s="110">
        <f t="shared" si="88"/>
        <v>48737</v>
      </c>
      <c r="F5549" s="69">
        <v>1.2982741608821341E-2</v>
      </c>
    </row>
    <row r="5550" spans="1:6" x14ac:dyDescent="0.3">
      <c r="A5550" s="24">
        <v>40428</v>
      </c>
      <c r="B5550" s="66">
        <v>871.41606999999999</v>
      </c>
      <c r="C5550" s="67"/>
      <c r="D5550" s="68">
        <v>0</v>
      </c>
      <c r="E5550" s="110">
        <f t="shared" si="88"/>
        <v>48737</v>
      </c>
      <c r="F5550" s="69">
        <v>1.2982741608821341E-2</v>
      </c>
    </row>
    <row r="5551" spans="1:6" x14ac:dyDescent="0.3">
      <c r="A5551" s="24">
        <v>40429</v>
      </c>
      <c r="B5551" s="66">
        <v>871.41606999999999</v>
      </c>
      <c r="C5551" s="67"/>
      <c r="D5551" s="68">
        <v>0</v>
      </c>
      <c r="E5551" s="110">
        <f t="shared" si="88"/>
        <v>48737</v>
      </c>
      <c r="F5551" s="69">
        <v>1.2982741608821341E-2</v>
      </c>
    </row>
    <row r="5552" spans="1:6" x14ac:dyDescent="0.3">
      <c r="A5552" s="24">
        <v>40430</v>
      </c>
      <c r="B5552" s="66">
        <v>871.41606999999999</v>
      </c>
      <c r="C5552" s="67"/>
      <c r="D5552" s="68">
        <v>0</v>
      </c>
      <c r="E5552" s="110">
        <f t="shared" si="88"/>
        <v>48737</v>
      </c>
      <c r="F5552" s="69">
        <v>1.2982741608821341E-2</v>
      </c>
    </row>
    <row r="5553" spans="1:6" x14ac:dyDescent="0.3">
      <c r="A5553" s="24">
        <v>40431</v>
      </c>
      <c r="B5553" s="66">
        <v>871.41606999999999</v>
      </c>
      <c r="C5553" s="67"/>
      <c r="D5553" s="68">
        <v>0</v>
      </c>
      <c r="E5553" s="110">
        <f t="shared" si="88"/>
        <v>48737</v>
      </c>
      <c r="F5553" s="69">
        <v>1.2982741608821341E-2</v>
      </c>
    </row>
    <row r="5554" spans="1:6" x14ac:dyDescent="0.3">
      <c r="A5554" s="24">
        <v>40432</v>
      </c>
      <c r="B5554" s="66">
        <v>871.41606999999999</v>
      </c>
      <c r="C5554" s="67"/>
      <c r="D5554" s="68">
        <v>0</v>
      </c>
      <c r="E5554" s="110">
        <f t="shared" si="88"/>
        <v>48737</v>
      </c>
      <c r="F5554" s="69">
        <v>1.2982741608821341E-2</v>
      </c>
    </row>
    <row r="5555" spans="1:6" x14ac:dyDescent="0.3">
      <c r="A5555" s="24">
        <v>40433</v>
      </c>
      <c r="B5555" s="66">
        <v>871.41606999999999</v>
      </c>
      <c r="C5555" s="67"/>
      <c r="D5555" s="68">
        <v>0</v>
      </c>
      <c r="E5555" s="110">
        <f t="shared" si="88"/>
        <v>48737</v>
      </c>
      <c r="F5555" s="69">
        <v>1.2982741608821341E-2</v>
      </c>
    </row>
    <row r="5556" spans="1:6" x14ac:dyDescent="0.3">
      <c r="A5556" s="24">
        <v>40434</v>
      </c>
      <c r="B5556" s="66">
        <v>871.41606999999999</v>
      </c>
      <c r="C5556" s="67"/>
      <c r="D5556" s="68">
        <v>0</v>
      </c>
      <c r="E5556" s="110">
        <f t="shared" si="88"/>
        <v>48737</v>
      </c>
      <c r="F5556" s="69">
        <v>1.2982741608821341E-2</v>
      </c>
    </row>
    <row r="5557" spans="1:6" x14ac:dyDescent="0.3">
      <c r="A5557" s="24">
        <v>40435</v>
      </c>
      <c r="B5557" s="66">
        <v>871.41606999999999</v>
      </c>
      <c r="C5557" s="67"/>
      <c r="D5557" s="68">
        <v>0</v>
      </c>
      <c r="E5557" s="110">
        <f t="shared" si="88"/>
        <v>48737</v>
      </c>
      <c r="F5557" s="69">
        <v>1.2982741608821341E-2</v>
      </c>
    </row>
    <row r="5558" spans="1:6" x14ac:dyDescent="0.3">
      <c r="A5558" s="24">
        <v>40436</v>
      </c>
      <c r="B5558" s="66">
        <v>871.41606999999999</v>
      </c>
      <c r="C5558" s="67"/>
      <c r="D5558" s="68">
        <v>0</v>
      </c>
      <c r="E5558" s="110">
        <f t="shared" si="88"/>
        <v>48737</v>
      </c>
      <c r="F5558" s="69">
        <v>1.2982741608821341E-2</v>
      </c>
    </row>
    <row r="5559" spans="1:6" x14ac:dyDescent="0.3">
      <c r="A5559" s="24">
        <v>40437</v>
      </c>
      <c r="B5559" s="66">
        <v>871.41606999999999</v>
      </c>
      <c r="C5559" s="67"/>
      <c r="D5559" s="68">
        <v>0</v>
      </c>
      <c r="E5559" s="110">
        <f t="shared" si="88"/>
        <v>48737</v>
      </c>
      <c r="F5559" s="69">
        <v>1.2982741608821341E-2</v>
      </c>
    </row>
    <row r="5560" spans="1:6" x14ac:dyDescent="0.3">
      <c r="A5560" s="24">
        <v>40438</v>
      </c>
      <c r="B5560" s="66">
        <v>871.41606999999999</v>
      </c>
      <c r="C5560" s="67"/>
      <c r="D5560" s="68">
        <v>0</v>
      </c>
      <c r="E5560" s="110">
        <f t="shared" si="88"/>
        <v>48737</v>
      </c>
      <c r="F5560" s="69">
        <v>1.2982741608821341E-2</v>
      </c>
    </row>
    <row r="5561" spans="1:6" x14ac:dyDescent="0.3">
      <c r="A5561" s="24">
        <v>40439</v>
      </c>
      <c r="B5561" s="66">
        <v>871.41606999999999</v>
      </c>
      <c r="C5561" s="67"/>
      <c r="D5561" s="68">
        <v>0</v>
      </c>
      <c r="E5561" s="110">
        <f t="shared" si="88"/>
        <v>48737</v>
      </c>
      <c r="F5561" s="69">
        <v>1.2982741608821341E-2</v>
      </c>
    </row>
    <row r="5562" spans="1:6" x14ac:dyDescent="0.3">
      <c r="A5562" s="24">
        <v>40440</v>
      </c>
      <c r="B5562" s="66">
        <v>871.41606999999999</v>
      </c>
      <c r="C5562" s="67"/>
      <c r="D5562" s="68">
        <v>0</v>
      </c>
      <c r="E5562" s="110">
        <f t="shared" si="88"/>
        <v>48737</v>
      </c>
      <c r="F5562" s="69">
        <v>1.2982741608821341E-2</v>
      </c>
    </row>
    <row r="5563" spans="1:6" x14ac:dyDescent="0.3">
      <c r="A5563" s="24">
        <v>40441</v>
      </c>
      <c r="B5563" s="66">
        <v>871.41606999999999</v>
      </c>
      <c r="C5563" s="67"/>
      <c r="D5563" s="68">
        <v>0</v>
      </c>
      <c r="E5563" s="110">
        <f t="shared" si="88"/>
        <v>48737</v>
      </c>
      <c r="F5563" s="69">
        <v>1.2982741608821341E-2</v>
      </c>
    </row>
    <row r="5564" spans="1:6" x14ac:dyDescent="0.3">
      <c r="A5564" s="24">
        <v>40442</v>
      </c>
      <c r="B5564" s="66">
        <v>871.41606999999999</v>
      </c>
      <c r="C5564" s="67"/>
      <c r="D5564" s="68">
        <v>0</v>
      </c>
      <c r="E5564" s="110">
        <f t="shared" si="88"/>
        <v>48737</v>
      </c>
      <c r="F5564" s="69">
        <v>1.2982741608821341E-2</v>
      </c>
    </row>
    <row r="5565" spans="1:6" x14ac:dyDescent="0.3">
      <c r="A5565" s="24">
        <v>40443</v>
      </c>
      <c r="B5565" s="66">
        <v>871.41606999999999</v>
      </c>
      <c r="C5565" s="67"/>
      <c r="D5565" s="68">
        <v>0</v>
      </c>
      <c r="E5565" s="110">
        <f t="shared" si="88"/>
        <v>48737</v>
      </c>
      <c r="F5565" s="69">
        <v>1.2982741608821341E-2</v>
      </c>
    </row>
    <row r="5566" spans="1:6" x14ac:dyDescent="0.3">
      <c r="A5566" s="24">
        <v>40444</v>
      </c>
      <c r="B5566" s="66">
        <v>871.41606999999999</v>
      </c>
      <c r="C5566" s="67"/>
      <c r="D5566" s="68">
        <v>0</v>
      </c>
      <c r="E5566" s="110">
        <f t="shared" si="88"/>
        <v>48737</v>
      </c>
      <c r="F5566" s="69">
        <v>1.2982741608821341E-2</v>
      </c>
    </row>
    <row r="5567" spans="1:6" x14ac:dyDescent="0.3">
      <c r="A5567" s="24">
        <v>40445</v>
      </c>
      <c r="B5567" s="66">
        <v>871.41606999999999</v>
      </c>
      <c r="C5567" s="67"/>
      <c r="D5567" s="68">
        <v>0</v>
      </c>
      <c r="E5567" s="110">
        <f t="shared" si="88"/>
        <v>48737</v>
      </c>
      <c r="F5567" s="69">
        <v>1.2982741608821341E-2</v>
      </c>
    </row>
    <row r="5568" spans="1:6" x14ac:dyDescent="0.3">
      <c r="A5568" s="24">
        <v>40446</v>
      </c>
      <c r="B5568" s="66">
        <v>871.41606999999999</v>
      </c>
      <c r="C5568" s="67"/>
      <c r="D5568" s="68">
        <v>0</v>
      </c>
      <c r="E5568" s="110">
        <f t="shared" si="88"/>
        <v>48737</v>
      </c>
      <c r="F5568" s="69">
        <v>1.2982741608821341E-2</v>
      </c>
    </row>
    <row r="5569" spans="1:6" x14ac:dyDescent="0.3">
      <c r="A5569" s="24">
        <v>40447</v>
      </c>
      <c r="B5569" s="66">
        <v>871.41606999999999</v>
      </c>
      <c r="C5569" s="67"/>
      <c r="D5569" s="68">
        <v>0</v>
      </c>
      <c r="E5569" s="110">
        <f t="shared" si="88"/>
        <v>48737</v>
      </c>
      <c r="F5569" s="69">
        <v>1.2982741608821341E-2</v>
      </c>
    </row>
    <row r="5570" spans="1:6" x14ac:dyDescent="0.3">
      <c r="A5570" s="24">
        <v>40448</v>
      </c>
      <c r="B5570" s="66">
        <v>871.41606999999999</v>
      </c>
      <c r="C5570" s="67"/>
      <c r="D5570" s="68">
        <v>0</v>
      </c>
      <c r="E5570" s="110">
        <f t="shared" si="88"/>
        <v>48737</v>
      </c>
      <c r="F5570" s="69">
        <v>1.2982741608821341E-2</v>
      </c>
    </row>
    <row r="5571" spans="1:6" x14ac:dyDescent="0.3">
      <c r="A5571" s="24">
        <v>40449</v>
      </c>
      <c r="B5571" s="66">
        <v>871.41606999999999</v>
      </c>
      <c r="C5571" s="67"/>
      <c r="D5571" s="68">
        <v>0</v>
      </c>
      <c r="E5571" s="110">
        <f t="shared" si="88"/>
        <v>48737</v>
      </c>
      <c r="F5571" s="69">
        <v>1.2982741608821341E-2</v>
      </c>
    </row>
    <row r="5572" spans="1:6" x14ac:dyDescent="0.3">
      <c r="A5572" s="24">
        <v>40450</v>
      </c>
      <c r="B5572" s="66">
        <v>871.41606999999999</v>
      </c>
      <c r="C5572" s="67"/>
      <c r="D5572" s="68">
        <v>0</v>
      </c>
      <c r="E5572" s="110">
        <f t="shared" si="88"/>
        <v>48737</v>
      </c>
      <c r="F5572" s="69">
        <v>1.276387798218892E-2</v>
      </c>
    </row>
    <row r="5573" spans="1:6" x14ac:dyDescent="0.3">
      <c r="A5573" s="24">
        <v>40451</v>
      </c>
      <c r="B5573" s="66">
        <v>874.33400000000006</v>
      </c>
      <c r="C5573" s="67"/>
      <c r="D5573" s="68">
        <v>0</v>
      </c>
      <c r="E5573" s="110">
        <f t="shared" si="88"/>
        <v>48737</v>
      </c>
      <c r="F5573" s="69">
        <v>1.276387798218892E-2</v>
      </c>
    </row>
    <row r="5574" spans="1:6" x14ac:dyDescent="0.3">
      <c r="A5574" s="24">
        <v>40452</v>
      </c>
      <c r="B5574" s="66">
        <v>874.33400000000006</v>
      </c>
      <c r="C5574" s="67"/>
      <c r="D5574" s="68">
        <v>0</v>
      </c>
      <c r="E5574" s="110">
        <f t="shared" ref="E5574:E5637" si="89">+E5573</f>
        <v>48737</v>
      </c>
      <c r="F5574" s="69">
        <v>1.276387798218892E-2</v>
      </c>
    </row>
    <row r="5575" spans="1:6" x14ac:dyDescent="0.3">
      <c r="A5575" s="24">
        <v>40453</v>
      </c>
      <c r="B5575" s="66">
        <v>874.33400000000006</v>
      </c>
      <c r="C5575" s="67"/>
      <c r="D5575" s="68">
        <v>0</v>
      </c>
      <c r="E5575" s="110">
        <f t="shared" si="89"/>
        <v>48737</v>
      </c>
      <c r="F5575" s="69">
        <v>1.276387798218892E-2</v>
      </c>
    </row>
    <row r="5576" spans="1:6" x14ac:dyDescent="0.3">
      <c r="A5576" s="24">
        <v>40454</v>
      </c>
      <c r="B5576" s="66">
        <v>874.33400000000006</v>
      </c>
      <c r="C5576" s="67"/>
      <c r="D5576" s="68">
        <v>0</v>
      </c>
      <c r="E5576" s="110">
        <f t="shared" si="89"/>
        <v>48737</v>
      </c>
      <c r="F5576" s="69">
        <v>1.276387798218892E-2</v>
      </c>
    </row>
    <row r="5577" spans="1:6" x14ac:dyDescent="0.3">
      <c r="A5577" s="24">
        <v>40455</v>
      </c>
      <c r="B5577" s="66">
        <v>874.33400000000006</v>
      </c>
      <c r="C5577" s="67"/>
      <c r="D5577" s="68">
        <v>0</v>
      </c>
      <c r="E5577" s="110">
        <f t="shared" si="89"/>
        <v>48737</v>
      </c>
      <c r="F5577" s="69">
        <v>1.276387798218892E-2</v>
      </c>
    </row>
    <row r="5578" spans="1:6" x14ac:dyDescent="0.3">
      <c r="A5578" s="24">
        <v>40456</v>
      </c>
      <c r="B5578" s="66">
        <v>874.33400000000006</v>
      </c>
      <c r="C5578" s="67"/>
      <c r="D5578" s="68">
        <v>0</v>
      </c>
      <c r="E5578" s="110">
        <f t="shared" si="89"/>
        <v>48737</v>
      </c>
      <c r="F5578" s="69">
        <v>1.276387798218892E-2</v>
      </c>
    </row>
    <row r="5579" spans="1:6" x14ac:dyDescent="0.3">
      <c r="A5579" s="24">
        <v>40457</v>
      </c>
      <c r="B5579" s="66">
        <v>874.33400000000006</v>
      </c>
      <c r="C5579" s="67"/>
      <c r="D5579" s="68">
        <v>0</v>
      </c>
      <c r="E5579" s="110">
        <f t="shared" si="89"/>
        <v>48737</v>
      </c>
      <c r="F5579" s="69">
        <v>1.276387798218892E-2</v>
      </c>
    </row>
    <row r="5580" spans="1:6" x14ac:dyDescent="0.3">
      <c r="A5580" s="24">
        <v>40458</v>
      </c>
      <c r="B5580" s="66">
        <v>874.33400000000006</v>
      </c>
      <c r="C5580" s="67"/>
      <c r="D5580" s="68">
        <v>0</v>
      </c>
      <c r="E5580" s="110">
        <f t="shared" si="89"/>
        <v>48737</v>
      </c>
      <c r="F5580" s="69">
        <v>1.276387798218892E-2</v>
      </c>
    </row>
    <row r="5581" spans="1:6" x14ac:dyDescent="0.3">
      <c r="A5581" s="24">
        <v>40459</v>
      </c>
      <c r="B5581" s="66">
        <v>874.33400000000006</v>
      </c>
      <c r="C5581" s="67"/>
      <c r="D5581" s="68">
        <v>0</v>
      </c>
      <c r="E5581" s="110">
        <f t="shared" si="89"/>
        <v>48737</v>
      </c>
      <c r="F5581" s="69">
        <v>1.276387798218892E-2</v>
      </c>
    </row>
    <row r="5582" spans="1:6" x14ac:dyDescent="0.3">
      <c r="A5582" s="24">
        <v>40460</v>
      </c>
      <c r="B5582" s="66">
        <v>874.33400000000006</v>
      </c>
      <c r="C5582" s="67"/>
      <c r="D5582" s="68">
        <v>0</v>
      </c>
      <c r="E5582" s="110">
        <f t="shared" si="89"/>
        <v>48737</v>
      </c>
      <c r="F5582" s="69">
        <v>1.276387798218892E-2</v>
      </c>
    </row>
    <row r="5583" spans="1:6" x14ac:dyDescent="0.3">
      <c r="A5583" s="24">
        <v>40461</v>
      </c>
      <c r="B5583" s="66">
        <v>874.33400000000006</v>
      </c>
      <c r="C5583" s="67"/>
      <c r="D5583" s="68">
        <v>0</v>
      </c>
      <c r="E5583" s="110">
        <f t="shared" si="89"/>
        <v>48737</v>
      </c>
      <c r="F5583" s="69">
        <v>1.276387798218892E-2</v>
      </c>
    </row>
    <row r="5584" spans="1:6" x14ac:dyDescent="0.3">
      <c r="A5584" s="24">
        <v>40462</v>
      </c>
      <c r="B5584" s="66">
        <v>874.33400000000006</v>
      </c>
      <c r="C5584" s="67"/>
      <c r="D5584" s="68">
        <v>0</v>
      </c>
      <c r="E5584" s="110">
        <f t="shared" si="89"/>
        <v>48737</v>
      </c>
      <c r="F5584" s="69">
        <v>1.276387798218892E-2</v>
      </c>
    </row>
    <row r="5585" spans="1:6" x14ac:dyDescent="0.3">
      <c r="A5585" s="24">
        <v>40463</v>
      </c>
      <c r="B5585" s="66">
        <v>874.33400000000006</v>
      </c>
      <c r="C5585" s="67"/>
      <c r="D5585" s="68">
        <v>0</v>
      </c>
      <c r="E5585" s="110">
        <f t="shared" si="89"/>
        <v>48737</v>
      </c>
      <c r="F5585" s="69">
        <v>1.276387798218892E-2</v>
      </c>
    </row>
    <row r="5586" spans="1:6" x14ac:dyDescent="0.3">
      <c r="A5586" s="24">
        <v>40464</v>
      </c>
      <c r="B5586" s="66">
        <v>874.33400000000006</v>
      </c>
      <c r="C5586" s="67"/>
      <c r="D5586" s="68">
        <v>0</v>
      </c>
      <c r="E5586" s="110">
        <f t="shared" si="89"/>
        <v>48737</v>
      </c>
      <c r="F5586" s="69">
        <v>1.276387798218892E-2</v>
      </c>
    </row>
    <row r="5587" spans="1:6" x14ac:dyDescent="0.3">
      <c r="A5587" s="24">
        <v>40465</v>
      </c>
      <c r="B5587" s="66">
        <v>874.33400000000006</v>
      </c>
      <c r="C5587" s="67"/>
      <c r="D5587" s="68">
        <v>0</v>
      </c>
      <c r="E5587" s="110">
        <f t="shared" si="89"/>
        <v>48737</v>
      </c>
      <c r="F5587" s="69">
        <v>1.276387798218892E-2</v>
      </c>
    </row>
    <row r="5588" spans="1:6" x14ac:dyDescent="0.3">
      <c r="A5588" s="24">
        <v>40466</v>
      </c>
      <c r="B5588" s="66">
        <v>874.33400000000006</v>
      </c>
      <c r="C5588" s="67"/>
      <c r="D5588" s="68">
        <v>0</v>
      </c>
      <c r="E5588" s="110">
        <f t="shared" si="89"/>
        <v>48737</v>
      </c>
      <c r="F5588" s="69">
        <v>1.276387798218892E-2</v>
      </c>
    </row>
    <row r="5589" spans="1:6" x14ac:dyDescent="0.3">
      <c r="A5589" s="24">
        <v>40467</v>
      </c>
      <c r="B5589" s="66">
        <v>874.33400000000006</v>
      </c>
      <c r="C5589" s="67"/>
      <c r="D5589" s="68">
        <v>0</v>
      </c>
      <c r="E5589" s="110">
        <f t="shared" si="89"/>
        <v>48737</v>
      </c>
      <c r="F5589" s="69">
        <v>1.276387798218892E-2</v>
      </c>
    </row>
    <row r="5590" spans="1:6" x14ac:dyDescent="0.3">
      <c r="A5590" s="24">
        <v>40468</v>
      </c>
      <c r="B5590" s="66">
        <v>874.33400000000006</v>
      </c>
      <c r="C5590" s="67"/>
      <c r="D5590" s="68">
        <v>0</v>
      </c>
      <c r="E5590" s="110">
        <f t="shared" si="89"/>
        <v>48737</v>
      </c>
      <c r="F5590" s="69">
        <v>1.276387798218892E-2</v>
      </c>
    </row>
    <row r="5591" spans="1:6" x14ac:dyDescent="0.3">
      <c r="A5591" s="24">
        <v>40469</v>
      </c>
      <c r="B5591" s="66">
        <v>874.33400000000006</v>
      </c>
      <c r="C5591" s="67"/>
      <c r="D5591" s="68">
        <v>0</v>
      </c>
      <c r="E5591" s="110">
        <f t="shared" si="89"/>
        <v>48737</v>
      </c>
      <c r="F5591" s="69">
        <v>1.276387798218892E-2</v>
      </c>
    </row>
    <row r="5592" spans="1:6" x14ac:dyDescent="0.3">
      <c r="A5592" s="24">
        <v>40470</v>
      </c>
      <c r="B5592" s="66">
        <v>874.33400000000006</v>
      </c>
      <c r="C5592" s="67"/>
      <c r="D5592" s="68">
        <v>0</v>
      </c>
      <c r="E5592" s="110">
        <f t="shared" si="89"/>
        <v>48737</v>
      </c>
      <c r="F5592" s="69">
        <v>1.276387798218892E-2</v>
      </c>
    </row>
    <row r="5593" spans="1:6" x14ac:dyDescent="0.3">
      <c r="A5593" s="24">
        <v>40471</v>
      </c>
      <c r="B5593" s="66">
        <v>874.33400000000006</v>
      </c>
      <c r="C5593" s="67"/>
      <c r="D5593" s="68">
        <v>0</v>
      </c>
      <c r="E5593" s="110">
        <f t="shared" si="89"/>
        <v>48737</v>
      </c>
      <c r="F5593" s="69">
        <v>1.276387798218892E-2</v>
      </c>
    </row>
    <row r="5594" spans="1:6" x14ac:dyDescent="0.3">
      <c r="A5594" s="24">
        <v>40472</v>
      </c>
      <c r="B5594" s="66">
        <v>874.33400000000006</v>
      </c>
      <c r="C5594" s="67"/>
      <c r="D5594" s="68">
        <v>0</v>
      </c>
      <c r="E5594" s="110">
        <f t="shared" si="89"/>
        <v>48737</v>
      </c>
      <c r="F5594" s="69">
        <v>1.276387798218892E-2</v>
      </c>
    </row>
    <row r="5595" spans="1:6" x14ac:dyDescent="0.3">
      <c r="A5595" s="24">
        <v>40473</v>
      </c>
      <c r="B5595" s="66">
        <v>874.33400000000006</v>
      </c>
      <c r="C5595" s="67"/>
      <c r="D5595" s="68">
        <v>0</v>
      </c>
      <c r="E5595" s="110">
        <f t="shared" si="89"/>
        <v>48737</v>
      </c>
      <c r="F5595" s="69">
        <v>1.276387798218892E-2</v>
      </c>
    </row>
    <row r="5596" spans="1:6" x14ac:dyDescent="0.3">
      <c r="A5596" s="24">
        <v>40474</v>
      </c>
      <c r="B5596" s="66">
        <v>874.33400000000006</v>
      </c>
      <c r="C5596" s="67"/>
      <c r="D5596" s="68">
        <v>0</v>
      </c>
      <c r="E5596" s="110">
        <f t="shared" si="89"/>
        <v>48737</v>
      </c>
      <c r="F5596" s="69">
        <v>1.276387798218892E-2</v>
      </c>
    </row>
    <row r="5597" spans="1:6" x14ac:dyDescent="0.3">
      <c r="A5597" s="24">
        <v>40475</v>
      </c>
      <c r="B5597" s="66">
        <v>874.33400000000006</v>
      </c>
      <c r="C5597" s="67"/>
      <c r="D5597" s="68">
        <v>0</v>
      </c>
      <c r="E5597" s="110">
        <f t="shared" si="89"/>
        <v>48737</v>
      </c>
      <c r="F5597" s="69">
        <v>1.276387798218892E-2</v>
      </c>
    </row>
    <row r="5598" spans="1:6" x14ac:dyDescent="0.3">
      <c r="A5598" s="24">
        <v>40476</v>
      </c>
      <c r="B5598" s="66">
        <v>874.33400000000006</v>
      </c>
      <c r="C5598" s="67"/>
      <c r="D5598" s="68">
        <v>0</v>
      </c>
      <c r="E5598" s="110">
        <f t="shared" si="89"/>
        <v>48737</v>
      </c>
      <c r="F5598" s="69">
        <v>1.276387798218892E-2</v>
      </c>
    </row>
    <row r="5599" spans="1:6" x14ac:dyDescent="0.3">
      <c r="A5599" s="24">
        <v>40477</v>
      </c>
      <c r="B5599" s="66">
        <v>874.33400000000006</v>
      </c>
      <c r="C5599" s="67"/>
      <c r="D5599" s="68">
        <v>0</v>
      </c>
      <c r="E5599" s="110">
        <f t="shared" si="89"/>
        <v>48737</v>
      </c>
      <c r="F5599" s="69">
        <v>1.276387798218892E-2</v>
      </c>
    </row>
    <row r="5600" spans="1:6" x14ac:dyDescent="0.3">
      <c r="A5600" s="24">
        <v>40478</v>
      </c>
      <c r="B5600" s="66">
        <v>874.33400000000006</v>
      </c>
      <c r="C5600" s="67"/>
      <c r="D5600" s="68">
        <v>0</v>
      </c>
      <c r="E5600" s="110">
        <f t="shared" si="89"/>
        <v>48737</v>
      </c>
      <c r="F5600" s="69">
        <v>1.276387798218892E-2</v>
      </c>
    </row>
    <row r="5601" spans="1:6" x14ac:dyDescent="0.3">
      <c r="A5601" s="24">
        <v>40479</v>
      </c>
      <c r="B5601" s="66">
        <v>874.33400000000006</v>
      </c>
      <c r="C5601" s="67"/>
      <c r="D5601" s="68">
        <v>0</v>
      </c>
      <c r="E5601" s="110">
        <f t="shared" si="89"/>
        <v>48737</v>
      </c>
      <c r="F5601" s="69">
        <v>1.276387798218892E-2</v>
      </c>
    </row>
    <row r="5602" spans="1:6" x14ac:dyDescent="0.3">
      <c r="A5602" s="24">
        <v>40480</v>
      </c>
      <c r="B5602" s="66">
        <v>874.33400000000006</v>
      </c>
      <c r="C5602" s="67"/>
      <c r="D5602" s="68">
        <v>0</v>
      </c>
      <c r="E5602" s="110">
        <f t="shared" si="89"/>
        <v>48737</v>
      </c>
      <c r="F5602" s="69">
        <v>1.276387798218892E-2</v>
      </c>
    </row>
    <row r="5603" spans="1:6" x14ac:dyDescent="0.3">
      <c r="A5603" s="24">
        <v>40481</v>
      </c>
      <c r="B5603" s="66">
        <v>874.33400000000006</v>
      </c>
      <c r="C5603" s="67"/>
      <c r="D5603" s="68">
        <v>0</v>
      </c>
      <c r="E5603" s="110">
        <f t="shared" si="89"/>
        <v>48737</v>
      </c>
      <c r="F5603" s="69">
        <v>1.276387798218892E-2</v>
      </c>
    </row>
    <row r="5604" spans="1:6" x14ac:dyDescent="0.3">
      <c r="A5604" s="24">
        <v>40482</v>
      </c>
      <c r="B5604" s="66">
        <v>874.33400000000006</v>
      </c>
      <c r="C5604" s="67"/>
      <c r="D5604" s="68">
        <v>0</v>
      </c>
      <c r="E5604" s="110">
        <f t="shared" si="89"/>
        <v>48737</v>
      </c>
      <c r="F5604" s="69">
        <v>1.276387798218892E-2</v>
      </c>
    </row>
    <row r="5605" spans="1:6" x14ac:dyDescent="0.3">
      <c r="A5605" s="24">
        <v>40483</v>
      </c>
      <c r="B5605" s="66">
        <v>874.33400000000006</v>
      </c>
      <c r="C5605" s="67"/>
      <c r="D5605" s="68">
        <v>0</v>
      </c>
      <c r="E5605" s="110">
        <f t="shared" si="89"/>
        <v>48737</v>
      </c>
      <c r="F5605" s="69">
        <v>1.276387798218892E-2</v>
      </c>
    </row>
    <row r="5606" spans="1:6" x14ac:dyDescent="0.3">
      <c r="A5606" s="24">
        <v>40484</v>
      </c>
      <c r="B5606" s="66">
        <v>874.33400000000006</v>
      </c>
      <c r="C5606" s="67"/>
      <c r="D5606" s="68">
        <v>0</v>
      </c>
      <c r="E5606" s="110">
        <f t="shared" si="89"/>
        <v>48737</v>
      </c>
      <c r="F5606" s="69">
        <v>1.276387798218892E-2</v>
      </c>
    </row>
    <row r="5607" spans="1:6" x14ac:dyDescent="0.3">
      <c r="A5607" s="24">
        <v>40485</v>
      </c>
      <c r="B5607" s="66">
        <v>874.33400000000006</v>
      </c>
      <c r="C5607" s="67"/>
      <c r="D5607" s="68">
        <v>0</v>
      </c>
      <c r="E5607" s="110">
        <f t="shared" si="89"/>
        <v>48737</v>
      </c>
      <c r="F5607" s="69">
        <v>1.276387798218892E-2</v>
      </c>
    </row>
    <row r="5608" spans="1:6" x14ac:dyDescent="0.3">
      <c r="A5608" s="24">
        <v>40486</v>
      </c>
      <c r="B5608" s="66">
        <v>874.33400000000006</v>
      </c>
      <c r="C5608" s="67"/>
      <c r="D5608" s="68">
        <v>0</v>
      </c>
      <c r="E5608" s="110">
        <f t="shared" si="89"/>
        <v>48737</v>
      </c>
      <c r="F5608" s="69">
        <v>1.276387798218892E-2</v>
      </c>
    </row>
    <row r="5609" spans="1:6" x14ac:dyDescent="0.3">
      <c r="A5609" s="24">
        <v>40487</v>
      </c>
      <c r="B5609" s="66">
        <v>874.33400000000006</v>
      </c>
      <c r="C5609" s="67"/>
      <c r="D5609" s="68">
        <v>0</v>
      </c>
      <c r="E5609" s="110">
        <f t="shared" si="89"/>
        <v>48737</v>
      </c>
      <c r="F5609" s="69">
        <v>1.276387798218892E-2</v>
      </c>
    </row>
    <row r="5610" spans="1:6" x14ac:dyDescent="0.3">
      <c r="A5610" s="24">
        <v>40488</v>
      </c>
      <c r="B5610" s="66">
        <v>874.33400000000006</v>
      </c>
      <c r="C5610" s="67"/>
      <c r="D5610" s="68">
        <v>0</v>
      </c>
      <c r="E5610" s="110">
        <f t="shared" si="89"/>
        <v>48737</v>
      </c>
      <c r="F5610" s="69">
        <v>1.276387798218892E-2</v>
      </c>
    </row>
    <row r="5611" spans="1:6" x14ac:dyDescent="0.3">
      <c r="A5611" s="24">
        <v>40489</v>
      </c>
      <c r="B5611" s="66">
        <v>874.33400000000006</v>
      </c>
      <c r="C5611" s="67"/>
      <c r="D5611" s="68">
        <v>0</v>
      </c>
      <c r="E5611" s="110">
        <f t="shared" si="89"/>
        <v>48737</v>
      </c>
      <c r="F5611" s="69">
        <v>1.276387798218892E-2</v>
      </c>
    </row>
    <row r="5612" spans="1:6" x14ac:dyDescent="0.3">
      <c r="A5612" s="24">
        <v>40490</v>
      </c>
      <c r="B5612" s="66">
        <v>874.33400000000006</v>
      </c>
      <c r="C5612" s="67"/>
      <c r="D5612" s="68">
        <v>0</v>
      </c>
      <c r="E5612" s="110">
        <f t="shared" si="89"/>
        <v>48737</v>
      </c>
      <c r="F5612" s="69">
        <v>1.276387798218892E-2</v>
      </c>
    </row>
    <row r="5613" spans="1:6" x14ac:dyDescent="0.3">
      <c r="A5613" s="24">
        <v>40491</v>
      </c>
      <c r="B5613" s="66">
        <v>874.33400000000006</v>
      </c>
      <c r="C5613" s="67"/>
      <c r="D5613" s="68">
        <v>0</v>
      </c>
      <c r="E5613" s="110">
        <f t="shared" si="89"/>
        <v>48737</v>
      </c>
      <c r="F5613" s="69">
        <v>1.276387798218892E-2</v>
      </c>
    </row>
    <row r="5614" spans="1:6" x14ac:dyDescent="0.3">
      <c r="A5614" s="24">
        <v>40492</v>
      </c>
      <c r="B5614" s="66">
        <v>874.33400000000006</v>
      </c>
      <c r="C5614" s="67"/>
      <c r="D5614" s="68">
        <v>0</v>
      </c>
      <c r="E5614" s="110">
        <f t="shared" si="89"/>
        <v>48737</v>
      </c>
      <c r="F5614" s="69">
        <v>1.276387798218892E-2</v>
      </c>
    </row>
    <row r="5615" spans="1:6" x14ac:dyDescent="0.3">
      <c r="A5615" s="24">
        <v>40493</v>
      </c>
      <c r="B5615" s="66">
        <v>874.33400000000006</v>
      </c>
      <c r="C5615" s="67"/>
      <c r="D5615" s="68">
        <v>0</v>
      </c>
      <c r="E5615" s="110">
        <f t="shared" si="89"/>
        <v>48737</v>
      </c>
      <c r="F5615" s="69">
        <v>1.276387798218892E-2</v>
      </c>
    </row>
    <row r="5616" spans="1:6" x14ac:dyDescent="0.3">
      <c r="A5616" s="24">
        <v>40494</v>
      </c>
      <c r="B5616" s="66">
        <v>874.33400000000006</v>
      </c>
      <c r="C5616" s="67"/>
      <c r="D5616" s="68">
        <v>0</v>
      </c>
      <c r="E5616" s="110">
        <f t="shared" si="89"/>
        <v>48737</v>
      </c>
      <c r="F5616" s="69">
        <v>1.276387798218892E-2</v>
      </c>
    </row>
    <row r="5617" spans="1:6" x14ac:dyDescent="0.3">
      <c r="A5617" s="24">
        <v>40495</v>
      </c>
      <c r="B5617" s="66">
        <v>874.33400000000006</v>
      </c>
      <c r="C5617" s="67"/>
      <c r="D5617" s="68">
        <v>0</v>
      </c>
      <c r="E5617" s="110">
        <f t="shared" si="89"/>
        <v>48737</v>
      </c>
      <c r="F5617" s="69">
        <v>1.276387798218892E-2</v>
      </c>
    </row>
    <row r="5618" spans="1:6" x14ac:dyDescent="0.3">
      <c r="A5618" s="24">
        <v>40496</v>
      </c>
      <c r="B5618" s="66">
        <v>874.33400000000006</v>
      </c>
      <c r="C5618" s="67"/>
      <c r="D5618" s="68">
        <v>0</v>
      </c>
      <c r="E5618" s="110">
        <f t="shared" si="89"/>
        <v>48737</v>
      </c>
      <c r="F5618" s="69">
        <v>1.276387798218892E-2</v>
      </c>
    </row>
    <row r="5619" spans="1:6" x14ac:dyDescent="0.3">
      <c r="A5619" s="24">
        <v>40497</v>
      </c>
      <c r="B5619" s="66">
        <v>874.33400000000006</v>
      </c>
      <c r="C5619" s="67"/>
      <c r="D5619" s="68">
        <v>0</v>
      </c>
      <c r="E5619" s="110">
        <f t="shared" si="89"/>
        <v>48737</v>
      </c>
      <c r="F5619" s="69">
        <v>1.276387798218892E-2</v>
      </c>
    </row>
    <row r="5620" spans="1:6" x14ac:dyDescent="0.3">
      <c r="A5620" s="24">
        <v>40498</v>
      </c>
      <c r="B5620" s="66">
        <v>874.33400000000006</v>
      </c>
      <c r="C5620" s="67"/>
      <c r="D5620" s="68">
        <v>0</v>
      </c>
      <c r="E5620" s="110">
        <f t="shared" si="89"/>
        <v>48737</v>
      </c>
      <c r="F5620" s="69">
        <v>1.276387798218892E-2</v>
      </c>
    </row>
    <row r="5621" spans="1:6" x14ac:dyDescent="0.3">
      <c r="A5621" s="24">
        <v>40499</v>
      </c>
      <c r="B5621" s="66">
        <v>874.33400000000006</v>
      </c>
      <c r="C5621" s="67"/>
      <c r="D5621" s="68">
        <v>0</v>
      </c>
      <c r="E5621" s="110">
        <f t="shared" si="89"/>
        <v>48737</v>
      </c>
      <c r="F5621" s="69">
        <v>1.276387798218892E-2</v>
      </c>
    </row>
    <row r="5622" spans="1:6" x14ac:dyDescent="0.3">
      <c r="A5622" s="24">
        <v>40500</v>
      </c>
      <c r="B5622" s="66">
        <v>874.33400000000006</v>
      </c>
      <c r="C5622" s="67"/>
      <c r="D5622" s="68">
        <v>0</v>
      </c>
      <c r="E5622" s="110">
        <f t="shared" si="89"/>
        <v>48737</v>
      </c>
      <c r="F5622" s="69">
        <v>1.276387798218892E-2</v>
      </c>
    </row>
    <row r="5623" spans="1:6" x14ac:dyDescent="0.3">
      <c r="A5623" s="24">
        <v>40501</v>
      </c>
      <c r="B5623" s="66">
        <v>874.33400000000006</v>
      </c>
      <c r="C5623" s="67"/>
      <c r="D5623" s="68">
        <v>0</v>
      </c>
      <c r="E5623" s="110">
        <f t="shared" si="89"/>
        <v>48737</v>
      </c>
      <c r="F5623" s="69">
        <v>1.276387798218892E-2</v>
      </c>
    </row>
    <row r="5624" spans="1:6" x14ac:dyDescent="0.3">
      <c r="A5624" s="24">
        <v>40502</v>
      </c>
      <c r="B5624" s="66">
        <v>874.33400000000006</v>
      </c>
      <c r="C5624" s="67"/>
      <c r="D5624" s="68">
        <v>0</v>
      </c>
      <c r="E5624" s="110">
        <f t="shared" si="89"/>
        <v>48737</v>
      </c>
      <c r="F5624" s="69">
        <v>1.276387798218892E-2</v>
      </c>
    </row>
    <row r="5625" spans="1:6" x14ac:dyDescent="0.3">
      <c r="A5625" s="24">
        <v>40503</v>
      </c>
      <c r="B5625" s="66">
        <v>874.33400000000006</v>
      </c>
      <c r="C5625" s="67"/>
      <c r="D5625" s="68">
        <v>0</v>
      </c>
      <c r="E5625" s="110">
        <f t="shared" si="89"/>
        <v>48737</v>
      </c>
      <c r="F5625" s="69">
        <v>1.276387798218892E-2</v>
      </c>
    </row>
    <row r="5626" spans="1:6" x14ac:dyDescent="0.3">
      <c r="A5626" s="24">
        <v>40504</v>
      </c>
      <c r="B5626" s="66">
        <v>874.33400000000006</v>
      </c>
      <c r="C5626" s="67"/>
      <c r="D5626" s="68">
        <v>0</v>
      </c>
      <c r="E5626" s="110">
        <f t="shared" si="89"/>
        <v>48737</v>
      </c>
      <c r="F5626" s="69">
        <v>1.276387798218892E-2</v>
      </c>
    </row>
    <row r="5627" spans="1:6" x14ac:dyDescent="0.3">
      <c r="A5627" s="24">
        <v>40505</v>
      </c>
      <c r="B5627" s="66">
        <v>874.33400000000006</v>
      </c>
      <c r="C5627" s="67"/>
      <c r="D5627" s="68">
        <v>0</v>
      </c>
      <c r="E5627" s="110">
        <f t="shared" si="89"/>
        <v>48737</v>
      </c>
      <c r="F5627" s="69">
        <v>1.276387798218892E-2</v>
      </c>
    </row>
    <row r="5628" spans="1:6" x14ac:dyDescent="0.3">
      <c r="A5628" s="24">
        <v>40506</v>
      </c>
      <c r="B5628" s="66">
        <v>874.33400000000006</v>
      </c>
      <c r="C5628" s="67"/>
      <c r="D5628" s="68">
        <v>0</v>
      </c>
      <c r="E5628" s="110">
        <f t="shared" si="89"/>
        <v>48737</v>
      </c>
      <c r="F5628" s="69">
        <v>1.276387798218892E-2</v>
      </c>
    </row>
    <row r="5629" spans="1:6" x14ac:dyDescent="0.3">
      <c r="A5629" s="24">
        <v>40507</v>
      </c>
      <c r="B5629" s="66">
        <v>874.33400000000006</v>
      </c>
      <c r="C5629" s="67"/>
      <c r="D5629" s="68">
        <v>0</v>
      </c>
      <c r="E5629" s="110">
        <f t="shared" si="89"/>
        <v>48737</v>
      </c>
      <c r="F5629" s="69">
        <v>1.276387798218892E-2</v>
      </c>
    </row>
    <row r="5630" spans="1:6" x14ac:dyDescent="0.3">
      <c r="A5630" s="24">
        <v>40508</v>
      </c>
      <c r="B5630" s="66">
        <v>874.33400000000006</v>
      </c>
      <c r="C5630" s="67"/>
      <c r="D5630" s="68">
        <v>0</v>
      </c>
      <c r="E5630" s="110">
        <f t="shared" si="89"/>
        <v>48737</v>
      </c>
      <c r="F5630" s="69">
        <v>1.276387798218892E-2</v>
      </c>
    </row>
    <row r="5631" spans="1:6" x14ac:dyDescent="0.3">
      <c r="A5631" s="24">
        <v>40509</v>
      </c>
      <c r="B5631" s="66">
        <v>874.33400000000006</v>
      </c>
      <c r="C5631" s="67"/>
      <c r="D5631" s="68">
        <v>0</v>
      </c>
      <c r="E5631" s="110">
        <f t="shared" si="89"/>
        <v>48737</v>
      </c>
      <c r="F5631" s="69">
        <v>1.276387798218892E-2</v>
      </c>
    </row>
    <row r="5632" spans="1:6" x14ac:dyDescent="0.3">
      <c r="A5632" s="24">
        <v>40510</v>
      </c>
      <c r="B5632" s="66">
        <v>874.33400000000006</v>
      </c>
      <c r="C5632" s="67"/>
      <c r="D5632" s="68">
        <v>0</v>
      </c>
      <c r="E5632" s="110">
        <f t="shared" si="89"/>
        <v>48737</v>
      </c>
      <c r="F5632" s="69">
        <v>1.276387798218892E-2</v>
      </c>
    </row>
    <row r="5633" spans="1:6" x14ac:dyDescent="0.3">
      <c r="A5633" s="24">
        <v>40511</v>
      </c>
      <c r="B5633" s="66">
        <v>874.33400000000006</v>
      </c>
      <c r="C5633" s="67"/>
      <c r="D5633" s="68">
        <v>0</v>
      </c>
      <c r="E5633" s="110">
        <f t="shared" si="89"/>
        <v>48737</v>
      </c>
      <c r="F5633" s="69">
        <v>1.276387798218892E-2</v>
      </c>
    </row>
    <row r="5634" spans="1:6" x14ac:dyDescent="0.3">
      <c r="A5634" s="24">
        <v>40512</v>
      </c>
      <c r="B5634" s="66">
        <v>874.33400000000006</v>
      </c>
      <c r="C5634" s="67"/>
      <c r="D5634" s="68">
        <v>0</v>
      </c>
      <c r="E5634" s="110">
        <f t="shared" si="89"/>
        <v>48737</v>
      </c>
      <c r="F5634" s="69">
        <v>1.276387798218892E-2</v>
      </c>
    </row>
    <row r="5635" spans="1:6" x14ac:dyDescent="0.3">
      <c r="A5635" s="24">
        <v>40513</v>
      </c>
      <c r="B5635" s="66">
        <v>874.33400000000006</v>
      </c>
      <c r="C5635" s="67"/>
      <c r="D5635" s="68">
        <v>0</v>
      </c>
      <c r="E5635" s="110">
        <f t="shared" si="89"/>
        <v>48737</v>
      </c>
      <c r="F5635" s="69">
        <v>1.276387798218892E-2</v>
      </c>
    </row>
    <row r="5636" spans="1:6" x14ac:dyDescent="0.3">
      <c r="A5636" s="24">
        <v>40514</v>
      </c>
      <c r="B5636" s="66">
        <v>874.33400000000006</v>
      </c>
      <c r="C5636" s="67"/>
      <c r="D5636" s="68">
        <v>0</v>
      </c>
      <c r="E5636" s="110">
        <f t="shared" si="89"/>
        <v>48737</v>
      </c>
      <c r="F5636" s="69">
        <v>1.276387798218892E-2</v>
      </c>
    </row>
    <row r="5637" spans="1:6" x14ac:dyDescent="0.3">
      <c r="A5637" s="24">
        <v>40515</v>
      </c>
      <c r="B5637" s="66">
        <v>874.33400000000006</v>
      </c>
      <c r="C5637" s="67"/>
      <c r="D5637" s="68">
        <v>0</v>
      </c>
      <c r="E5637" s="110">
        <f t="shared" si="89"/>
        <v>48737</v>
      </c>
      <c r="F5637" s="69">
        <v>1.276387798218892E-2</v>
      </c>
    </row>
    <row r="5638" spans="1:6" x14ac:dyDescent="0.3">
      <c r="A5638" s="24">
        <v>40516</v>
      </c>
      <c r="B5638" s="66">
        <v>874.33400000000006</v>
      </c>
      <c r="C5638" s="67"/>
      <c r="D5638" s="68">
        <v>0</v>
      </c>
      <c r="E5638" s="110">
        <f t="shared" ref="E5638:E5701" si="90">+E5637</f>
        <v>48737</v>
      </c>
      <c r="F5638" s="69">
        <v>1.276387798218892E-2</v>
      </c>
    </row>
    <row r="5639" spans="1:6" x14ac:dyDescent="0.3">
      <c r="A5639" s="24">
        <v>40517</v>
      </c>
      <c r="B5639" s="66">
        <v>874.33400000000006</v>
      </c>
      <c r="C5639" s="67"/>
      <c r="D5639" s="68">
        <v>0</v>
      </c>
      <c r="E5639" s="110">
        <f t="shared" si="90"/>
        <v>48737</v>
      </c>
      <c r="F5639" s="69">
        <v>1.276387798218892E-2</v>
      </c>
    </row>
    <row r="5640" spans="1:6" x14ac:dyDescent="0.3">
      <c r="A5640" s="24">
        <v>40518</v>
      </c>
      <c r="B5640" s="66">
        <v>874.33400000000006</v>
      </c>
      <c r="C5640" s="67"/>
      <c r="D5640" s="68">
        <v>0</v>
      </c>
      <c r="E5640" s="110">
        <f t="shared" si="90"/>
        <v>48737</v>
      </c>
      <c r="F5640" s="69">
        <v>1.276387798218892E-2</v>
      </c>
    </row>
    <row r="5641" spans="1:6" x14ac:dyDescent="0.3">
      <c r="A5641" s="24">
        <v>40519</v>
      </c>
      <c r="B5641" s="66">
        <v>874.33400000000006</v>
      </c>
      <c r="C5641" s="67"/>
      <c r="D5641" s="68">
        <v>0</v>
      </c>
      <c r="E5641" s="110">
        <f t="shared" si="90"/>
        <v>48737</v>
      </c>
      <c r="F5641" s="69">
        <v>1.276387798218892E-2</v>
      </c>
    </row>
    <row r="5642" spans="1:6" x14ac:dyDescent="0.3">
      <c r="A5642" s="24">
        <v>40520</v>
      </c>
      <c r="B5642" s="66">
        <v>874.33400000000006</v>
      </c>
      <c r="C5642" s="67"/>
      <c r="D5642" s="68">
        <v>0</v>
      </c>
      <c r="E5642" s="110">
        <f t="shared" si="90"/>
        <v>48737</v>
      </c>
      <c r="F5642" s="69">
        <v>1.276387798218892E-2</v>
      </c>
    </row>
    <row r="5643" spans="1:6" x14ac:dyDescent="0.3">
      <c r="A5643" s="24">
        <v>40521</v>
      </c>
      <c r="B5643" s="66">
        <v>874.33400000000006</v>
      </c>
      <c r="C5643" s="67"/>
      <c r="D5643" s="68">
        <v>0</v>
      </c>
      <c r="E5643" s="110">
        <f t="shared" si="90"/>
        <v>48737</v>
      </c>
      <c r="F5643" s="69">
        <v>1.276387798218892E-2</v>
      </c>
    </row>
    <row r="5644" spans="1:6" x14ac:dyDescent="0.3">
      <c r="A5644" s="24">
        <v>40522</v>
      </c>
      <c r="B5644" s="66">
        <v>874.33400000000006</v>
      </c>
      <c r="C5644" s="67"/>
      <c r="D5644" s="68">
        <v>0</v>
      </c>
      <c r="E5644" s="110">
        <f t="shared" si="90"/>
        <v>48737</v>
      </c>
      <c r="F5644" s="69">
        <v>1.276387798218892E-2</v>
      </c>
    </row>
    <row r="5645" spans="1:6" x14ac:dyDescent="0.3">
      <c r="A5645" s="24">
        <v>40523</v>
      </c>
      <c r="B5645" s="66">
        <v>874.33400000000006</v>
      </c>
      <c r="C5645" s="67"/>
      <c r="D5645" s="68">
        <v>0</v>
      </c>
      <c r="E5645" s="110">
        <f t="shared" si="90"/>
        <v>48737</v>
      </c>
      <c r="F5645" s="69">
        <v>1.276387798218892E-2</v>
      </c>
    </row>
    <row r="5646" spans="1:6" x14ac:dyDescent="0.3">
      <c r="A5646" s="24">
        <v>40524</v>
      </c>
      <c r="B5646" s="66">
        <v>874.33400000000006</v>
      </c>
      <c r="C5646" s="67"/>
      <c r="D5646" s="68">
        <v>0</v>
      </c>
      <c r="E5646" s="110">
        <f t="shared" si="90"/>
        <v>48737</v>
      </c>
      <c r="F5646" s="69">
        <v>1.276387798218892E-2</v>
      </c>
    </row>
    <row r="5647" spans="1:6" x14ac:dyDescent="0.3">
      <c r="A5647" s="24">
        <v>40525</v>
      </c>
      <c r="B5647" s="66">
        <v>874.33400000000006</v>
      </c>
      <c r="C5647" s="67"/>
      <c r="D5647" s="68">
        <v>0</v>
      </c>
      <c r="E5647" s="110">
        <f t="shared" si="90"/>
        <v>48737</v>
      </c>
      <c r="F5647" s="69">
        <v>1.276387798218892E-2</v>
      </c>
    </row>
    <row r="5648" spans="1:6" x14ac:dyDescent="0.3">
      <c r="A5648" s="24">
        <v>40526</v>
      </c>
      <c r="B5648" s="66">
        <v>874.33400000000006</v>
      </c>
      <c r="C5648" s="67"/>
      <c r="D5648" s="68">
        <v>0</v>
      </c>
      <c r="E5648" s="110">
        <f t="shared" si="90"/>
        <v>48737</v>
      </c>
      <c r="F5648" s="69">
        <v>1.276387798218892E-2</v>
      </c>
    </row>
    <row r="5649" spans="1:6" x14ac:dyDescent="0.3">
      <c r="A5649" s="24">
        <v>40527</v>
      </c>
      <c r="B5649" s="66">
        <v>874.33400000000006</v>
      </c>
      <c r="C5649" s="67"/>
      <c r="D5649" s="68">
        <v>0</v>
      </c>
      <c r="E5649" s="110">
        <f t="shared" si="90"/>
        <v>48737</v>
      </c>
      <c r="F5649" s="69">
        <v>1.276387798218892E-2</v>
      </c>
    </row>
    <row r="5650" spans="1:6" x14ac:dyDescent="0.3">
      <c r="A5650" s="24">
        <v>40528</v>
      </c>
      <c r="B5650" s="66">
        <v>874.33400000000006</v>
      </c>
      <c r="C5650" s="67"/>
      <c r="D5650" s="68">
        <v>0</v>
      </c>
      <c r="E5650" s="110">
        <f t="shared" si="90"/>
        <v>48737</v>
      </c>
      <c r="F5650" s="69">
        <v>1.276387798218892E-2</v>
      </c>
    </row>
    <row r="5651" spans="1:6" x14ac:dyDescent="0.3">
      <c r="A5651" s="24">
        <v>40529</v>
      </c>
      <c r="B5651" s="66">
        <v>874.33400000000006</v>
      </c>
      <c r="C5651" s="67"/>
      <c r="D5651" s="68">
        <v>0</v>
      </c>
      <c r="E5651" s="110">
        <f t="shared" si="90"/>
        <v>48737</v>
      </c>
      <c r="F5651" s="69">
        <v>1.276387798218892E-2</v>
      </c>
    </row>
    <row r="5652" spans="1:6" x14ac:dyDescent="0.3">
      <c r="A5652" s="24">
        <v>40530</v>
      </c>
      <c r="B5652" s="66">
        <v>874.33400000000006</v>
      </c>
      <c r="C5652" s="67"/>
      <c r="D5652" s="68">
        <v>0</v>
      </c>
      <c r="E5652" s="110">
        <f t="shared" si="90"/>
        <v>48737</v>
      </c>
      <c r="F5652" s="69">
        <v>1.276387798218892E-2</v>
      </c>
    </row>
    <row r="5653" spans="1:6" x14ac:dyDescent="0.3">
      <c r="A5653" s="24">
        <v>40531</v>
      </c>
      <c r="B5653" s="66">
        <v>874.33400000000006</v>
      </c>
      <c r="C5653" s="67"/>
      <c r="D5653" s="68">
        <v>0</v>
      </c>
      <c r="E5653" s="110">
        <f t="shared" si="90"/>
        <v>48737</v>
      </c>
      <c r="F5653" s="69">
        <v>1.276387798218892E-2</v>
      </c>
    </row>
    <row r="5654" spans="1:6" x14ac:dyDescent="0.3">
      <c r="A5654" s="24">
        <v>40532</v>
      </c>
      <c r="B5654" s="66">
        <v>874.33400000000006</v>
      </c>
      <c r="C5654" s="67"/>
      <c r="D5654" s="68">
        <v>0</v>
      </c>
      <c r="E5654" s="110">
        <f t="shared" si="90"/>
        <v>48737</v>
      </c>
      <c r="F5654" s="69">
        <v>1.276387798218892E-2</v>
      </c>
    </row>
    <row r="5655" spans="1:6" x14ac:dyDescent="0.3">
      <c r="A5655" s="24">
        <v>40533</v>
      </c>
      <c r="B5655" s="66">
        <v>874.33400000000006</v>
      </c>
      <c r="C5655" s="67"/>
      <c r="D5655" s="68">
        <v>0</v>
      </c>
      <c r="E5655" s="110">
        <f t="shared" si="90"/>
        <v>48737</v>
      </c>
      <c r="F5655" s="69">
        <v>1.276387798218892E-2</v>
      </c>
    </row>
    <row r="5656" spans="1:6" x14ac:dyDescent="0.3">
      <c r="A5656" s="24">
        <v>40534</v>
      </c>
      <c r="B5656" s="66">
        <v>874.33400000000006</v>
      </c>
      <c r="C5656" s="67"/>
      <c r="D5656" s="68">
        <v>0</v>
      </c>
      <c r="E5656" s="110">
        <f t="shared" si="90"/>
        <v>48737</v>
      </c>
      <c r="F5656" s="69">
        <v>1.276387798218892E-2</v>
      </c>
    </row>
    <row r="5657" spans="1:6" x14ac:dyDescent="0.3">
      <c r="A5657" s="24">
        <v>40535</v>
      </c>
      <c r="B5657" s="66">
        <v>874.33400000000006</v>
      </c>
      <c r="C5657" s="67"/>
      <c r="D5657" s="68">
        <v>0</v>
      </c>
      <c r="E5657" s="110">
        <f t="shared" si="90"/>
        <v>48737</v>
      </c>
      <c r="F5657" s="69">
        <v>1.276387798218892E-2</v>
      </c>
    </row>
    <row r="5658" spans="1:6" x14ac:dyDescent="0.3">
      <c r="A5658" s="24">
        <v>40536</v>
      </c>
      <c r="B5658" s="66">
        <v>874.33400000000006</v>
      </c>
      <c r="C5658" s="67"/>
      <c r="D5658" s="68">
        <v>0</v>
      </c>
      <c r="E5658" s="110">
        <f t="shared" si="90"/>
        <v>48737</v>
      </c>
      <c r="F5658" s="69">
        <v>1.276387798218892E-2</v>
      </c>
    </row>
    <row r="5659" spans="1:6" x14ac:dyDescent="0.3">
      <c r="A5659" s="24">
        <v>40537</v>
      </c>
      <c r="B5659" s="66">
        <v>874.33400000000006</v>
      </c>
      <c r="C5659" s="67"/>
      <c r="D5659" s="68">
        <v>0</v>
      </c>
      <c r="E5659" s="110">
        <f t="shared" si="90"/>
        <v>48737</v>
      </c>
      <c r="F5659" s="69">
        <v>1.276387798218892E-2</v>
      </c>
    </row>
    <row r="5660" spans="1:6" x14ac:dyDescent="0.3">
      <c r="A5660" s="24">
        <v>40538</v>
      </c>
      <c r="B5660" s="66">
        <v>874.33400000000006</v>
      </c>
      <c r="C5660" s="67"/>
      <c r="D5660" s="68">
        <v>0</v>
      </c>
      <c r="E5660" s="110">
        <f t="shared" si="90"/>
        <v>48737</v>
      </c>
      <c r="F5660" s="69">
        <v>1.276387798218892E-2</v>
      </c>
    </row>
    <row r="5661" spans="1:6" x14ac:dyDescent="0.3">
      <c r="A5661" s="24">
        <v>40539</v>
      </c>
      <c r="B5661" s="66">
        <v>874.33400000000006</v>
      </c>
      <c r="C5661" s="67"/>
      <c r="D5661" s="68">
        <v>0</v>
      </c>
      <c r="E5661" s="110">
        <f t="shared" si="90"/>
        <v>48737</v>
      </c>
      <c r="F5661" s="69">
        <v>1.276387798218892E-2</v>
      </c>
    </row>
    <row r="5662" spans="1:6" x14ac:dyDescent="0.3">
      <c r="A5662" s="24">
        <v>40540</v>
      </c>
      <c r="B5662" s="66">
        <v>874.33400000000006</v>
      </c>
      <c r="C5662" s="67"/>
      <c r="D5662" s="68">
        <v>0</v>
      </c>
      <c r="E5662" s="110">
        <f t="shared" si="90"/>
        <v>48737</v>
      </c>
      <c r="F5662" s="69">
        <v>1.276387798218892E-2</v>
      </c>
    </row>
    <row r="5663" spans="1:6" x14ac:dyDescent="0.3">
      <c r="A5663" s="24">
        <v>40541</v>
      </c>
      <c r="B5663" s="66">
        <v>874.33400000000006</v>
      </c>
      <c r="C5663" s="67"/>
      <c r="D5663" s="68">
        <v>0</v>
      </c>
      <c r="E5663" s="110">
        <f t="shared" si="90"/>
        <v>48737</v>
      </c>
      <c r="F5663" s="69">
        <v>1.276387798218892E-2</v>
      </c>
    </row>
    <row r="5664" spans="1:6" x14ac:dyDescent="0.3">
      <c r="A5664" s="24">
        <v>40542</v>
      </c>
      <c r="B5664" s="66">
        <v>874.33400000000006</v>
      </c>
      <c r="C5664" s="67"/>
      <c r="D5664" s="68">
        <v>0</v>
      </c>
      <c r="E5664" s="110">
        <f t="shared" si="90"/>
        <v>48737</v>
      </c>
      <c r="F5664" s="69">
        <v>1.2493396347644816E-2</v>
      </c>
    </row>
    <row r="5665" spans="1:6" x14ac:dyDescent="0.3">
      <c r="A5665" s="24">
        <v>40543</v>
      </c>
      <c r="B5665" s="66">
        <v>928.39200000000005</v>
      </c>
      <c r="C5665" s="67"/>
      <c r="D5665" s="68">
        <v>0</v>
      </c>
      <c r="E5665" s="110">
        <f t="shared" si="90"/>
        <v>48737</v>
      </c>
      <c r="F5665" s="69">
        <v>1.2493396347644816E-2</v>
      </c>
    </row>
    <row r="5666" spans="1:6" x14ac:dyDescent="0.3">
      <c r="A5666" s="24">
        <v>40544</v>
      </c>
      <c r="B5666" s="66">
        <v>928.39200000000005</v>
      </c>
      <c r="C5666" s="67"/>
      <c r="D5666" s="68">
        <v>0</v>
      </c>
      <c r="E5666" s="110">
        <f t="shared" si="90"/>
        <v>48737</v>
      </c>
      <c r="F5666" s="69">
        <v>1.2493396347644816E-2</v>
      </c>
    </row>
    <row r="5667" spans="1:6" x14ac:dyDescent="0.3">
      <c r="A5667" s="24">
        <v>40545</v>
      </c>
      <c r="B5667" s="66">
        <v>928.39200000000005</v>
      </c>
      <c r="C5667" s="67"/>
      <c r="D5667" s="68">
        <v>0</v>
      </c>
      <c r="E5667" s="110">
        <f t="shared" si="90"/>
        <v>48737</v>
      </c>
      <c r="F5667" s="69">
        <v>1.2493396347644816E-2</v>
      </c>
    </row>
    <row r="5668" spans="1:6" x14ac:dyDescent="0.3">
      <c r="A5668" s="24">
        <v>40546</v>
      </c>
      <c r="B5668" s="66">
        <v>928.39200000000005</v>
      </c>
      <c r="C5668" s="67"/>
      <c r="D5668" s="68">
        <v>0</v>
      </c>
      <c r="E5668" s="110">
        <f t="shared" si="90"/>
        <v>48737</v>
      </c>
      <c r="F5668" s="69">
        <v>1.2493396347644816E-2</v>
      </c>
    </row>
    <row r="5669" spans="1:6" x14ac:dyDescent="0.3">
      <c r="A5669" s="24">
        <v>40547</v>
      </c>
      <c r="B5669" s="66">
        <v>928.39200000000005</v>
      </c>
      <c r="C5669" s="67"/>
      <c r="D5669" s="68">
        <v>0</v>
      </c>
      <c r="E5669" s="110">
        <f t="shared" si="90"/>
        <v>48737</v>
      </c>
      <c r="F5669" s="69">
        <v>1.2493396347644816E-2</v>
      </c>
    </row>
    <row r="5670" spans="1:6" x14ac:dyDescent="0.3">
      <c r="A5670" s="24">
        <v>40548</v>
      </c>
      <c r="B5670" s="66">
        <v>928.39200000000005</v>
      </c>
      <c r="C5670" s="67"/>
      <c r="D5670" s="68">
        <v>0</v>
      </c>
      <c r="E5670" s="110">
        <f t="shared" si="90"/>
        <v>48737</v>
      </c>
      <c r="F5670" s="69">
        <v>1.2493396347644816E-2</v>
      </c>
    </row>
    <row r="5671" spans="1:6" x14ac:dyDescent="0.3">
      <c r="A5671" s="24">
        <v>40549</v>
      </c>
      <c r="B5671" s="66">
        <v>928.39200000000005</v>
      </c>
      <c r="C5671" s="67"/>
      <c r="D5671" s="68">
        <v>0</v>
      </c>
      <c r="E5671" s="110">
        <f t="shared" si="90"/>
        <v>48737</v>
      </c>
      <c r="F5671" s="69">
        <v>1.2493396347644816E-2</v>
      </c>
    </row>
    <row r="5672" spans="1:6" x14ac:dyDescent="0.3">
      <c r="A5672" s="24">
        <v>40550</v>
      </c>
      <c r="B5672" s="66">
        <v>928.39200000000005</v>
      </c>
      <c r="C5672" s="67"/>
      <c r="D5672" s="68">
        <v>0</v>
      </c>
      <c r="E5672" s="110">
        <f t="shared" si="90"/>
        <v>48737</v>
      </c>
      <c r="F5672" s="69">
        <v>1.2493396347644816E-2</v>
      </c>
    </row>
    <row r="5673" spans="1:6" x14ac:dyDescent="0.3">
      <c r="A5673" s="24">
        <v>40551</v>
      </c>
      <c r="B5673" s="66">
        <v>928.39200000000005</v>
      </c>
      <c r="C5673" s="67"/>
      <c r="D5673" s="68">
        <v>0</v>
      </c>
      <c r="E5673" s="110">
        <f t="shared" si="90"/>
        <v>48737</v>
      </c>
      <c r="F5673" s="69">
        <v>1.2493396347644816E-2</v>
      </c>
    </row>
    <row r="5674" spans="1:6" x14ac:dyDescent="0.3">
      <c r="A5674" s="24">
        <v>40552</v>
      </c>
      <c r="B5674" s="66">
        <v>928.39200000000005</v>
      </c>
      <c r="C5674" s="67"/>
      <c r="D5674" s="68">
        <v>0</v>
      </c>
      <c r="E5674" s="110">
        <f t="shared" si="90"/>
        <v>48737</v>
      </c>
      <c r="F5674" s="69">
        <v>1.2493396347644816E-2</v>
      </c>
    </row>
    <row r="5675" spans="1:6" x14ac:dyDescent="0.3">
      <c r="A5675" s="24">
        <v>40553</v>
      </c>
      <c r="B5675" s="66">
        <v>928.39200000000005</v>
      </c>
      <c r="C5675" s="67"/>
      <c r="D5675" s="68">
        <v>0</v>
      </c>
      <c r="E5675" s="110">
        <f t="shared" si="90"/>
        <v>48737</v>
      </c>
      <c r="F5675" s="69">
        <v>1.2493396347644816E-2</v>
      </c>
    </row>
    <row r="5676" spans="1:6" x14ac:dyDescent="0.3">
      <c r="A5676" s="24">
        <v>40554</v>
      </c>
      <c r="B5676" s="66">
        <v>928.39200000000005</v>
      </c>
      <c r="C5676" s="67"/>
      <c r="D5676" s="68">
        <v>0</v>
      </c>
      <c r="E5676" s="110">
        <f t="shared" si="90"/>
        <v>48737</v>
      </c>
      <c r="F5676" s="69">
        <v>1.2493396347644816E-2</v>
      </c>
    </row>
    <row r="5677" spans="1:6" x14ac:dyDescent="0.3">
      <c r="A5677" s="24">
        <v>40555</v>
      </c>
      <c r="B5677" s="66">
        <v>928.39200000000005</v>
      </c>
      <c r="C5677" s="67"/>
      <c r="D5677" s="68">
        <v>0</v>
      </c>
      <c r="E5677" s="110">
        <f t="shared" si="90"/>
        <v>48737</v>
      </c>
      <c r="F5677" s="69">
        <v>1.2493396347644816E-2</v>
      </c>
    </row>
    <row r="5678" spans="1:6" x14ac:dyDescent="0.3">
      <c r="A5678" s="24">
        <v>40556</v>
      </c>
      <c r="B5678" s="66">
        <v>928.39200000000005</v>
      </c>
      <c r="C5678" s="67"/>
      <c r="D5678" s="68">
        <v>0</v>
      </c>
      <c r="E5678" s="110">
        <f t="shared" si="90"/>
        <v>48737</v>
      </c>
      <c r="F5678" s="69">
        <v>1.2493396347644816E-2</v>
      </c>
    </row>
    <row r="5679" spans="1:6" x14ac:dyDescent="0.3">
      <c r="A5679" s="24">
        <v>40557</v>
      </c>
      <c r="B5679" s="66">
        <v>928.39200000000005</v>
      </c>
      <c r="C5679" s="67"/>
      <c r="D5679" s="68">
        <v>0</v>
      </c>
      <c r="E5679" s="110">
        <f t="shared" si="90"/>
        <v>48737</v>
      </c>
      <c r="F5679" s="69">
        <v>1.2493396347644816E-2</v>
      </c>
    </row>
    <row r="5680" spans="1:6" x14ac:dyDescent="0.3">
      <c r="A5680" s="24">
        <v>40558</v>
      </c>
      <c r="B5680" s="66">
        <v>928.39200000000005</v>
      </c>
      <c r="C5680" s="67"/>
      <c r="D5680" s="68">
        <v>0</v>
      </c>
      <c r="E5680" s="110">
        <f t="shared" si="90"/>
        <v>48737</v>
      </c>
      <c r="F5680" s="69">
        <v>1.2493396347644816E-2</v>
      </c>
    </row>
    <row r="5681" spans="1:6" x14ac:dyDescent="0.3">
      <c r="A5681" s="24">
        <v>40559</v>
      </c>
      <c r="B5681" s="66">
        <v>928.39200000000005</v>
      </c>
      <c r="C5681" s="67"/>
      <c r="D5681" s="68">
        <v>0</v>
      </c>
      <c r="E5681" s="110">
        <f t="shared" si="90"/>
        <v>48737</v>
      </c>
      <c r="F5681" s="69">
        <v>1.2493396347644816E-2</v>
      </c>
    </row>
    <row r="5682" spans="1:6" x14ac:dyDescent="0.3">
      <c r="A5682" s="24">
        <v>40560</v>
      </c>
      <c r="B5682" s="66">
        <v>928.39200000000005</v>
      </c>
      <c r="C5682" s="67"/>
      <c r="D5682" s="68">
        <v>0</v>
      </c>
      <c r="E5682" s="110">
        <f t="shared" si="90"/>
        <v>48737</v>
      </c>
      <c r="F5682" s="69">
        <v>1.2493396347644816E-2</v>
      </c>
    </row>
    <row r="5683" spans="1:6" x14ac:dyDescent="0.3">
      <c r="A5683" s="24">
        <v>40561</v>
      </c>
      <c r="B5683" s="66">
        <v>928.39200000000005</v>
      </c>
      <c r="C5683" s="67"/>
      <c r="D5683" s="68">
        <v>0</v>
      </c>
      <c r="E5683" s="110">
        <f t="shared" si="90"/>
        <v>48737</v>
      </c>
      <c r="F5683" s="69">
        <v>1.2493396347644816E-2</v>
      </c>
    </row>
    <row r="5684" spans="1:6" x14ac:dyDescent="0.3">
      <c r="A5684" s="24">
        <v>40562</v>
      </c>
      <c r="B5684" s="66">
        <v>928.39200000000005</v>
      </c>
      <c r="C5684" s="67"/>
      <c r="D5684" s="68">
        <v>0</v>
      </c>
      <c r="E5684" s="110">
        <f t="shared" si="90"/>
        <v>48737</v>
      </c>
      <c r="F5684" s="69">
        <v>1.2493396347644816E-2</v>
      </c>
    </row>
    <row r="5685" spans="1:6" x14ac:dyDescent="0.3">
      <c r="A5685" s="24">
        <v>40563</v>
      </c>
      <c r="B5685" s="66">
        <v>928.39200000000005</v>
      </c>
      <c r="C5685" s="67"/>
      <c r="D5685" s="68">
        <v>0</v>
      </c>
      <c r="E5685" s="110">
        <f t="shared" si="90"/>
        <v>48737</v>
      </c>
      <c r="F5685" s="69">
        <v>1.2493396347644816E-2</v>
      </c>
    </row>
    <row r="5686" spans="1:6" x14ac:dyDescent="0.3">
      <c r="A5686" s="24">
        <v>40564</v>
      </c>
      <c r="B5686" s="66">
        <v>928.39200000000005</v>
      </c>
      <c r="C5686" s="67"/>
      <c r="D5686" s="68">
        <v>0</v>
      </c>
      <c r="E5686" s="110">
        <f t="shared" si="90"/>
        <v>48737</v>
      </c>
      <c r="F5686" s="69">
        <v>1.2493396347644816E-2</v>
      </c>
    </row>
    <row r="5687" spans="1:6" x14ac:dyDescent="0.3">
      <c r="A5687" s="24">
        <v>40565</v>
      </c>
      <c r="B5687" s="66">
        <v>928.39200000000005</v>
      </c>
      <c r="C5687" s="67"/>
      <c r="D5687" s="68">
        <v>0</v>
      </c>
      <c r="E5687" s="110">
        <f t="shared" si="90"/>
        <v>48737</v>
      </c>
      <c r="F5687" s="69">
        <v>1.2493396347644816E-2</v>
      </c>
    </row>
    <row r="5688" spans="1:6" x14ac:dyDescent="0.3">
      <c r="A5688" s="24">
        <v>40566</v>
      </c>
      <c r="B5688" s="66">
        <v>928.39200000000005</v>
      </c>
      <c r="C5688" s="67"/>
      <c r="D5688" s="68">
        <v>0</v>
      </c>
      <c r="E5688" s="110">
        <f t="shared" si="90"/>
        <v>48737</v>
      </c>
      <c r="F5688" s="69">
        <v>1.2493396347644816E-2</v>
      </c>
    </row>
    <row r="5689" spans="1:6" x14ac:dyDescent="0.3">
      <c r="A5689" s="24">
        <v>40567</v>
      </c>
      <c r="B5689" s="66">
        <v>928.39200000000005</v>
      </c>
      <c r="C5689" s="67"/>
      <c r="D5689" s="68">
        <v>0</v>
      </c>
      <c r="E5689" s="110">
        <f t="shared" si="90"/>
        <v>48737</v>
      </c>
      <c r="F5689" s="69">
        <v>1.2493396347644816E-2</v>
      </c>
    </row>
    <row r="5690" spans="1:6" x14ac:dyDescent="0.3">
      <c r="A5690" s="24">
        <v>40568</v>
      </c>
      <c r="B5690" s="66">
        <v>928.39200000000005</v>
      </c>
      <c r="C5690" s="67"/>
      <c r="D5690" s="68">
        <v>0</v>
      </c>
      <c r="E5690" s="110">
        <f t="shared" si="90"/>
        <v>48737</v>
      </c>
      <c r="F5690" s="69">
        <v>1.2493396347644816E-2</v>
      </c>
    </row>
    <row r="5691" spans="1:6" x14ac:dyDescent="0.3">
      <c r="A5691" s="24">
        <v>40569</v>
      </c>
      <c r="B5691" s="66">
        <v>928.39200000000005</v>
      </c>
      <c r="C5691" s="67"/>
      <c r="D5691" s="68">
        <v>0</v>
      </c>
      <c r="E5691" s="110">
        <f t="shared" si="90"/>
        <v>48737</v>
      </c>
      <c r="F5691" s="69">
        <v>1.2493396347644816E-2</v>
      </c>
    </row>
    <row r="5692" spans="1:6" x14ac:dyDescent="0.3">
      <c r="A5692" s="24">
        <v>40570</v>
      </c>
      <c r="B5692" s="66">
        <v>928.39200000000005</v>
      </c>
      <c r="C5692" s="67"/>
      <c r="D5692" s="68">
        <v>0</v>
      </c>
      <c r="E5692" s="110">
        <f t="shared" si="90"/>
        <v>48737</v>
      </c>
      <c r="F5692" s="69">
        <v>1.2493396347644816E-2</v>
      </c>
    </row>
    <row r="5693" spans="1:6" x14ac:dyDescent="0.3">
      <c r="A5693" s="24">
        <v>40571</v>
      </c>
      <c r="B5693" s="66">
        <v>928.39200000000005</v>
      </c>
      <c r="C5693" s="67"/>
      <c r="D5693" s="68">
        <v>0</v>
      </c>
      <c r="E5693" s="110">
        <f t="shared" si="90"/>
        <v>48737</v>
      </c>
      <c r="F5693" s="69">
        <v>1.2493396347644816E-2</v>
      </c>
    </row>
    <row r="5694" spans="1:6" x14ac:dyDescent="0.3">
      <c r="A5694" s="24">
        <v>40572</v>
      </c>
      <c r="B5694" s="66">
        <v>928.39200000000005</v>
      </c>
      <c r="C5694" s="67"/>
      <c r="D5694" s="68">
        <v>0</v>
      </c>
      <c r="E5694" s="110">
        <f t="shared" si="90"/>
        <v>48737</v>
      </c>
      <c r="F5694" s="69">
        <v>1.2493396347644816E-2</v>
      </c>
    </row>
    <row r="5695" spans="1:6" x14ac:dyDescent="0.3">
      <c r="A5695" s="24">
        <v>40573</v>
      </c>
      <c r="B5695" s="66">
        <v>928.39200000000005</v>
      </c>
      <c r="C5695" s="67"/>
      <c r="D5695" s="68">
        <v>0</v>
      </c>
      <c r="E5695" s="110">
        <f t="shared" si="90"/>
        <v>48737</v>
      </c>
      <c r="F5695" s="69">
        <v>1.2493396347644816E-2</v>
      </c>
    </row>
    <row r="5696" spans="1:6" x14ac:dyDescent="0.3">
      <c r="A5696" s="24">
        <v>40574</v>
      </c>
      <c r="B5696" s="66">
        <v>928.39200000000005</v>
      </c>
      <c r="C5696" s="67"/>
      <c r="D5696" s="68">
        <v>0</v>
      </c>
      <c r="E5696" s="110">
        <f t="shared" si="90"/>
        <v>48737</v>
      </c>
      <c r="F5696" s="69">
        <v>1.2493396347644816E-2</v>
      </c>
    </row>
    <row r="5697" spans="1:6" x14ac:dyDescent="0.3">
      <c r="A5697" s="24">
        <v>40575</v>
      </c>
      <c r="B5697" s="66">
        <v>928.39200000000005</v>
      </c>
      <c r="C5697" s="67"/>
      <c r="D5697" s="68">
        <v>0</v>
      </c>
      <c r="E5697" s="110">
        <f t="shared" si="90"/>
        <v>48737</v>
      </c>
      <c r="F5697" s="69">
        <v>1.2493396347644816E-2</v>
      </c>
    </row>
    <row r="5698" spans="1:6" x14ac:dyDescent="0.3">
      <c r="A5698" s="24">
        <v>40576</v>
      </c>
      <c r="B5698" s="66">
        <v>928.39200000000005</v>
      </c>
      <c r="C5698" s="67"/>
      <c r="D5698" s="68">
        <v>0</v>
      </c>
      <c r="E5698" s="110">
        <f t="shared" si="90"/>
        <v>48737</v>
      </c>
      <c r="F5698" s="69">
        <v>1.2493396347644816E-2</v>
      </c>
    </row>
    <row r="5699" spans="1:6" x14ac:dyDescent="0.3">
      <c r="A5699" s="24">
        <v>40577</v>
      </c>
      <c r="B5699" s="66">
        <v>928.39200000000005</v>
      </c>
      <c r="C5699" s="67"/>
      <c r="D5699" s="68">
        <v>0</v>
      </c>
      <c r="E5699" s="110">
        <f t="shared" si="90"/>
        <v>48737</v>
      </c>
      <c r="F5699" s="69">
        <v>1.2493396347644816E-2</v>
      </c>
    </row>
    <row r="5700" spans="1:6" x14ac:dyDescent="0.3">
      <c r="A5700" s="24">
        <v>40578</v>
      </c>
      <c r="B5700" s="66">
        <v>928.39200000000005</v>
      </c>
      <c r="C5700" s="67"/>
      <c r="D5700" s="68">
        <v>0</v>
      </c>
      <c r="E5700" s="110">
        <f t="shared" si="90"/>
        <v>48737</v>
      </c>
      <c r="F5700" s="69">
        <v>1.2493396347644816E-2</v>
      </c>
    </row>
    <row r="5701" spans="1:6" x14ac:dyDescent="0.3">
      <c r="A5701" s="24">
        <v>40579</v>
      </c>
      <c r="B5701" s="66">
        <v>928.39200000000005</v>
      </c>
      <c r="C5701" s="67"/>
      <c r="D5701" s="68">
        <v>0</v>
      </c>
      <c r="E5701" s="110">
        <f t="shared" si="90"/>
        <v>48737</v>
      </c>
      <c r="F5701" s="69">
        <v>1.2493396347644816E-2</v>
      </c>
    </row>
    <row r="5702" spans="1:6" x14ac:dyDescent="0.3">
      <c r="A5702" s="24">
        <v>40580</v>
      </c>
      <c r="B5702" s="66">
        <v>928.39200000000005</v>
      </c>
      <c r="C5702" s="67"/>
      <c r="D5702" s="68">
        <v>0</v>
      </c>
      <c r="E5702" s="110">
        <f t="shared" ref="E5702:E5762" si="91">+E5701</f>
        <v>48737</v>
      </c>
      <c r="F5702" s="69">
        <v>1.2493396347644816E-2</v>
      </c>
    </row>
    <row r="5703" spans="1:6" x14ac:dyDescent="0.3">
      <c r="A5703" s="24">
        <v>40581</v>
      </c>
      <c r="B5703" s="66">
        <v>928.39200000000005</v>
      </c>
      <c r="C5703" s="67"/>
      <c r="D5703" s="68">
        <v>0</v>
      </c>
      <c r="E5703" s="110">
        <f t="shared" si="91"/>
        <v>48737</v>
      </c>
      <c r="F5703" s="69">
        <v>1.2493396347644816E-2</v>
      </c>
    </row>
    <row r="5704" spans="1:6" x14ac:dyDescent="0.3">
      <c r="A5704" s="24">
        <v>40582</v>
      </c>
      <c r="B5704" s="66">
        <v>928.39200000000005</v>
      </c>
      <c r="C5704" s="67"/>
      <c r="D5704" s="68">
        <v>0</v>
      </c>
      <c r="E5704" s="110">
        <f t="shared" si="91"/>
        <v>48737</v>
      </c>
      <c r="F5704" s="69">
        <v>1.2493396347644816E-2</v>
      </c>
    </row>
    <row r="5705" spans="1:6" x14ac:dyDescent="0.3">
      <c r="A5705" s="24">
        <v>40583</v>
      </c>
      <c r="B5705" s="66">
        <v>928.39200000000005</v>
      </c>
      <c r="C5705" s="67"/>
      <c r="D5705" s="68">
        <v>0</v>
      </c>
      <c r="E5705" s="110">
        <f t="shared" si="91"/>
        <v>48737</v>
      </c>
      <c r="F5705" s="69">
        <v>1.2493396347644816E-2</v>
      </c>
    </row>
    <row r="5706" spans="1:6" x14ac:dyDescent="0.3">
      <c r="A5706" s="24">
        <v>40584</v>
      </c>
      <c r="B5706" s="66">
        <v>928.39200000000005</v>
      </c>
      <c r="C5706" s="67"/>
      <c r="D5706" s="68">
        <v>0</v>
      </c>
      <c r="E5706" s="110">
        <f t="shared" si="91"/>
        <v>48737</v>
      </c>
      <c r="F5706" s="69">
        <v>1.2493396347644816E-2</v>
      </c>
    </row>
    <row r="5707" spans="1:6" x14ac:dyDescent="0.3">
      <c r="A5707" s="24">
        <v>40585</v>
      </c>
      <c r="B5707" s="66">
        <v>928.39200000000005</v>
      </c>
      <c r="C5707" s="67"/>
      <c r="D5707" s="68">
        <v>0</v>
      </c>
      <c r="E5707" s="110">
        <f t="shared" si="91"/>
        <v>48737</v>
      </c>
      <c r="F5707" s="69">
        <v>1.2493396347644816E-2</v>
      </c>
    </row>
    <row r="5708" spans="1:6" x14ac:dyDescent="0.3">
      <c r="A5708" s="24">
        <v>40586</v>
      </c>
      <c r="B5708" s="66">
        <v>928.39200000000005</v>
      </c>
      <c r="C5708" s="67"/>
      <c r="D5708" s="68">
        <v>0</v>
      </c>
      <c r="E5708" s="110">
        <f t="shared" si="91"/>
        <v>48737</v>
      </c>
      <c r="F5708" s="69">
        <v>1.2493396347644816E-2</v>
      </c>
    </row>
    <row r="5709" spans="1:6" x14ac:dyDescent="0.3">
      <c r="A5709" s="24">
        <v>40587</v>
      </c>
      <c r="B5709" s="66">
        <v>928.39200000000005</v>
      </c>
      <c r="C5709" s="67"/>
      <c r="D5709" s="68">
        <v>0</v>
      </c>
      <c r="E5709" s="110">
        <f t="shared" si="91"/>
        <v>48737</v>
      </c>
      <c r="F5709" s="69">
        <v>1.2493396347644816E-2</v>
      </c>
    </row>
    <row r="5710" spans="1:6" x14ac:dyDescent="0.3">
      <c r="A5710" s="24">
        <v>40588</v>
      </c>
      <c r="B5710" s="66">
        <v>928.39200000000005</v>
      </c>
      <c r="C5710" s="67"/>
      <c r="D5710" s="68">
        <v>0</v>
      </c>
      <c r="E5710" s="110">
        <f t="shared" si="91"/>
        <v>48737</v>
      </c>
      <c r="F5710" s="69">
        <v>1.2493396347644816E-2</v>
      </c>
    </row>
    <row r="5711" spans="1:6" x14ac:dyDescent="0.3">
      <c r="A5711" s="24">
        <v>40589</v>
      </c>
      <c r="B5711" s="66">
        <v>928.39200000000005</v>
      </c>
      <c r="C5711" s="67"/>
      <c r="D5711" s="68">
        <v>0</v>
      </c>
      <c r="E5711" s="110">
        <f t="shared" si="91"/>
        <v>48737</v>
      </c>
      <c r="F5711" s="69">
        <v>1.2493396347644816E-2</v>
      </c>
    </row>
    <row r="5712" spans="1:6" x14ac:dyDescent="0.3">
      <c r="A5712" s="24">
        <v>40590</v>
      </c>
      <c r="B5712" s="66">
        <v>928.39200000000005</v>
      </c>
      <c r="C5712" s="67"/>
      <c r="D5712" s="68">
        <v>0</v>
      </c>
      <c r="E5712" s="110">
        <f t="shared" si="91"/>
        <v>48737</v>
      </c>
      <c r="F5712" s="69">
        <v>1.2493396347644816E-2</v>
      </c>
    </row>
    <row r="5713" spans="1:6" x14ac:dyDescent="0.3">
      <c r="A5713" s="24">
        <v>40591</v>
      </c>
      <c r="B5713" s="66">
        <v>928.39200000000005</v>
      </c>
      <c r="C5713" s="67"/>
      <c r="D5713" s="68">
        <v>0</v>
      </c>
      <c r="E5713" s="110">
        <f t="shared" si="91"/>
        <v>48737</v>
      </c>
      <c r="F5713" s="69">
        <v>1.2493396347644816E-2</v>
      </c>
    </row>
    <row r="5714" spans="1:6" x14ac:dyDescent="0.3">
      <c r="A5714" s="24">
        <v>40592</v>
      </c>
      <c r="B5714" s="66">
        <v>928.39200000000005</v>
      </c>
      <c r="C5714" s="67"/>
      <c r="D5714" s="68">
        <v>0</v>
      </c>
      <c r="E5714" s="110">
        <f t="shared" si="91"/>
        <v>48737</v>
      </c>
      <c r="F5714" s="69">
        <v>1.2493396347644816E-2</v>
      </c>
    </row>
    <row r="5715" spans="1:6" x14ac:dyDescent="0.3">
      <c r="A5715" s="24">
        <v>40593</v>
      </c>
      <c r="B5715" s="66">
        <v>928.39200000000005</v>
      </c>
      <c r="C5715" s="67"/>
      <c r="D5715" s="68">
        <v>0</v>
      </c>
      <c r="E5715" s="110">
        <f t="shared" si="91"/>
        <v>48737</v>
      </c>
      <c r="F5715" s="69">
        <v>1.2493396347644816E-2</v>
      </c>
    </row>
    <row r="5716" spans="1:6" x14ac:dyDescent="0.3">
      <c r="A5716" s="24">
        <v>40594</v>
      </c>
      <c r="B5716" s="66">
        <v>928.39200000000005</v>
      </c>
      <c r="C5716" s="67"/>
      <c r="D5716" s="68">
        <v>0</v>
      </c>
      <c r="E5716" s="110">
        <f t="shared" si="91"/>
        <v>48737</v>
      </c>
      <c r="F5716" s="69">
        <v>1.2493396347644816E-2</v>
      </c>
    </row>
    <row r="5717" spans="1:6" x14ac:dyDescent="0.3">
      <c r="A5717" s="24">
        <v>40595</v>
      </c>
      <c r="B5717" s="66">
        <v>928.39200000000005</v>
      </c>
      <c r="C5717" s="67"/>
      <c r="D5717" s="68">
        <v>0</v>
      </c>
      <c r="E5717" s="110">
        <f t="shared" si="91"/>
        <v>48737</v>
      </c>
      <c r="F5717" s="69">
        <v>1.2493396347644816E-2</v>
      </c>
    </row>
    <row r="5718" spans="1:6" x14ac:dyDescent="0.3">
      <c r="A5718" s="24">
        <v>40596</v>
      </c>
      <c r="B5718" s="66">
        <v>928.39200000000005</v>
      </c>
      <c r="C5718" s="67"/>
      <c r="D5718" s="68">
        <v>0</v>
      </c>
      <c r="E5718" s="110">
        <f t="shared" si="91"/>
        <v>48737</v>
      </c>
      <c r="F5718" s="69">
        <v>1.2493396347644816E-2</v>
      </c>
    </row>
    <row r="5719" spans="1:6" x14ac:dyDescent="0.3">
      <c r="A5719" s="24">
        <v>40597</v>
      </c>
      <c r="B5719" s="66">
        <v>928.39200000000005</v>
      </c>
      <c r="C5719" s="67"/>
      <c r="D5719" s="68">
        <v>0</v>
      </c>
      <c r="E5719" s="110">
        <f t="shared" si="91"/>
        <v>48737</v>
      </c>
      <c r="F5719" s="69">
        <v>1.2493396347644816E-2</v>
      </c>
    </row>
    <row r="5720" spans="1:6" x14ac:dyDescent="0.3">
      <c r="A5720" s="24">
        <v>40598</v>
      </c>
      <c r="B5720" s="66">
        <v>928.39200000000005</v>
      </c>
      <c r="C5720" s="67"/>
      <c r="D5720" s="68">
        <v>0</v>
      </c>
      <c r="E5720" s="110">
        <f t="shared" si="91"/>
        <v>48737</v>
      </c>
      <c r="F5720" s="69">
        <v>1.2493396347644816E-2</v>
      </c>
    </row>
    <row r="5721" spans="1:6" x14ac:dyDescent="0.3">
      <c r="A5721" s="24">
        <v>40599</v>
      </c>
      <c r="B5721" s="66">
        <v>928.39200000000005</v>
      </c>
      <c r="C5721" s="67"/>
      <c r="D5721" s="68">
        <v>0</v>
      </c>
      <c r="E5721" s="110">
        <f t="shared" si="91"/>
        <v>48737</v>
      </c>
      <c r="F5721" s="69">
        <v>1.2493396347644816E-2</v>
      </c>
    </row>
    <row r="5722" spans="1:6" x14ac:dyDescent="0.3">
      <c r="A5722" s="24">
        <v>40600</v>
      </c>
      <c r="B5722" s="66">
        <v>928.39200000000005</v>
      </c>
      <c r="C5722" s="67"/>
      <c r="D5722" s="68">
        <v>0</v>
      </c>
      <c r="E5722" s="110">
        <f t="shared" si="91"/>
        <v>48737</v>
      </c>
      <c r="F5722" s="69">
        <v>1.2493396347644816E-2</v>
      </c>
    </row>
    <row r="5723" spans="1:6" x14ac:dyDescent="0.3">
      <c r="A5723" s="24">
        <v>40601</v>
      </c>
      <c r="B5723" s="66">
        <v>928.39200000000005</v>
      </c>
      <c r="C5723" s="67"/>
      <c r="D5723" s="68">
        <v>0</v>
      </c>
      <c r="E5723" s="110">
        <f t="shared" si="91"/>
        <v>48737</v>
      </c>
      <c r="F5723" s="69">
        <v>1.2493396347644816E-2</v>
      </c>
    </row>
    <row r="5724" spans="1:6" x14ac:dyDescent="0.3">
      <c r="A5724" s="24">
        <v>40602</v>
      </c>
      <c r="B5724" s="66">
        <v>928.39200000000005</v>
      </c>
      <c r="C5724" s="67"/>
      <c r="D5724" s="68">
        <v>0</v>
      </c>
      <c r="E5724" s="110">
        <f t="shared" si="91"/>
        <v>48737</v>
      </c>
      <c r="F5724" s="69">
        <v>1.2493396347644816E-2</v>
      </c>
    </row>
    <row r="5725" spans="1:6" x14ac:dyDescent="0.3">
      <c r="A5725" s="24">
        <v>40603</v>
      </c>
      <c r="B5725" s="66">
        <v>928.39200000000005</v>
      </c>
      <c r="C5725" s="67"/>
      <c r="D5725" s="68">
        <v>0</v>
      </c>
      <c r="E5725" s="110">
        <f t="shared" si="91"/>
        <v>48737</v>
      </c>
      <c r="F5725" s="69">
        <v>1.2493396347644816E-2</v>
      </c>
    </row>
    <row r="5726" spans="1:6" x14ac:dyDescent="0.3">
      <c r="A5726" s="24">
        <v>40604</v>
      </c>
      <c r="B5726" s="66">
        <v>928.39200000000005</v>
      </c>
      <c r="C5726" s="67"/>
      <c r="D5726" s="68">
        <v>0</v>
      </c>
      <c r="E5726" s="110">
        <f t="shared" si="91"/>
        <v>48737</v>
      </c>
      <c r="F5726" s="69">
        <v>1.2493396347644816E-2</v>
      </c>
    </row>
    <row r="5727" spans="1:6" x14ac:dyDescent="0.3">
      <c r="A5727" s="24">
        <v>40605</v>
      </c>
      <c r="B5727" s="66">
        <v>928.39200000000005</v>
      </c>
      <c r="C5727" s="67"/>
      <c r="D5727" s="68">
        <v>0</v>
      </c>
      <c r="E5727" s="110">
        <f t="shared" si="91"/>
        <v>48737</v>
      </c>
      <c r="F5727" s="69">
        <v>1.2493396347644816E-2</v>
      </c>
    </row>
    <row r="5728" spans="1:6" x14ac:dyDescent="0.3">
      <c r="A5728" s="24">
        <v>40606</v>
      </c>
      <c r="B5728" s="66">
        <v>928.39200000000005</v>
      </c>
      <c r="C5728" s="67"/>
      <c r="D5728" s="68">
        <v>0</v>
      </c>
      <c r="E5728" s="110">
        <f t="shared" si="91"/>
        <v>48737</v>
      </c>
      <c r="F5728" s="69">
        <v>1.2493396347644816E-2</v>
      </c>
    </row>
    <row r="5729" spans="1:6" x14ac:dyDescent="0.3">
      <c r="A5729" s="24">
        <v>40607</v>
      </c>
      <c r="B5729" s="66">
        <v>928.39200000000005</v>
      </c>
      <c r="C5729" s="67"/>
      <c r="D5729" s="68">
        <v>0</v>
      </c>
      <c r="E5729" s="110">
        <f t="shared" si="91"/>
        <v>48737</v>
      </c>
      <c r="F5729" s="69">
        <v>1.2493396347644816E-2</v>
      </c>
    </row>
    <row r="5730" spans="1:6" x14ac:dyDescent="0.3">
      <c r="A5730" s="24">
        <v>40608</v>
      </c>
      <c r="B5730" s="66">
        <v>928.39200000000005</v>
      </c>
      <c r="C5730" s="67"/>
      <c r="D5730" s="68">
        <v>0</v>
      </c>
      <c r="E5730" s="110">
        <f t="shared" si="91"/>
        <v>48737</v>
      </c>
      <c r="F5730" s="69">
        <v>1.2493396347644816E-2</v>
      </c>
    </row>
    <row r="5731" spans="1:6" x14ac:dyDescent="0.3">
      <c r="A5731" s="24">
        <v>40609</v>
      </c>
      <c r="B5731" s="66">
        <v>928.39200000000005</v>
      </c>
      <c r="C5731" s="67"/>
      <c r="D5731" s="68">
        <v>0</v>
      </c>
      <c r="E5731" s="110">
        <f t="shared" si="91"/>
        <v>48737</v>
      </c>
      <c r="F5731" s="69">
        <v>1.2493396347644816E-2</v>
      </c>
    </row>
    <row r="5732" spans="1:6" x14ac:dyDescent="0.3">
      <c r="A5732" s="24">
        <v>40610</v>
      </c>
      <c r="B5732" s="66">
        <v>928.39200000000005</v>
      </c>
      <c r="C5732" s="67"/>
      <c r="D5732" s="68">
        <v>0</v>
      </c>
      <c r="E5732" s="110">
        <f t="shared" si="91"/>
        <v>48737</v>
      </c>
      <c r="F5732" s="69">
        <v>1.2493396347644816E-2</v>
      </c>
    </row>
    <row r="5733" spans="1:6" x14ac:dyDescent="0.3">
      <c r="A5733" s="24">
        <v>40611</v>
      </c>
      <c r="B5733" s="66">
        <v>928.39200000000005</v>
      </c>
      <c r="C5733" s="67"/>
      <c r="D5733" s="68">
        <v>0</v>
      </c>
      <c r="E5733" s="110">
        <f t="shared" si="91"/>
        <v>48737</v>
      </c>
      <c r="F5733" s="69">
        <v>1.2493396347644816E-2</v>
      </c>
    </row>
    <row r="5734" spans="1:6" x14ac:dyDescent="0.3">
      <c r="A5734" s="24">
        <v>40612</v>
      </c>
      <c r="B5734" s="66">
        <v>928.39200000000005</v>
      </c>
      <c r="C5734" s="67"/>
      <c r="D5734" s="68">
        <v>0</v>
      </c>
      <c r="E5734" s="110">
        <f t="shared" si="91"/>
        <v>48737</v>
      </c>
      <c r="F5734" s="69">
        <v>1.2493396347644816E-2</v>
      </c>
    </row>
    <row r="5735" spans="1:6" x14ac:dyDescent="0.3">
      <c r="A5735" s="24">
        <v>40613</v>
      </c>
      <c r="B5735" s="66">
        <v>928.39200000000005</v>
      </c>
      <c r="C5735" s="67"/>
      <c r="D5735" s="68">
        <v>0</v>
      </c>
      <c r="E5735" s="110">
        <f t="shared" si="91"/>
        <v>48737</v>
      </c>
      <c r="F5735" s="69">
        <v>1.2493396347644816E-2</v>
      </c>
    </row>
    <row r="5736" spans="1:6" x14ac:dyDescent="0.3">
      <c r="A5736" s="24">
        <v>40614</v>
      </c>
      <c r="B5736" s="66">
        <v>928.39200000000005</v>
      </c>
      <c r="C5736" s="67"/>
      <c r="D5736" s="68">
        <v>0</v>
      </c>
      <c r="E5736" s="110">
        <f t="shared" si="91"/>
        <v>48737</v>
      </c>
      <c r="F5736" s="69">
        <v>1.2493396347644816E-2</v>
      </c>
    </row>
    <row r="5737" spans="1:6" x14ac:dyDescent="0.3">
      <c r="A5737" s="24">
        <v>40615</v>
      </c>
      <c r="B5737" s="66">
        <v>928.39200000000005</v>
      </c>
      <c r="C5737" s="67"/>
      <c r="D5737" s="68">
        <v>0</v>
      </c>
      <c r="E5737" s="110">
        <f t="shared" si="91"/>
        <v>48737</v>
      </c>
      <c r="F5737" s="69">
        <v>1.2493396347644816E-2</v>
      </c>
    </row>
    <row r="5738" spans="1:6" x14ac:dyDescent="0.3">
      <c r="A5738" s="24">
        <v>40616</v>
      </c>
      <c r="B5738" s="66">
        <v>928.39200000000005</v>
      </c>
      <c r="C5738" s="67"/>
      <c r="D5738" s="68">
        <v>0</v>
      </c>
      <c r="E5738" s="110">
        <f t="shared" si="91"/>
        <v>48737</v>
      </c>
      <c r="F5738" s="69">
        <v>1.2493396347644816E-2</v>
      </c>
    </row>
    <row r="5739" spans="1:6" x14ac:dyDescent="0.3">
      <c r="A5739" s="24">
        <v>40617</v>
      </c>
      <c r="B5739" s="66">
        <v>928.39200000000005</v>
      </c>
      <c r="C5739" s="67"/>
      <c r="D5739" s="68">
        <v>0</v>
      </c>
      <c r="E5739" s="110">
        <f t="shared" si="91"/>
        <v>48737</v>
      </c>
      <c r="F5739" s="69">
        <v>1.2493396347644816E-2</v>
      </c>
    </row>
    <row r="5740" spans="1:6" x14ac:dyDescent="0.3">
      <c r="A5740" s="24">
        <v>40618</v>
      </c>
      <c r="B5740" s="66">
        <v>928.39200000000005</v>
      </c>
      <c r="C5740" s="67"/>
      <c r="D5740" s="68">
        <v>0</v>
      </c>
      <c r="E5740" s="110">
        <f t="shared" si="91"/>
        <v>48737</v>
      </c>
      <c r="F5740" s="69">
        <v>1.2493396347644816E-2</v>
      </c>
    </row>
    <row r="5741" spans="1:6" x14ac:dyDescent="0.3">
      <c r="A5741" s="24">
        <v>40619</v>
      </c>
      <c r="B5741" s="66">
        <v>928.39200000000005</v>
      </c>
      <c r="C5741" s="67"/>
      <c r="D5741" s="68">
        <v>0</v>
      </c>
      <c r="E5741" s="110">
        <f t="shared" si="91"/>
        <v>48737</v>
      </c>
      <c r="F5741" s="69">
        <v>1.2493396347644816E-2</v>
      </c>
    </row>
    <row r="5742" spans="1:6" x14ac:dyDescent="0.3">
      <c r="A5742" s="24">
        <v>40620</v>
      </c>
      <c r="B5742" s="66">
        <v>928.39200000000005</v>
      </c>
      <c r="C5742" s="67"/>
      <c r="D5742" s="68">
        <v>0</v>
      </c>
      <c r="E5742" s="110">
        <f t="shared" si="91"/>
        <v>48737</v>
      </c>
      <c r="F5742" s="69">
        <v>1.2493396347644816E-2</v>
      </c>
    </row>
    <row r="5743" spans="1:6" x14ac:dyDescent="0.3">
      <c r="A5743" s="24">
        <v>40621</v>
      </c>
      <c r="B5743" s="66">
        <v>928.39200000000005</v>
      </c>
      <c r="C5743" s="67"/>
      <c r="D5743" s="68">
        <v>0</v>
      </c>
      <c r="E5743" s="110">
        <f t="shared" si="91"/>
        <v>48737</v>
      </c>
      <c r="F5743" s="69">
        <v>1.2493396347644816E-2</v>
      </c>
    </row>
    <row r="5744" spans="1:6" x14ac:dyDescent="0.3">
      <c r="A5744" s="24">
        <v>40622</v>
      </c>
      <c r="B5744" s="66">
        <v>928.39200000000005</v>
      </c>
      <c r="C5744" s="67"/>
      <c r="D5744" s="68">
        <v>0</v>
      </c>
      <c r="E5744" s="110">
        <f t="shared" si="91"/>
        <v>48737</v>
      </c>
      <c r="F5744" s="69">
        <v>1.2493396347644816E-2</v>
      </c>
    </row>
    <row r="5745" spans="1:6" x14ac:dyDescent="0.3">
      <c r="A5745" s="24">
        <v>40623</v>
      </c>
      <c r="B5745" s="66">
        <v>928.39200000000005</v>
      </c>
      <c r="C5745" s="67"/>
      <c r="D5745" s="68">
        <v>0</v>
      </c>
      <c r="E5745" s="110">
        <f t="shared" si="91"/>
        <v>48737</v>
      </c>
      <c r="F5745" s="69">
        <v>1.2493396347644816E-2</v>
      </c>
    </row>
    <row r="5746" spans="1:6" x14ac:dyDescent="0.3">
      <c r="A5746" s="24">
        <v>40624</v>
      </c>
      <c r="B5746" s="66">
        <v>928.39200000000005</v>
      </c>
      <c r="C5746" s="67"/>
      <c r="D5746" s="68">
        <v>0</v>
      </c>
      <c r="E5746" s="110">
        <f t="shared" si="91"/>
        <v>48737</v>
      </c>
      <c r="F5746" s="69">
        <v>1.2493396347644816E-2</v>
      </c>
    </row>
    <row r="5747" spans="1:6" x14ac:dyDescent="0.3">
      <c r="A5747" s="24">
        <v>40625</v>
      </c>
      <c r="B5747" s="66">
        <v>928.39200000000005</v>
      </c>
      <c r="C5747" s="67"/>
      <c r="D5747" s="68">
        <v>0</v>
      </c>
      <c r="E5747" s="110">
        <f t="shared" si="91"/>
        <v>48737</v>
      </c>
      <c r="F5747" s="69">
        <v>1.2493396347644816E-2</v>
      </c>
    </row>
    <row r="5748" spans="1:6" x14ac:dyDescent="0.3">
      <c r="A5748" s="24">
        <v>40626</v>
      </c>
      <c r="B5748" s="66">
        <v>928.39200000000005</v>
      </c>
      <c r="C5748" s="67"/>
      <c r="D5748" s="68">
        <v>0</v>
      </c>
      <c r="E5748" s="110">
        <f t="shared" si="91"/>
        <v>48737</v>
      </c>
      <c r="F5748" s="69">
        <v>1.2493396347644816E-2</v>
      </c>
    </row>
    <row r="5749" spans="1:6" x14ac:dyDescent="0.3">
      <c r="A5749" s="24">
        <v>40627</v>
      </c>
      <c r="B5749" s="66">
        <v>928.39200000000005</v>
      </c>
      <c r="C5749" s="67"/>
      <c r="D5749" s="68">
        <v>0</v>
      </c>
      <c r="E5749" s="110">
        <f t="shared" si="91"/>
        <v>48737</v>
      </c>
      <c r="F5749" s="69">
        <v>1.2493396347644816E-2</v>
      </c>
    </row>
    <row r="5750" spans="1:6" x14ac:dyDescent="0.3">
      <c r="A5750" s="24">
        <v>40628</v>
      </c>
      <c r="B5750" s="66">
        <v>928.39200000000005</v>
      </c>
      <c r="C5750" s="67"/>
      <c r="D5750" s="68">
        <v>0</v>
      </c>
      <c r="E5750" s="110">
        <f t="shared" si="91"/>
        <v>48737</v>
      </c>
      <c r="F5750" s="69">
        <v>1.2493396347644816E-2</v>
      </c>
    </row>
    <row r="5751" spans="1:6" x14ac:dyDescent="0.3">
      <c r="A5751" s="24">
        <v>40629</v>
      </c>
      <c r="B5751" s="66">
        <v>928.39200000000005</v>
      </c>
      <c r="C5751" s="67"/>
      <c r="D5751" s="68">
        <v>0</v>
      </c>
      <c r="E5751" s="110">
        <f t="shared" si="91"/>
        <v>48737</v>
      </c>
      <c r="F5751" s="69">
        <v>1.2493396347644816E-2</v>
      </c>
    </row>
    <row r="5752" spans="1:6" x14ac:dyDescent="0.3">
      <c r="A5752" s="24">
        <v>40630</v>
      </c>
      <c r="B5752" s="66">
        <v>928.39200000000005</v>
      </c>
      <c r="C5752" s="67"/>
      <c r="D5752" s="68">
        <v>0</v>
      </c>
      <c r="E5752" s="110">
        <f t="shared" si="91"/>
        <v>48737</v>
      </c>
      <c r="F5752" s="69">
        <v>1.2493396347644816E-2</v>
      </c>
    </row>
    <row r="5753" spans="1:6" x14ac:dyDescent="0.3">
      <c r="A5753" s="24">
        <v>40631</v>
      </c>
      <c r="B5753" s="66">
        <v>928.39200000000005</v>
      </c>
      <c r="C5753" s="67"/>
      <c r="D5753" s="68">
        <v>0</v>
      </c>
      <c r="E5753" s="110">
        <f t="shared" si="91"/>
        <v>48737</v>
      </c>
      <c r="F5753" s="69">
        <v>1.2493396347644816E-2</v>
      </c>
    </row>
    <row r="5754" spans="1:6" x14ac:dyDescent="0.3">
      <c r="A5754" s="24">
        <v>40632</v>
      </c>
      <c r="B5754" s="66">
        <v>928.39200000000005</v>
      </c>
      <c r="C5754" s="67"/>
      <c r="D5754" s="68">
        <v>0</v>
      </c>
      <c r="E5754" s="110">
        <f t="shared" si="91"/>
        <v>48737</v>
      </c>
      <c r="F5754" s="69">
        <v>1.2192223713789196E-2</v>
      </c>
    </row>
    <row r="5755" spans="1:6" x14ac:dyDescent="0.3">
      <c r="A5755" s="24">
        <v>40633</v>
      </c>
      <c r="B5755" s="66">
        <v>963.70699999999999</v>
      </c>
      <c r="C5755" s="67"/>
      <c r="D5755" s="68">
        <v>0</v>
      </c>
      <c r="E5755" s="110">
        <f t="shared" si="91"/>
        <v>48737</v>
      </c>
      <c r="F5755" s="69">
        <v>1.2192223713789196E-2</v>
      </c>
    </row>
    <row r="5756" spans="1:6" x14ac:dyDescent="0.3">
      <c r="A5756" s="24">
        <v>40634</v>
      </c>
      <c r="B5756" s="66">
        <v>963.70699999999999</v>
      </c>
      <c r="C5756" s="67"/>
      <c r="D5756" s="68">
        <v>0</v>
      </c>
      <c r="E5756" s="110">
        <f t="shared" si="91"/>
        <v>48737</v>
      </c>
      <c r="F5756" s="69">
        <v>1.2192223713789196E-2</v>
      </c>
    </row>
    <row r="5757" spans="1:6" x14ac:dyDescent="0.3">
      <c r="A5757" s="24">
        <v>40635</v>
      </c>
      <c r="B5757" s="66">
        <v>963.70699999999999</v>
      </c>
      <c r="C5757" s="67"/>
      <c r="D5757" s="68">
        <v>0</v>
      </c>
      <c r="E5757" s="110">
        <f t="shared" si="91"/>
        <v>48737</v>
      </c>
      <c r="F5757" s="69">
        <v>1.2192223713789196E-2</v>
      </c>
    </row>
    <row r="5758" spans="1:6" x14ac:dyDescent="0.3">
      <c r="A5758" s="24">
        <v>40636</v>
      </c>
      <c r="B5758" s="66">
        <v>963.70699999999999</v>
      </c>
      <c r="C5758" s="67"/>
      <c r="D5758" s="68">
        <v>0</v>
      </c>
      <c r="E5758" s="110">
        <f t="shared" si="91"/>
        <v>48737</v>
      </c>
      <c r="F5758" s="69">
        <v>1.2192223713789196E-2</v>
      </c>
    </row>
    <row r="5759" spans="1:6" x14ac:dyDescent="0.3">
      <c r="A5759" s="24">
        <v>40637</v>
      </c>
      <c r="B5759" s="66">
        <v>963.70699999999999</v>
      </c>
      <c r="C5759" s="67"/>
      <c r="D5759" s="68">
        <v>0</v>
      </c>
      <c r="E5759" s="110">
        <f t="shared" si="91"/>
        <v>48737</v>
      </c>
      <c r="F5759" s="69">
        <v>1.2192223713789196E-2</v>
      </c>
    </row>
    <row r="5760" spans="1:6" x14ac:dyDescent="0.3">
      <c r="A5760" s="24">
        <v>40638</v>
      </c>
      <c r="B5760" s="66">
        <v>963.70699999999999</v>
      </c>
      <c r="C5760" s="67"/>
      <c r="D5760" s="68">
        <v>0</v>
      </c>
      <c r="E5760" s="110">
        <f t="shared" si="91"/>
        <v>48737</v>
      </c>
      <c r="F5760" s="69">
        <v>1.2192223713789196E-2</v>
      </c>
    </row>
    <row r="5761" spans="1:7" x14ac:dyDescent="0.3">
      <c r="A5761" s="24">
        <v>40639</v>
      </c>
      <c r="B5761" s="66">
        <v>963.70699999999999</v>
      </c>
      <c r="C5761" s="67"/>
      <c r="D5761" s="68">
        <v>0</v>
      </c>
      <c r="E5761" s="110">
        <f t="shared" si="91"/>
        <v>48737</v>
      </c>
      <c r="F5761" s="69">
        <v>1.2192223713789196E-2</v>
      </c>
    </row>
    <row r="5762" spans="1:7" x14ac:dyDescent="0.3">
      <c r="A5762" s="24">
        <v>40640</v>
      </c>
      <c r="B5762" s="66">
        <v>963.70699999999999</v>
      </c>
      <c r="C5762" s="67"/>
      <c r="D5762" s="68">
        <v>12.5</v>
      </c>
      <c r="E5762" s="110">
        <f t="shared" si="91"/>
        <v>48737</v>
      </c>
      <c r="F5762" s="69">
        <v>1.4514552040225233E-2</v>
      </c>
    </row>
    <row r="5763" spans="1:7" x14ac:dyDescent="0.3">
      <c r="A5763" s="24">
        <v>40641</v>
      </c>
      <c r="B5763" s="66">
        <v>963.70725000000004</v>
      </c>
      <c r="C5763" s="66">
        <v>965</v>
      </c>
      <c r="D5763" s="70">
        <v>0</v>
      </c>
      <c r="E5763" s="111">
        <v>100681</v>
      </c>
      <c r="F5763" s="69">
        <v>1.4514552040225233E-2</v>
      </c>
      <c r="G5763" s="69"/>
    </row>
    <row r="5764" spans="1:7" x14ac:dyDescent="0.3">
      <c r="A5764" s="24">
        <v>40642</v>
      </c>
      <c r="B5764" s="66">
        <v>963.70725000000004</v>
      </c>
      <c r="C5764" s="66">
        <v>965</v>
      </c>
      <c r="D5764" s="70">
        <v>0</v>
      </c>
      <c r="E5764" s="111">
        <f>+E5763</f>
        <v>100681</v>
      </c>
      <c r="F5764" s="69">
        <v>1.4514552040225233E-2</v>
      </c>
      <c r="G5764" s="69"/>
    </row>
    <row r="5765" spans="1:7" x14ac:dyDescent="0.3">
      <c r="A5765" s="24">
        <v>40643</v>
      </c>
      <c r="B5765" s="66">
        <v>963.70725000000004</v>
      </c>
      <c r="C5765" s="66">
        <v>965</v>
      </c>
      <c r="D5765" s="70">
        <v>0</v>
      </c>
      <c r="E5765" s="111">
        <f t="shared" ref="E5765:E5784" si="92">+E5764</f>
        <v>100681</v>
      </c>
      <c r="F5765" s="69">
        <v>1.4514552040225233E-2</v>
      </c>
      <c r="G5765" s="69"/>
    </row>
    <row r="5766" spans="1:7" x14ac:dyDescent="0.3">
      <c r="A5766" s="24">
        <v>40644</v>
      </c>
      <c r="B5766" s="66">
        <v>963.70725000000004</v>
      </c>
      <c r="C5766" s="66">
        <v>965</v>
      </c>
      <c r="D5766" s="70">
        <v>0</v>
      </c>
      <c r="E5766" s="111">
        <f t="shared" si="92"/>
        <v>100681</v>
      </c>
      <c r="F5766" s="69">
        <v>1.4514552040225233E-2</v>
      </c>
      <c r="G5766" s="69"/>
    </row>
    <row r="5767" spans="1:7" x14ac:dyDescent="0.3">
      <c r="A5767" s="24">
        <v>40645</v>
      </c>
      <c r="B5767" s="66">
        <v>963.70725000000004</v>
      </c>
      <c r="C5767" s="66">
        <v>970</v>
      </c>
      <c r="D5767" s="70">
        <v>0</v>
      </c>
      <c r="E5767" s="111">
        <f t="shared" si="92"/>
        <v>100681</v>
      </c>
      <c r="F5767" s="69">
        <v>1.4514552040225233E-2</v>
      </c>
      <c r="G5767" s="69"/>
    </row>
    <row r="5768" spans="1:7" x14ac:dyDescent="0.3">
      <c r="A5768" s="24">
        <v>40646</v>
      </c>
      <c r="B5768" s="66">
        <v>963.70725000000004</v>
      </c>
      <c r="C5768" s="66">
        <v>965</v>
      </c>
      <c r="D5768" s="70">
        <v>0</v>
      </c>
      <c r="E5768" s="111">
        <f t="shared" si="92"/>
        <v>100681</v>
      </c>
      <c r="F5768" s="69">
        <v>1.4514552040225233E-2</v>
      </c>
      <c r="G5768" s="69"/>
    </row>
    <row r="5769" spans="1:7" x14ac:dyDescent="0.3">
      <c r="A5769" s="24">
        <v>40647</v>
      </c>
      <c r="B5769" s="66">
        <v>963.70725000000004</v>
      </c>
      <c r="C5769" s="66">
        <v>965.01</v>
      </c>
      <c r="D5769" s="70">
        <v>0</v>
      </c>
      <c r="E5769" s="111">
        <f t="shared" si="92"/>
        <v>100681</v>
      </c>
      <c r="F5769" s="69">
        <v>1.4514552040225233E-2</v>
      </c>
      <c r="G5769" s="69"/>
    </row>
    <row r="5770" spans="1:7" x14ac:dyDescent="0.3">
      <c r="A5770" s="24">
        <v>40648</v>
      </c>
      <c r="B5770" s="66">
        <v>963.70725000000004</v>
      </c>
      <c r="C5770" s="66">
        <v>965</v>
      </c>
      <c r="D5770" s="70">
        <v>0</v>
      </c>
      <c r="E5770" s="111">
        <f t="shared" si="92"/>
        <v>100681</v>
      </c>
      <c r="F5770" s="69">
        <v>1.4514552040225233E-2</v>
      </c>
      <c r="G5770" s="69"/>
    </row>
    <row r="5771" spans="1:7" x14ac:dyDescent="0.3">
      <c r="A5771" s="24">
        <v>40649</v>
      </c>
      <c r="B5771" s="66">
        <v>963.70725000000004</v>
      </c>
      <c r="C5771" s="66">
        <v>965</v>
      </c>
      <c r="D5771" s="70">
        <v>0</v>
      </c>
      <c r="E5771" s="111">
        <f t="shared" si="92"/>
        <v>100681</v>
      </c>
      <c r="F5771" s="69">
        <v>1.4514552040225233E-2</v>
      </c>
      <c r="G5771" s="69"/>
    </row>
    <row r="5772" spans="1:7" x14ac:dyDescent="0.3">
      <c r="A5772" s="24">
        <v>40650</v>
      </c>
      <c r="B5772" s="66">
        <v>963.70725000000004</v>
      </c>
      <c r="C5772" s="66">
        <v>965</v>
      </c>
      <c r="D5772" s="70">
        <v>0</v>
      </c>
      <c r="E5772" s="111">
        <f t="shared" si="92"/>
        <v>100681</v>
      </c>
      <c r="F5772" s="69">
        <v>1.4514552040225233E-2</v>
      </c>
      <c r="G5772" s="69"/>
    </row>
    <row r="5773" spans="1:7" x14ac:dyDescent="0.3">
      <c r="A5773" s="24">
        <v>40651</v>
      </c>
      <c r="B5773" s="66">
        <v>963.70725000000004</v>
      </c>
      <c r="C5773" s="66">
        <v>965</v>
      </c>
      <c r="D5773" s="70">
        <v>0</v>
      </c>
      <c r="E5773" s="111">
        <f t="shared" si="92"/>
        <v>100681</v>
      </c>
      <c r="F5773" s="69">
        <v>1.4514552040225233E-2</v>
      </c>
      <c r="G5773" s="69"/>
    </row>
    <row r="5774" spans="1:7" x14ac:dyDescent="0.3">
      <c r="A5774" s="24">
        <v>40652</v>
      </c>
      <c r="B5774" s="66">
        <v>963.70725000000004</v>
      </c>
      <c r="C5774" s="66">
        <v>965</v>
      </c>
      <c r="D5774" s="70">
        <v>0</v>
      </c>
      <c r="E5774" s="111">
        <f t="shared" si="92"/>
        <v>100681</v>
      </c>
      <c r="F5774" s="69">
        <v>1.4514552040225233E-2</v>
      </c>
      <c r="G5774" s="69"/>
    </row>
    <row r="5775" spans="1:7" x14ac:dyDescent="0.3">
      <c r="A5775" s="24">
        <v>40653</v>
      </c>
      <c r="B5775" s="66">
        <v>963.70725000000004</v>
      </c>
      <c r="C5775" s="66">
        <v>970.1</v>
      </c>
      <c r="D5775" s="70">
        <v>0</v>
      </c>
      <c r="E5775" s="111">
        <f t="shared" si="92"/>
        <v>100681</v>
      </c>
      <c r="F5775" s="69">
        <v>1.4514552040225233E-2</v>
      </c>
      <c r="G5775" s="69"/>
    </row>
    <row r="5776" spans="1:7" x14ac:dyDescent="0.3">
      <c r="A5776" s="24">
        <v>40654</v>
      </c>
      <c r="B5776" s="66">
        <v>963.70725000000004</v>
      </c>
      <c r="C5776" s="66">
        <v>970.1</v>
      </c>
      <c r="D5776" s="70">
        <v>0</v>
      </c>
      <c r="E5776" s="111">
        <f t="shared" si="92"/>
        <v>100681</v>
      </c>
      <c r="F5776" s="69">
        <v>1.4514552040225233E-2</v>
      </c>
      <c r="G5776" s="69"/>
    </row>
    <row r="5777" spans="1:7" x14ac:dyDescent="0.3">
      <c r="A5777" s="24">
        <v>40655</v>
      </c>
      <c r="B5777" s="66">
        <v>963.70725000000004</v>
      </c>
      <c r="C5777" s="66">
        <v>970.1</v>
      </c>
      <c r="D5777" s="70">
        <v>0</v>
      </c>
      <c r="E5777" s="111">
        <f t="shared" si="92"/>
        <v>100681</v>
      </c>
      <c r="F5777" s="69">
        <v>1.4514552040225233E-2</v>
      </c>
      <c r="G5777" s="69"/>
    </row>
    <row r="5778" spans="1:7" x14ac:dyDescent="0.3">
      <c r="A5778" s="24">
        <v>40656</v>
      </c>
      <c r="B5778" s="66">
        <v>963.70725000000004</v>
      </c>
      <c r="C5778" s="66">
        <v>970.1</v>
      </c>
      <c r="D5778" s="70">
        <v>0</v>
      </c>
      <c r="E5778" s="111">
        <f t="shared" si="92"/>
        <v>100681</v>
      </c>
      <c r="F5778" s="69">
        <v>1.4514552040225233E-2</v>
      </c>
      <c r="G5778" s="69"/>
    </row>
    <row r="5779" spans="1:7" x14ac:dyDescent="0.3">
      <c r="A5779" s="24">
        <v>40657</v>
      </c>
      <c r="B5779" s="66">
        <v>963.70725000000004</v>
      </c>
      <c r="C5779" s="66">
        <v>970.1</v>
      </c>
      <c r="D5779" s="70">
        <v>0</v>
      </c>
      <c r="E5779" s="111">
        <f t="shared" si="92"/>
        <v>100681</v>
      </c>
      <c r="F5779" s="69">
        <v>1.4514552040225233E-2</v>
      </c>
      <c r="G5779" s="69"/>
    </row>
    <row r="5780" spans="1:7" x14ac:dyDescent="0.3">
      <c r="A5780" s="24">
        <v>40658</v>
      </c>
      <c r="B5780" s="66">
        <v>963.70725000000004</v>
      </c>
      <c r="C5780" s="66">
        <v>970.1</v>
      </c>
      <c r="D5780" s="70">
        <v>0</v>
      </c>
      <c r="E5780" s="111">
        <f t="shared" si="92"/>
        <v>100681</v>
      </c>
      <c r="F5780" s="69">
        <v>1.4514552040225233E-2</v>
      </c>
      <c r="G5780" s="69"/>
    </row>
    <row r="5781" spans="1:7" x14ac:dyDescent="0.3">
      <c r="A5781" s="24">
        <v>40659</v>
      </c>
      <c r="B5781" s="66">
        <v>963.70725000000004</v>
      </c>
      <c r="C5781" s="66">
        <v>970.1</v>
      </c>
      <c r="D5781" s="70">
        <v>0</v>
      </c>
      <c r="E5781" s="111">
        <f t="shared" si="92"/>
        <v>100681</v>
      </c>
      <c r="F5781" s="69">
        <v>1.4514552040225233E-2</v>
      </c>
      <c r="G5781" s="69"/>
    </row>
    <row r="5782" spans="1:7" x14ac:dyDescent="0.3">
      <c r="A5782" s="24">
        <v>40660</v>
      </c>
      <c r="B5782" s="66">
        <v>963.70725000000004</v>
      </c>
      <c r="C5782" s="66">
        <v>970.1</v>
      </c>
      <c r="D5782" s="70">
        <v>0</v>
      </c>
      <c r="E5782" s="111">
        <f t="shared" si="92"/>
        <v>100681</v>
      </c>
      <c r="F5782" s="69">
        <v>1.4514552040225233E-2</v>
      </c>
      <c r="G5782" s="69"/>
    </row>
    <row r="5783" spans="1:7" x14ac:dyDescent="0.3">
      <c r="A5783" s="24">
        <v>40661</v>
      </c>
      <c r="B5783" s="66">
        <v>963.70725000000004</v>
      </c>
      <c r="C5783" s="66">
        <v>970.1</v>
      </c>
      <c r="D5783" s="70">
        <v>0</v>
      </c>
      <c r="E5783" s="111">
        <f t="shared" si="92"/>
        <v>100681</v>
      </c>
      <c r="F5783" s="69">
        <v>1.4514552040225233E-2</v>
      </c>
      <c r="G5783" s="69"/>
    </row>
    <row r="5784" spans="1:7" x14ac:dyDescent="0.3">
      <c r="A5784" s="24">
        <v>40662</v>
      </c>
      <c r="B5784" s="66">
        <v>963.70725000000004</v>
      </c>
      <c r="C5784" s="66">
        <v>970.1</v>
      </c>
      <c r="D5784" s="70">
        <v>0</v>
      </c>
      <c r="E5784" s="111">
        <f t="shared" si="92"/>
        <v>100681</v>
      </c>
      <c r="F5784" s="69">
        <v>1.4514552040225233E-2</v>
      </c>
      <c r="G5784" s="69"/>
    </row>
    <row r="5785" spans="1:7" x14ac:dyDescent="0.3">
      <c r="A5785" s="24">
        <v>40663</v>
      </c>
      <c r="B5785" s="66">
        <v>963.70725000000004</v>
      </c>
      <c r="C5785" s="66">
        <v>970.1</v>
      </c>
      <c r="D5785" s="70">
        <v>0</v>
      </c>
      <c r="E5785" s="111">
        <v>101493</v>
      </c>
      <c r="F5785" s="69">
        <v>1.4514552040225233E-2</v>
      </c>
      <c r="G5785" s="69"/>
    </row>
    <row r="5786" spans="1:7" x14ac:dyDescent="0.3">
      <c r="A5786" s="24">
        <v>40664</v>
      </c>
      <c r="B5786" s="66">
        <v>963.70725000000004</v>
      </c>
      <c r="C5786" s="66">
        <v>970.1</v>
      </c>
      <c r="D5786" s="70">
        <v>0</v>
      </c>
      <c r="E5786" s="111">
        <f>+E5785</f>
        <v>101493</v>
      </c>
      <c r="F5786" s="69">
        <v>1.4514552040225233E-2</v>
      </c>
      <c r="G5786" s="69"/>
    </row>
    <row r="5787" spans="1:7" x14ac:dyDescent="0.3">
      <c r="A5787" s="24">
        <v>40665</v>
      </c>
      <c r="B5787" s="66">
        <v>963.70725000000004</v>
      </c>
      <c r="C5787" s="66">
        <v>970.1</v>
      </c>
      <c r="D5787" s="70">
        <v>0</v>
      </c>
      <c r="E5787" s="111">
        <f t="shared" ref="E5787:E5815" si="93">+E5786</f>
        <v>101493</v>
      </c>
      <c r="F5787" s="69">
        <v>1.4514552040225233E-2</v>
      </c>
      <c r="G5787" s="69"/>
    </row>
    <row r="5788" spans="1:7" x14ac:dyDescent="0.3">
      <c r="A5788" s="24">
        <v>40666</v>
      </c>
      <c r="B5788" s="66">
        <v>963.70725000000004</v>
      </c>
      <c r="C5788" s="66">
        <v>970.1</v>
      </c>
      <c r="D5788" s="70">
        <v>0</v>
      </c>
      <c r="E5788" s="111">
        <f t="shared" si="93"/>
        <v>101493</v>
      </c>
      <c r="F5788" s="69">
        <v>1.4514552040225233E-2</v>
      </c>
      <c r="G5788" s="69"/>
    </row>
    <row r="5789" spans="1:7" x14ac:dyDescent="0.3">
      <c r="A5789" s="24">
        <v>40667</v>
      </c>
      <c r="B5789" s="66">
        <v>963.70725000000004</v>
      </c>
      <c r="C5789" s="66">
        <v>970.1</v>
      </c>
      <c r="D5789" s="70">
        <v>0</v>
      </c>
      <c r="E5789" s="111">
        <f t="shared" si="93"/>
        <v>101493</v>
      </c>
      <c r="F5789" s="69">
        <v>1.4514552040225233E-2</v>
      </c>
      <c r="G5789" s="69"/>
    </row>
    <row r="5790" spans="1:7" x14ac:dyDescent="0.3">
      <c r="A5790" s="24">
        <v>40668</v>
      </c>
      <c r="B5790" s="66">
        <v>963.70725000000004</v>
      </c>
      <c r="C5790" s="66">
        <v>970.1</v>
      </c>
      <c r="D5790" s="70">
        <v>0</v>
      </c>
      <c r="E5790" s="111">
        <f t="shared" si="93"/>
        <v>101493</v>
      </c>
      <c r="F5790" s="69">
        <v>1.4514552040225233E-2</v>
      </c>
      <c r="G5790" s="69"/>
    </row>
    <row r="5791" spans="1:7" x14ac:dyDescent="0.3">
      <c r="A5791" s="24">
        <v>40669</v>
      </c>
      <c r="B5791" s="66">
        <v>963.70725000000004</v>
      </c>
      <c r="C5791" s="66">
        <v>970.1</v>
      </c>
      <c r="D5791" s="70">
        <v>0</v>
      </c>
      <c r="E5791" s="111">
        <f t="shared" si="93"/>
        <v>101493</v>
      </c>
      <c r="F5791" s="69">
        <v>1.4514552040225233E-2</v>
      </c>
      <c r="G5791" s="69"/>
    </row>
    <row r="5792" spans="1:7" x14ac:dyDescent="0.3">
      <c r="A5792" s="24">
        <v>40670</v>
      </c>
      <c r="B5792" s="66">
        <v>963.70725000000004</v>
      </c>
      <c r="C5792" s="66">
        <v>970.1</v>
      </c>
      <c r="D5792" s="70">
        <v>0</v>
      </c>
      <c r="E5792" s="111">
        <f t="shared" si="93"/>
        <v>101493</v>
      </c>
      <c r="F5792" s="69">
        <v>1.4514552040225233E-2</v>
      </c>
      <c r="G5792" s="69"/>
    </row>
    <row r="5793" spans="1:7" x14ac:dyDescent="0.3">
      <c r="A5793" s="24">
        <v>40671</v>
      </c>
      <c r="B5793" s="66">
        <v>963.70725000000004</v>
      </c>
      <c r="C5793" s="66">
        <v>970.1</v>
      </c>
      <c r="D5793" s="70">
        <v>0</v>
      </c>
      <c r="E5793" s="111">
        <f t="shared" si="93"/>
        <v>101493</v>
      </c>
      <c r="F5793" s="69">
        <v>1.4514552040225233E-2</v>
      </c>
      <c r="G5793" s="69"/>
    </row>
    <row r="5794" spans="1:7" x14ac:dyDescent="0.3">
      <c r="A5794" s="24">
        <v>40672</v>
      </c>
      <c r="B5794" s="66">
        <v>963.70725000000004</v>
      </c>
      <c r="C5794" s="66">
        <v>970.1</v>
      </c>
      <c r="D5794" s="70">
        <v>0</v>
      </c>
      <c r="E5794" s="111">
        <f t="shared" si="93"/>
        <v>101493</v>
      </c>
      <c r="F5794" s="69">
        <v>1.4514552040225233E-2</v>
      </c>
      <c r="G5794" s="69"/>
    </row>
    <row r="5795" spans="1:7" x14ac:dyDescent="0.3">
      <c r="A5795" s="24">
        <v>40673</v>
      </c>
      <c r="B5795" s="66">
        <v>963.70725000000004</v>
      </c>
      <c r="C5795" s="66">
        <v>970.1</v>
      </c>
      <c r="D5795" s="70">
        <v>0</v>
      </c>
      <c r="E5795" s="111">
        <f t="shared" si="93"/>
        <v>101493</v>
      </c>
      <c r="F5795" s="69">
        <v>1.4514552040225233E-2</v>
      </c>
      <c r="G5795" s="69"/>
    </row>
    <row r="5796" spans="1:7" x14ac:dyDescent="0.3">
      <c r="A5796" s="24">
        <v>40674</v>
      </c>
      <c r="B5796" s="66">
        <v>963.70725000000004</v>
      </c>
      <c r="C5796" s="66">
        <v>970.1</v>
      </c>
      <c r="D5796" s="70">
        <v>0</v>
      </c>
      <c r="E5796" s="111">
        <f t="shared" si="93"/>
        <v>101493</v>
      </c>
      <c r="F5796" s="69">
        <v>1.4514552040225233E-2</v>
      </c>
      <c r="G5796" s="69"/>
    </row>
    <row r="5797" spans="1:7" x14ac:dyDescent="0.3">
      <c r="A5797" s="24">
        <v>40675</v>
      </c>
      <c r="B5797" s="66">
        <v>963.70725000000004</v>
      </c>
      <c r="C5797" s="66">
        <v>970.1</v>
      </c>
      <c r="D5797" s="70">
        <v>0</v>
      </c>
      <c r="E5797" s="111">
        <f t="shared" si="93"/>
        <v>101493</v>
      </c>
      <c r="F5797" s="69">
        <v>1.4514552040225233E-2</v>
      </c>
      <c r="G5797" s="69"/>
    </row>
    <row r="5798" spans="1:7" x14ac:dyDescent="0.3">
      <c r="A5798" s="24">
        <v>40676</v>
      </c>
      <c r="B5798" s="66">
        <v>963.70725000000004</v>
      </c>
      <c r="C5798" s="66">
        <v>970.1</v>
      </c>
      <c r="D5798" s="70">
        <v>0</v>
      </c>
      <c r="E5798" s="111">
        <f t="shared" si="93"/>
        <v>101493</v>
      </c>
      <c r="F5798" s="69">
        <v>1.4514552040225233E-2</v>
      </c>
      <c r="G5798" s="69"/>
    </row>
    <row r="5799" spans="1:7" x14ac:dyDescent="0.3">
      <c r="A5799" s="24">
        <v>40677</v>
      </c>
      <c r="B5799" s="66">
        <v>963.70725000000004</v>
      </c>
      <c r="C5799" s="66">
        <v>970.1</v>
      </c>
      <c r="D5799" s="70">
        <v>0</v>
      </c>
      <c r="E5799" s="111">
        <f t="shared" si="93"/>
        <v>101493</v>
      </c>
      <c r="F5799" s="69">
        <v>1.4514552040225233E-2</v>
      </c>
      <c r="G5799" s="69"/>
    </row>
    <row r="5800" spans="1:7" x14ac:dyDescent="0.3">
      <c r="A5800" s="24">
        <v>40678</v>
      </c>
      <c r="B5800" s="66">
        <v>963.70725000000004</v>
      </c>
      <c r="C5800" s="66">
        <v>970.1</v>
      </c>
      <c r="D5800" s="70">
        <v>0</v>
      </c>
      <c r="E5800" s="111">
        <f t="shared" si="93"/>
        <v>101493</v>
      </c>
      <c r="F5800" s="69">
        <v>1.4514552040225233E-2</v>
      </c>
      <c r="G5800" s="69"/>
    </row>
    <row r="5801" spans="1:7" x14ac:dyDescent="0.3">
      <c r="A5801" s="24">
        <v>40679</v>
      </c>
      <c r="B5801" s="66">
        <v>963.70725000000004</v>
      </c>
      <c r="C5801" s="66">
        <v>970.1</v>
      </c>
      <c r="D5801" s="70">
        <v>0</v>
      </c>
      <c r="E5801" s="111">
        <f t="shared" si="93"/>
        <v>101493</v>
      </c>
      <c r="F5801" s="69">
        <v>1.4514552040225233E-2</v>
      </c>
      <c r="G5801" s="69"/>
    </row>
    <row r="5802" spans="1:7" x14ac:dyDescent="0.3">
      <c r="A5802" s="24">
        <v>40680</v>
      </c>
      <c r="B5802" s="66">
        <v>963.70725000000004</v>
      </c>
      <c r="C5802" s="66">
        <v>970.1</v>
      </c>
      <c r="D5802" s="70">
        <v>0</v>
      </c>
      <c r="E5802" s="111">
        <f t="shared" si="93"/>
        <v>101493</v>
      </c>
      <c r="F5802" s="69">
        <v>1.4344468079410103E-2</v>
      </c>
      <c r="G5802" s="69"/>
    </row>
    <row r="5803" spans="1:7" x14ac:dyDescent="0.3">
      <c r="A5803" s="24">
        <v>40681</v>
      </c>
      <c r="B5803" s="66">
        <v>963.70725000000004</v>
      </c>
      <c r="C5803" s="66">
        <v>970.1</v>
      </c>
      <c r="D5803" s="70">
        <v>0</v>
      </c>
      <c r="E5803" s="111">
        <f t="shared" si="93"/>
        <v>101493</v>
      </c>
      <c r="F5803" s="69">
        <v>1.4344468079410103E-2</v>
      </c>
      <c r="G5803" s="69"/>
    </row>
    <row r="5804" spans="1:7" x14ac:dyDescent="0.3">
      <c r="A5804" s="24">
        <v>40682</v>
      </c>
      <c r="B5804" s="66">
        <v>963.70725000000004</v>
      </c>
      <c r="C5804" s="66">
        <v>970.1</v>
      </c>
      <c r="D5804" s="70">
        <v>0</v>
      </c>
      <c r="E5804" s="111">
        <f t="shared" si="93"/>
        <v>101493</v>
      </c>
      <c r="F5804" s="69">
        <v>1.4344468079410103E-2</v>
      </c>
      <c r="G5804" s="69"/>
    </row>
    <row r="5805" spans="1:7" x14ac:dyDescent="0.3">
      <c r="A5805" s="24">
        <v>40683</v>
      </c>
      <c r="B5805" s="66">
        <v>963.70725000000004</v>
      </c>
      <c r="C5805" s="66">
        <v>970.1</v>
      </c>
      <c r="D5805" s="70">
        <v>0</v>
      </c>
      <c r="E5805" s="111">
        <f t="shared" si="93"/>
        <v>101493</v>
      </c>
      <c r="F5805" s="69">
        <v>1.4514552040225233E-2</v>
      </c>
      <c r="G5805" s="69"/>
    </row>
    <row r="5806" spans="1:7" x14ac:dyDescent="0.3">
      <c r="A5806" s="24">
        <v>40684</v>
      </c>
      <c r="B5806" s="66">
        <v>963.70725000000004</v>
      </c>
      <c r="C5806" s="66">
        <v>970.1</v>
      </c>
      <c r="D5806" s="70">
        <v>0</v>
      </c>
      <c r="E5806" s="111">
        <f t="shared" si="93"/>
        <v>101493</v>
      </c>
      <c r="F5806" s="69">
        <v>1.4514552040225233E-2</v>
      </c>
      <c r="G5806" s="69"/>
    </row>
    <row r="5807" spans="1:7" x14ac:dyDescent="0.3">
      <c r="A5807" s="24">
        <v>40685</v>
      </c>
      <c r="B5807" s="66">
        <v>963.70725000000004</v>
      </c>
      <c r="C5807" s="66">
        <v>970.1</v>
      </c>
      <c r="D5807" s="70">
        <v>0</v>
      </c>
      <c r="E5807" s="111">
        <f t="shared" si="93"/>
        <v>101493</v>
      </c>
      <c r="F5807" s="69">
        <v>1.4514552040225233E-2</v>
      </c>
      <c r="G5807" s="69"/>
    </row>
    <row r="5808" spans="1:7" x14ac:dyDescent="0.3">
      <c r="A5808" s="24">
        <v>40686</v>
      </c>
      <c r="B5808" s="66">
        <v>963.70725000000004</v>
      </c>
      <c r="C5808" s="66">
        <v>970.1</v>
      </c>
      <c r="D5808" s="70">
        <v>0</v>
      </c>
      <c r="E5808" s="111">
        <f t="shared" si="93"/>
        <v>101493</v>
      </c>
      <c r="F5808" s="69">
        <v>1.4514552040225233E-2</v>
      </c>
      <c r="G5808" s="69"/>
    </row>
    <row r="5809" spans="1:7" x14ac:dyDescent="0.3">
      <c r="A5809" s="24">
        <v>40687</v>
      </c>
      <c r="B5809" s="66">
        <v>963.70725000000004</v>
      </c>
      <c r="C5809" s="66">
        <v>970.1</v>
      </c>
      <c r="D5809" s="70">
        <v>0</v>
      </c>
      <c r="E5809" s="111">
        <f t="shared" si="93"/>
        <v>101493</v>
      </c>
      <c r="F5809" s="69">
        <v>1.4514552040225233E-2</v>
      </c>
      <c r="G5809" s="69"/>
    </row>
    <row r="5810" spans="1:7" x14ac:dyDescent="0.3">
      <c r="A5810" s="24">
        <v>40688</v>
      </c>
      <c r="B5810" s="66">
        <v>963.70725000000004</v>
      </c>
      <c r="C5810" s="66">
        <v>970.1</v>
      </c>
      <c r="D5810" s="70">
        <v>0</v>
      </c>
      <c r="E5810" s="111">
        <f t="shared" si="93"/>
        <v>101493</v>
      </c>
      <c r="F5810" s="69">
        <v>1.4514552040225233E-2</v>
      </c>
      <c r="G5810" s="69"/>
    </row>
    <row r="5811" spans="1:7" x14ac:dyDescent="0.3">
      <c r="A5811" s="24">
        <v>40689</v>
      </c>
      <c r="B5811" s="66">
        <v>963.70725000000004</v>
      </c>
      <c r="C5811" s="66">
        <v>970.1</v>
      </c>
      <c r="D5811" s="70">
        <v>0</v>
      </c>
      <c r="E5811" s="111">
        <f t="shared" si="93"/>
        <v>101493</v>
      </c>
      <c r="F5811" s="69">
        <v>1.4514552040225233E-2</v>
      </c>
      <c r="G5811" s="69"/>
    </row>
    <row r="5812" spans="1:7" x14ac:dyDescent="0.3">
      <c r="A5812" s="24">
        <v>40690</v>
      </c>
      <c r="B5812" s="66">
        <v>963.70725000000004</v>
      </c>
      <c r="C5812" s="66">
        <v>970.1</v>
      </c>
      <c r="D5812" s="70">
        <v>0</v>
      </c>
      <c r="E5812" s="111">
        <f t="shared" si="93"/>
        <v>101493</v>
      </c>
      <c r="F5812" s="69">
        <v>1.4514552040225233E-2</v>
      </c>
      <c r="G5812" s="69"/>
    </row>
    <row r="5813" spans="1:7" x14ac:dyDescent="0.3">
      <c r="A5813" s="24">
        <v>40691</v>
      </c>
      <c r="B5813" s="66">
        <v>963.70725000000004</v>
      </c>
      <c r="C5813" s="66">
        <v>970.1</v>
      </c>
      <c r="D5813" s="70">
        <v>0</v>
      </c>
      <c r="E5813" s="111">
        <f t="shared" si="93"/>
        <v>101493</v>
      </c>
      <c r="F5813" s="69">
        <v>1.4514552040225233E-2</v>
      </c>
      <c r="G5813" s="69"/>
    </row>
    <row r="5814" spans="1:7" x14ac:dyDescent="0.3">
      <c r="A5814" s="24">
        <v>40692</v>
      </c>
      <c r="B5814" s="66">
        <v>963.70725000000004</v>
      </c>
      <c r="C5814" s="66">
        <v>970.1</v>
      </c>
      <c r="D5814" s="70">
        <v>0</v>
      </c>
      <c r="E5814" s="111">
        <f t="shared" si="93"/>
        <v>101493</v>
      </c>
      <c r="F5814" s="69">
        <v>1.4514552040225233E-2</v>
      </c>
      <c r="G5814" s="69"/>
    </row>
    <row r="5815" spans="1:7" x14ac:dyDescent="0.3">
      <c r="A5815" s="24">
        <v>40693</v>
      </c>
      <c r="B5815" s="66">
        <v>963.70725000000004</v>
      </c>
      <c r="C5815" s="66">
        <v>970.1</v>
      </c>
      <c r="D5815" s="70">
        <v>0</v>
      </c>
      <c r="E5815" s="111">
        <f t="shared" si="93"/>
        <v>101493</v>
      </c>
      <c r="F5815" s="69">
        <v>1.4514552040225233E-2</v>
      </c>
      <c r="G5815" s="69"/>
    </row>
    <row r="5816" spans="1:7" x14ac:dyDescent="0.3">
      <c r="A5816" s="24">
        <v>40694</v>
      </c>
      <c r="B5816" s="66">
        <v>963.70725000000004</v>
      </c>
      <c r="C5816" s="66">
        <v>970.1</v>
      </c>
      <c r="D5816" s="70">
        <v>0</v>
      </c>
      <c r="E5816" s="111">
        <v>101742</v>
      </c>
      <c r="F5816" s="69">
        <v>1.4514552040225233E-2</v>
      </c>
      <c r="G5816" s="69"/>
    </row>
    <row r="5817" spans="1:7" x14ac:dyDescent="0.3">
      <c r="A5817" s="24">
        <v>40695</v>
      </c>
      <c r="B5817" s="66">
        <v>963.70725000000004</v>
      </c>
      <c r="C5817" s="66">
        <v>965.65100000000007</v>
      </c>
      <c r="D5817" s="70">
        <v>0</v>
      </c>
      <c r="E5817" s="111">
        <v>101742</v>
      </c>
      <c r="F5817" s="69">
        <v>1.4514552040225233E-2</v>
      </c>
      <c r="G5817" s="69"/>
    </row>
    <row r="5818" spans="1:7" x14ac:dyDescent="0.3">
      <c r="A5818" s="24">
        <v>40696</v>
      </c>
      <c r="B5818" s="66">
        <v>963.70725000000004</v>
      </c>
      <c r="C5818" s="66">
        <v>965.65100000000007</v>
      </c>
      <c r="D5818" s="70">
        <v>0</v>
      </c>
      <c r="E5818" s="111">
        <v>101742</v>
      </c>
      <c r="F5818" s="69">
        <v>1.4514552040225233E-2</v>
      </c>
      <c r="G5818" s="69"/>
    </row>
    <row r="5819" spans="1:7" x14ac:dyDescent="0.3">
      <c r="A5819" s="24">
        <v>40697</v>
      </c>
      <c r="B5819" s="66">
        <v>963.70725000000004</v>
      </c>
      <c r="C5819" s="66">
        <v>965.65100000000007</v>
      </c>
      <c r="D5819" s="70">
        <v>0</v>
      </c>
      <c r="E5819" s="111">
        <v>101742</v>
      </c>
      <c r="F5819" s="69">
        <v>1.4514552040225233E-2</v>
      </c>
      <c r="G5819" s="69"/>
    </row>
    <row r="5820" spans="1:7" x14ac:dyDescent="0.3">
      <c r="A5820" s="24">
        <v>40698</v>
      </c>
      <c r="B5820" s="66">
        <v>963.70725000000004</v>
      </c>
      <c r="C5820" s="66">
        <v>965.65100000000007</v>
      </c>
      <c r="D5820" s="70">
        <v>0</v>
      </c>
      <c r="E5820" s="111">
        <v>101742</v>
      </c>
      <c r="F5820" s="69">
        <v>1.4514552040225233E-2</v>
      </c>
      <c r="G5820" s="69"/>
    </row>
    <row r="5821" spans="1:7" x14ac:dyDescent="0.3">
      <c r="A5821" s="24">
        <v>40699</v>
      </c>
      <c r="B5821" s="66">
        <v>963.70725000000004</v>
      </c>
      <c r="C5821" s="66">
        <v>965.65100000000007</v>
      </c>
      <c r="D5821" s="70">
        <v>0</v>
      </c>
      <c r="E5821" s="111">
        <v>101742</v>
      </c>
      <c r="F5821" s="69">
        <v>1.4514552040225233E-2</v>
      </c>
      <c r="G5821" s="69"/>
    </row>
    <row r="5822" spans="1:7" x14ac:dyDescent="0.3">
      <c r="A5822" s="24">
        <v>40700</v>
      </c>
      <c r="B5822" s="66">
        <v>963.70725000000004</v>
      </c>
      <c r="C5822" s="66">
        <v>965.65100000000007</v>
      </c>
      <c r="D5822" s="70">
        <v>0</v>
      </c>
      <c r="E5822" s="111">
        <v>101742</v>
      </c>
      <c r="F5822" s="69">
        <v>1.4514552040225233E-2</v>
      </c>
      <c r="G5822" s="69"/>
    </row>
    <row r="5823" spans="1:7" x14ac:dyDescent="0.3">
      <c r="A5823" s="24">
        <v>40701</v>
      </c>
      <c r="B5823" s="66">
        <v>963.70725000000004</v>
      </c>
      <c r="C5823" s="66">
        <v>980</v>
      </c>
      <c r="D5823" s="70">
        <v>0</v>
      </c>
      <c r="E5823" s="111">
        <v>101742</v>
      </c>
      <c r="F5823" s="69">
        <v>1.4514552040225233E-2</v>
      </c>
      <c r="G5823" s="69"/>
    </row>
    <row r="5824" spans="1:7" x14ac:dyDescent="0.3">
      <c r="A5824" s="24">
        <v>40702</v>
      </c>
      <c r="B5824" s="66">
        <v>963.70725000000004</v>
      </c>
      <c r="C5824" s="66">
        <v>980</v>
      </c>
      <c r="D5824" s="70">
        <v>0</v>
      </c>
      <c r="E5824" s="111">
        <v>101742</v>
      </c>
      <c r="F5824" s="69">
        <v>1.4514552040225233E-2</v>
      </c>
      <c r="G5824" s="69"/>
    </row>
    <row r="5825" spans="1:7" x14ac:dyDescent="0.3">
      <c r="A5825" s="24">
        <v>40703</v>
      </c>
      <c r="B5825" s="66">
        <v>963.70725000000004</v>
      </c>
      <c r="C5825" s="66">
        <v>980</v>
      </c>
      <c r="D5825" s="70">
        <v>0</v>
      </c>
      <c r="E5825" s="111">
        <v>101742</v>
      </c>
      <c r="F5825" s="69">
        <v>1.4514552040225233E-2</v>
      </c>
      <c r="G5825" s="69"/>
    </row>
    <row r="5826" spans="1:7" x14ac:dyDescent="0.3">
      <c r="A5826" s="24">
        <v>40704</v>
      </c>
      <c r="B5826" s="66">
        <v>963.70725000000004</v>
      </c>
      <c r="C5826" s="66">
        <v>980</v>
      </c>
      <c r="D5826" s="70">
        <v>0</v>
      </c>
      <c r="E5826" s="111">
        <v>101742</v>
      </c>
      <c r="F5826" s="69">
        <v>1.4514552040225233E-2</v>
      </c>
      <c r="G5826" s="69"/>
    </row>
    <row r="5827" spans="1:7" x14ac:dyDescent="0.3">
      <c r="A5827" s="24">
        <v>40705</v>
      </c>
      <c r="B5827" s="66">
        <v>963.70725000000004</v>
      </c>
      <c r="C5827" s="66">
        <v>980</v>
      </c>
      <c r="D5827" s="70">
        <v>0</v>
      </c>
      <c r="E5827" s="111">
        <v>101742</v>
      </c>
      <c r="F5827" s="69">
        <v>1.4514552040225233E-2</v>
      </c>
      <c r="G5827" s="69"/>
    </row>
    <row r="5828" spans="1:7" x14ac:dyDescent="0.3">
      <c r="A5828" s="24">
        <v>40706</v>
      </c>
      <c r="B5828" s="66">
        <v>963.70725000000004</v>
      </c>
      <c r="C5828" s="66">
        <v>980</v>
      </c>
      <c r="D5828" s="70">
        <v>0</v>
      </c>
      <c r="E5828" s="111">
        <v>101742</v>
      </c>
      <c r="F5828" s="69">
        <v>1.4514552040225233E-2</v>
      </c>
      <c r="G5828" s="69"/>
    </row>
    <row r="5829" spans="1:7" x14ac:dyDescent="0.3">
      <c r="A5829" s="24">
        <v>40707</v>
      </c>
      <c r="B5829" s="66">
        <v>963.70725000000004</v>
      </c>
      <c r="C5829" s="66">
        <v>970.1</v>
      </c>
      <c r="D5829" s="70">
        <v>0</v>
      </c>
      <c r="E5829" s="111">
        <v>101742</v>
      </c>
      <c r="F5829" s="69">
        <v>1.4514552040225233E-2</v>
      </c>
      <c r="G5829" s="69"/>
    </row>
    <row r="5830" spans="1:7" x14ac:dyDescent="0.3">
      <c r="A5830" s="24">
        <v>40708</v>
      </c>
      <c r="B5830" s="66">
        <v>963.70725000000004</v>
      </c>
      <c r="C5830" s="66">
        <v>970.1</v>
      </c>
      <c r="D5830" s="70">
        <v>0</v>
      </c>
      <c r="E5830" s="111">
        <v>101742</v>
      </c>
      <c r="F5830" s="69">
        <v>1.4514552040225233E-2</v>
      </c>
      <c r="G5830" s="69"/>
    </row>
    <row r="5831" spans="1:7" x14ac:dyDescent="0.3">
      <c r="A5831" s="24">
        <v>40709</v>
      </c>
      <c r="B5831" s="66">
        <v>963.70725000000004</v>
      </c>
      <c r="C5831" s="66">
        <v>980</v>
      </c>
      <c r="D5831" s="70">
        <v>0</v>
      </c>
      <c r="E5831" s="111">
        <v>101742</v>
      </c>
      <c r="F5831" s="69">
        <v>1.4514552040225233E-2</v>
      </c>
      <c r="G5831" s="69"/>
    </row>
    <row r="5832" spans="1:7" x14ac:dyDescent="0.3">
      <c r="A5832" s="24">
        <v>40710</v>
      </c>
      <c r="B5832" s="66">
        <v>963.70725000000004</v>
      </c>
      <c r="C5832" s="66">
        <v>980</v>
      </c>
      <c r="D5832" s="70">
        <v>0</v>
      </c>
      <c r="E5832" s="111">
        <v>101742</v>
      </c>
      <c r="F5832" s="69">
        <v>1.4514552040225233E-2</v>
      </c>
      <c r="G5832" s="69"/>
    </row>
    <row r="5833" spans="1:7" x14ac:dyDescent="0.3">
      <c r="A5833" s="24">
        <v>40711</v>
      </c>
      <c r="B5833" s="66">
        <v>963.70725000000004</v>
      </c>
      <c r="C5833" s="66">
        <v>980</v>
      </c>
      <c r="D5833" s="70">
        <v>0</v>
      </c>
      <c r="E5833" s="111">
        <v>101742</v>
      </c>
      <c r="F5833" s="69">
        <v>1.4514552040225233E-2</v>
      </c>
      <c r="G5833" s="69"/>
    </row>
    <row r="5834" spans="1:7" x14ac:dyDescent="0.3">
      <c r="A5834" s="24">
        <v>40712</v>
      </c>
      <c r="B5834" s="66">
        <v>963.70725000000004</v>
      </c>
      <c r="C5834" s="66">
        <v>980</v>
      </c>
      <c r="D5834" s="70">
        <v>0</v>
      </c>
      <c r="E5834" s="111">
        <v>101742</v>
      </c>
      <c r="F5834" s="69">
        <v>1.4514552040225233E-2</v>
      </c>
      <c r="G5834" s="69"/>
    </row>
    <row r="5835" spans="1:7" x14ac:dyDescent="0.3">
      <c r="A5835" s="24">
        <v>40713</v>
      </c>
      <c r="B5835" s="66">
        <v>963.70725000000004</v>
      </c>
      <c r="C5835" s="66">
        <v>980</v>
      </c>
      <c r="D5835" s="70">
        <v>0</v>
      </c>
      <c r="E5835" s="111">
        <v>101742</v>
      </c>
      <c r="F5835" s="69">
        <v>1.4514552040225233E-2</v>
      </c>
      <c r="G5835" s="69"/>
    </row>
    <row r="5836" spans="1:7" x14ac:dyDescent="0.3">
      <c r="A5836" s="24">
        <v>40714</v>
      </c>
      <c r="B5836" s="66">
        <v>963.70725000000004</v>
      </c>
      <c r="C5836" s="66">
        <v>970.1</v>
      </c>
      <c r="D5836" s="70">
        <v>0</v>
      </c>
      <c r="E5836" s="111">
        <v>101742</v>
      </c>
      <c r="F5836" s="69">
        <v>1.4514552040225233E-2</v>
      </c>
      <c r="G5836" s="69"/>
    </row>
    <row r="5837" spans="1:7" x14ac:dyDescent="0.3">
      <c r="A5837" s="24">
        <v>40715</v>
      </c>
      <c r="B5837" s="66">
        <v>963.70725000000004</v>
      </c>
      <c r="C5837" s="66">
        <v>970.1</v>
      </c>
      <c r="D5837" s="70">
        <v>0</v>
      </c>
      <c r="E5837" s="111">
        <v>101742</v>
      </c>
      <c r="F5837" s="69">
        <v>1.4514552040225233E-2</v>
      </c>
      <c r="G5837" s="69"/>
    </row>
    <row r="5838" spans="1:7" x14ac:dyDescent="0.3">
      <c r="A5838" s="24">
        <v>40716</v>
      </c>
      <c r="B5838" s="66">
        <v>963.70725000000004</v>
      </c>
      <c r="C5838" s="66">
        <v>975.1</v>
      </c>
      <c r="D5838" s="70">
        <v>0</v>
      </c>
      <c r="E5838" s="111">
        <v>101742</v>
      </c>
      <c r="F5838" s="69">
        <v>1.4514552040225233E-2</v>
      </c>
      <c r="G5838" s="69"/>
    </row>
    <row r="5839" spans="1:7" x14ac:dyDescent="0.3">
      <c r="A5839" s="24">
        <v>40717</v>
      </c>
      <c r="B5839" s="66">
        <v>963.70725000000004</v>
      </c>
      <c r="C5839" s="66">
        <v>975.1</v>
      </c>
      <c r="D5839" s="70">
        <v>0</v>
      </c>
      <c r="E5839" s="111">
        <v>101742</v>
      </c>
      <c r="F5839" s="69">
        <v>1.4514552040225233E-2</v>
      </c>
      <c r="G5839" s="69"/>
    </row>
    <row r="5840" spans="1:7" x14ac:dyDescent="0.3">
      <c r="A5840" s="24">
        <v>40718</v>
      </c>
      <c r="B5840" s="66">
        <v>963.70725000000004</v>
      </c>
      <c r="C5840" s="66">
        <v>975.1</v>
      </c>
      <c r="D5840" s="70">
        <v>0</v>
      </c>
      <c r="E5840" s="111">
        <v>101742</v>
      </c>
      <c r="F5840" s="69">
        <v>1.4514552040225233E-2</v>
      </c>
      <c r="G5840" s="69"/>
    </row>
    <row r="5841" spans="1:7" x14ac:dyDescent="0.3">
      <c r="A5841" s="24">
        <v>40719</v>
      </c>
      <c r="B5841" s="66">
        <v>963.70725000000004</v>
      </c>
      <c r="C5841" s="66">
        <v>975.1</v>
      </c>
      <c r="D5841" s="70">
        <v>0</v>
      </c>
      <c r="E5841" s="111">
        <v>101742</v>
      </c>
      <c r="F5841" s="69">
        <v>1.4514552040225233E-2</v>
      </c>
      <c r="G5841" s="69"/>
    </row>
    <row r="5842" spans="1:7" x14ac:dyDescent="0.3">
      <c r="A5842" s="24">
        <v>40720</v>
      </c>
      <c r="B5842" s="66">
        <v>963.70725000000004</v>
      </c>
      <c r="C5842" s="66">
        <v>975.1</v>
      </c>
      <c r="D5842" s="70">
        <v>0</v>
      </c>
      <c r="E5842" s="111">
        <v>101742</v>
      </c>
      <c r="F5842" s="69">
        <v>1.4514552040225233E-2</v>
      </c>
      <c r="G5842" s="69"/>
    </row>
    <row r="5843" spans="1:7" x14ac:dyDescent="0.3">
      <c r="A5843" s="24">
        <v>40721</v>
      </c>
      <c r="B5843" s="66">
        <v>963.70725000000004</v>
      </c>
      <c r="C5843" s="66">
        <v>975.1</v>
      </c>
      <c r="D5843" s="70">
        <v>0</v>
      </c>
      <c r="E5843" s="111">
        <v>101742</v>
      </c>
      <c r="F5843" s="69">
        <v>1.4514552040225233E-2</v>
      </c>
      <c r="G5843" s="69"/>
    </row>
    <row r="5844" spans="1:7" x14ac:dyDescent="0.3">
      <c r="A5844" s="24">
        <v>40722</v>
      </c>
      <c r="B5844" s="66">
        <v>963.70725000000004</v>
      </c>
      <c r="C5844" s="66">
        <v>975.1</v>
      </c>
      <c r="D5844" s="70">
        <v>0</v>
      </c>
      <c r="E5844" s="111">
        <v>101742</v>
      </c>
      <c r="F5844" s="69">
        <v>1.4514552040225233E-2</v>
      </c>
      <c r="G5844" s="69"/>
    </row>
    <row r="5845" spans="1:7" x14ac:dyDescent="0.3">
      <c r="A5845" s="24">
        <v>40723</v>
      </c>
      <c r="B5845" s="66">
        <v>963.70725000000004</v>
      </c>
      <c r="C5845" s="66">
        <v>975.1</v>
      </c>
      <c r="D5845" s="70">
        <v>5.444</v>
      </c>
      <c r="E5845" s="111">
        <v>101742</v>
      </c>
      <c r="F5845" s="69">
        <v>2.059177081735479E-2</v>
      </c>
      <c r="G5845" s="69">
        <v>1.8594818652849739E-2</v>
      </c>
    </row>
    <row r="5846" spans="1:7" x14ac:dyDescent="0.3">
      <c r="A5846" s="24">
        <v>40724</v>
      </c>
      <c r="B5846" s="66">
        <v>975.03320999999994</v>
      </c>
      <c r="C5846" s="66">
        <v>975.1</v>
      </c>
      <c r="D5846" s="70">
        <v>0</v>
      </c>
      <c r="E5846" s="111">
        <v>102995</v>
      </c>
      <c r="F5846" s="69">
        <v>2.059177081735479E-2</v>
      </c>
      <c r="G5846" s="69">
        <v>1.8594818652849739E-2</v>
      </c>
    </row>
    <row r="5847" spans="1:7" x14ac:dyDescent="0.3">
      <c r="A5847" s="24">
        <v>40725</v>
      </c>
      <c r="B5847" s="66">
        <v>975.03320999999994</v>
      </c>
      <c r="C5847" s="66">
        <v>980</v>
      </c>
      <c r="D5847" s="70">
        <v>0</v>
      </c>
      <c r="E5847" s="111">
        <f>+E5846</f>
        <v>102995</v>
      </c>
      <c r="F5847" s="69">
        <v>2.059177081735479E-2</v>
      </c>
      <c r="G5847" s="69">
        <v>1.8594818652849739E-2</v>
      </c>
    </row>
    <row r="5848" spans="1:7" x14ac:dyDescent="0.3">
      <c r="A5848" s="24">
        <v>40726</v>
      </c>
      <c r="B5848" s="66">
        <v>975.03320999999994</v>
      </c>
      <c r="C5848" s="66">
        <v>980</v>
      </c>
      <c r="D5848" s="70">
        <v>0</v>
      </c>
      <c r="E5848" s="111">
        <f t="shared" ref="E5848:E5876" si="94">+E5847</f>
        <v>102995</v>
      </c>
      <c r="F5848" s="69">
        <v>2.059177081735479E-2</v>
      </c>
      <c r="G5848" s="69">
        <v>1.8594818652849739E-2</v>
      </c>
    </row>
    <row r="5849" spans="1:7" x14ac:dyDescent="0.3">
      <c r="A5849" s="24">
        <v>40727</v>
      </c>
      <c r="B5849" s="66">
        <v>975.03320999999994</v>
      </c>
      <c r="C5849" s="66">
        <v>980</v>
      </c>
      <c r="D5849" s="70">
        <v>0</v>
      </c>
      <c r="E5849" s="111">
        <f t="shared" si="94"/>
        <v>102995</v>
      </c>
      <c r="F5849" s="69">
        <v>2.059177081735479E-2</v>
      </c>
      <c r="G5849" s="69">
        <v>1.8594818652849739E-2</v>
      </c>
    </row>
    <row r="5850" spans="1:7" x14ac:dyDescent="0.3">
      <c r="A5850" s="24">
        <v>40728</v>
      </c>
      <c r="B5850" s="66">
        <v>975.03320999999994</v>
      </c>
      <c r="C5850" s="66">
        <v>980</v>
      </c>
      <c r="D5850" s="70">
        <v>0</v>
      </c>
      <c r="E5850" s="111">
        <f t="shared" si="94"/>
        <v>102995</v>
      </c>
      <c r="F5850" s="69">
        <v>2.059177081735479E-2</v>
      </c>
      <c r="G5850" s="69">
        <v>1.8594818652849739E-2</v>
      </c>
    </row>
    <row r="5851" spans="1:7" x14ac:dyDescent="0.3">
      <c r="A5851" s="24">
        <v>40729</v>
      </c>
      <c r="B5851" s="66">
        <v>975.03320999999994</v>
      </c>
      <c r="C5851" s="66">
        <v>980</v>
      </c>
      <c r="D5851" s="70">
        <v>0</v>
      </c>
      <c r="E5851" s="111">
        <f t="shared" si="94"/>
        <v>102995</v>
      </c>
      <c r="F5851" s="69">
        <v>2.059177081735479E-2</v>
      </c>
      <c r="G5851" s="69">
        <v>1.8594818652849739E-2</v>
      </c>
    </row>
    <row r="5852" spans="1:7" x14ac:dyDescent="0.3">
      <c r="A5852" s="24">
        <v>40730</v>
      </c>
      <c r="B5852" s="66">
        <v>975.03320999999994</v>
      </c>
      <c r="C5852" s="66">
        <v>980</v>
      </c>
      <c r="D5852" s="70">
        <v>0</v>
      </c>
      <c r="E5852" s="111">
        <f t="shared" si="94"/>
        <v>102995</v>
      </c>
      <c r="F5852" s="69">
        <v>2.059177081735479E-2</v>
      </c>
      <c r="G5852" s="69">
        <v>1.8594818652849739E-2</v>
      </c>
    </row>
    <row r="5853" spans="1:7" x14ac:dyDescent="0.3">
      <c r="A5853" s="24">
        <v>40731</v>
      </c>
      <c r="B5853" s="66">
        <v>975.03320999999994</v>
      </c>
      <c r="C5853" s="66">
        <v>980</v>
      </c>
      <c r="D5853" s="70">
        <v>0</v>
      </c>
      <c r="E5853" s="111">
        <f t="shared" si="94"/>
        <v>102995</v>
      </c>
      <c r="F5853" s="69">
        <v>2.059177081735479E-2</v>
      </c>
      <c r="G5853" s="69">
        <v>1.8594818652849739E-2</v>
      </c>
    </row>
    <row r="5854" spans="1:7" x14ac:dyDescent="0.3">
      <c r="A5854" s="24">
        <v>40732</v>
      </c>
      <c r="B5854" s="66">
        <v>975.03320999999994</v>
      </c>
      <c r="C5854" s="66">
        <v>980</v>
      </c>
      <c r="D5854" s="70">
        <v>0</v>
      </c>
      <c r="E5854" s="111">
        <f t="shared" si="94"/>
        <v>102995</v>
      </c>
      <c r="F5854" s="69">
        <v>2.059177081735479E-2</v>
      </c>
      <c r="G5854" s="69">
        <v>1.8594818652849739E-2</v>
      </c>
    </row>
    <row r="5855" spans="1:7" x14ac:dyDescent="0.3">
      <c r="A5855" s="24">
        <v>40733</v>
      </c>
      <c r="B5855" s="66">
        <v>975.03320999999994</v>
      </c>
      <c r="C5855" s="66">
        <v>980</v>
      </c>
      <c r="D5855" s="70">
        <v>0</v>
      </c>
      <c r="E5855" s="111">
        <f t="shared" si="94"/>
        <v>102995</v>
      </c>
      <c r="F5855" s="69">
        <v>2.059177081735479E-2</v>
      </c>
      <c r="G5855" s="69">
        <v>1.8594818652849739E-2</v>
      </c>
    </row>
    <row r="5856" spans="1:7" x14ac:dyDescent="0.3">
      <c r="A5856" s="24">
        <v>40734</v>
      </c>
      <c r="B5856" s="66">
        <v>975.03320999999994</v>
      </c>
      <c r="C5856" s="66">
        <v>980</v>
      </c>
      <c r="D5856" s="70">
        <v>0</v>
      </c>
      <c r="E5856" s="111">
        <f t="shared" si="94"/>
        <v>102995</v>
      </c>
      <c r="F5856" s="69">
        <v>2.059177081735479E-2</v>
      </c>
      <c r="G5856" s="69">
        <v>1.8594818652849739E-2</v>
      </c>
    </row>
    <row r="5857" spans="1:7" x14ac:dyDescent="0.3">
      <c r="A5857" s="24">
        <v>40735</v>
      </c>
      <c r="B5857" s="66">
        <v>975.03320999999994</v>
      </c>
      <c r="C5857" s="66">
        <v>980</v>
      </c>
      <c r="D5857" s="70">
        <v>0</v>
      </c>
      <c r="E5857" s="111">
        <f t="shared" si="94"/>
        <v>102995</v>
      </c>
      <c r="F5857" s="69">
        <v>2.059177081735479E-2</v>
      </c>
      <c r="G5857" s="69">
        <v>1.8594818652849739E-2</v>
      </c>
    </row>
    <row r="5858" spans="1:7" x14ac:dyDescent="0.3">
      <c r="A5858" s="24">
        <v>40736</v>
      </c>
      <c r="B5858" s="66">
        <v>975.03320999999994</v>
      </c>
      <c r="C5858" s="66">
        <v>990</v>
      </c>
      <c r="D5858" s="70">
        <v>0</v>
      </c>
      <c r="E5858" s="111">
        <f t="shared" si="94"/>
        <v>102995</v>
      </c>
      <c r="F5858" s="69">
        <v>2.059177081735479E-2</v>
      </c>
      <c r="G5858" s="69">
        <v>1.8594818652849739E-2</v>
      </c>
    </row>
    <row r="5859" spans="1:7" x14ac:dyDescent="0.3">
      <c r="A5859" s="24">
        <v>40737</v>
      </c>
      <c r="B5859" s="66">
        <v>975.03320999999994</v>
      </c>
      <c r="C5859" s="66">
        <v>980</v>
      </c>
      <c r="D5859" s="70">
        <v>0</v>
      </c>
      <c r="E5859" s="111">
        <f t="shared" si="94"/>
        <v>102995</v>
      </c>
      <c r="F5859" s="69">
        <v>2.059177081735479E-2</v>
      </c>
      <c r="G5859" s="69">
        <v>1.8594818652849739E-2</v>
      </c>
    </row>
    <row r="5860" spans="1:7" x14ac:dyDescent="0.3">
      <c r="A5860" s="24">
        <v>40738</v>
      </c>
      <c r="B5860" s="66">
        <v>975.03320999999994</v>
      </c>
      <c r="C5860" s="66">
        <v>995</v>
      </c>
      <c r="D5860" s="70">
        <v>0</v>
      </c>
      <c r="E5860" s="111">
        <f t="shared" si="94"/>
        <v>102995</v>
      </c>
      <c r="F5860" s="69">
        <v>2.059177081735479E-2</v>
      </c>
      <c r="G5860" s="69">
        <v>1.8594818652849739E-2</v>
      </c>
    </row>
    <row r="5861" spans="1:7" x14ac:dyDescent="0.3">
      <c r="A5861" s="24">
        <v>40739</v>
      </c>
      <c r="B5861" s="66">
        <v>975.03320999999994</v>
      </c>
      <c r="C5861" s="66">
        <v>995</v>
      </c>
      <c r="D5861" s="70">
        <v>0</v>
      </c>
      <c r="E5861" s="111">
        <f t="shared" si="94"/>
        <v>102995</v>
      </c>
      <c r="F5861" s="69">
        <v>2.059177081735479E-2</v>
      </c>
      <c r="G5861" s="69">
        <v>1.8594818652849739E-2</v>
      </c>
    </row>
    <row r="5862" spans="1:7" x14ac:dyDescent="0.3">
      <c r="A5862" s="24">
        <v>40740</v>
      </c>
      <c r="B5862" s="66">
        <v>975.03320999999994</v>
      </c>
      <c r="C5862" s="66">
        <v>995</v>
      </c>
      <c r="D5862" s="70">
        <v>0</v>
      </c>
      <c r="E5862" s="111">
        <f t="shared" si="94"/>
        <v>102995</v>
      </c>
      <c r="F5862" s="69">
        <v>2.059177081735479E-2</v>
      </c>
      <c r="G5862" s="69">
        <v>1.8594818652849739E-2</v>
      </c>
    </row>
    <row r="5863" spans="1:7" x14ac:dyDescent="0.3">
      <c r="A5863" s="24">
        <v>40741</v>
      </c>
      <c r="B5863" s="66">
        <v>975.03320999999994</v>
      </c>
      <c r="C5863" s="66">
        <v>995</v>
      </c>
      <c r="D5863" s="70">
        <v>0</v>
      </c>
      <c r="E5863" s="111">
        <f t="shared" si="94"/>
        <v>102995</v>
      </c>
      <c r="F5863" s="69">
        <v>2.059177081735479E-2</v>
      </c>
      <c r="G5863" s="69">
        <v>1.8594818652849739E-2</v>
      </c>
    </row>
    <row r="5864" spans="1:7" x14ac:dyDescent="0.3">
      <c r="A5864" s="24">
        <v>40742</v>
      </c>
      <c r="B5864" s="66">
        <v>975.03320999999994</v>
      </c>
      <c r="C5864" s="66">
        <v>980</v>
      </c>
      <c r="D5864" s="70">
        <v>0</v>
      </c>
      <c r="E5864" s="111">
        <f t="shared" si="94"/>
        <v>102995</v>
      </c>
      <c r="F5864" s="69">
        <v>2.059177081735479E-2</v>
      </c>
      <c r="G5864" s="69">
        <v>1.8594818652849739E-2</v>
      </c>
    </row>
    <row r="5865" spans="1:7" x14ac:dyDescent="0.3">
      <c r="A5865" s="24">
        <v>40743</v>
      </c>
      <c r="B5865" s="66">
        <v>975.03320999999994</v>
      </c>
      <c r="C5865" s="66">
        <v>980</v>
      </c>
      <c r="D5865" s="70">
        <v>0</v>
      </c>
      <c r="E5865" s="111">
        <f t="shared" si="94"/>
        <v>102995</v>
      </c>
      <c r="F5865" s="69">
        <v>2.059177081735479E-2</v>
      </c>
      <c r="G5865" s="69">
        <v>1.8594818652849739E-2</v>
      </c>
    </row>
    <row r="5866" spans="1:7" x14ac:dyDescent="0.3">
      <c r="A5866" s="24">
        <v>40744</v>
      </c>
      <c r="B5866" s="66">
        <v>975.03320999999994</v>
      </c>
      <c r="C5866" s="66">
        <v>980</v>
      </c>
      <c r="D5866" s="70">
        <v>0</v>
      </c>
      <c r="E5866" s="111">
        <f t="shared" si="94"/>
        <v>102995</v>
      </c>
      <c r="F5866" s="69">
        <v>2.059177081735479E-2</v>
      </c>
      <c r="G5866" s="69">
        <v>1.8594818652849739E-2</v>
      </c>
    </row>
    <row r="5867" spans="1:7" x14ac:dyDescent="0.3">
      <c r="A5867" s="24">
        <v>40745</v>
      </c>
      <c r="B5867" s="66">
        <v>975.03320999999994</v>
      </c>
      <c r="C5867" s="66">
        <v>980</v>
      </c>
      <c r="D5867" s="70">
        <v>0</v>
      </c>
      <c r="E5867" s="111">
        <f t="shared" si="94"/>
        <v>102995</v>
      </c>
      <c r="F5867" s="69">
        <v>2.059177081735479E-2</v>
      </c>
      <c r="G5867" s="69">
        <v>1.8594818652849739E-2</v>
      </c>
    </row>
    <row r="5868" spans="1:7" x14ac:dyDescent="0.3">
      <c r="A5868" s="24">
        <v>40746</v>
      </c>
      <c r="B5868" s="66">
        <v>975.03320999999994</v>
      </c>
      <c r="C5868" s="66">
        <v>986</v>
      </c>
      <c r="D5868" s="70">
        <v>0</v>
      </c>
      <c r="E5868" s="111">
        <f t="shared" si="94"/>
        <v>102995</v>
      </c>
      <c r="F5868" s="69">
        <v>2.059177081735479E-2</v>
      </c>
      <c r="G5868" s="69">
        <v>1.8594818652849739E-2</v>
      </c>
    </row>
    <row r="5869" spans="1:7" x14ac:dyDescent="0.3">
      <c r="A5869" s="24">
        <v>40747</v>
      </c>
      <c r="B5869" s="66">
        <v>975.03320999999994</v>
      </c>
      <c r="C5869" s="66">
        <v>986</v>
      </c>
      <c r="D5869" s="70">
        <v>0</v>
      </c>
      <c r="E5869" s="111">
        <f t="shared" si="94"/>
        <v>102995</v>
      </c>
      <c r="F5869" s="69">
        <v>2.059177081735479E-2</v>
      </c>
      <c r="G5869" s="69">
        <v>1.8594818652849739E-2</v>
      </c>
    </row>
    <row r="5870" spans="1:7" x14ac:dyDescent="0.3">
      <c r="A5870" s="24">
        <v>40748</v>
      </c>
      <c r="B5870" s="66">
        <v>975.03320999999994</v>
      </c>
      <c r="C5870" s="66">
        <v>986</v>
      </c>
      <c r="D5870" s="70">
        <v>0</v>
      </c>
      <c r="E5870" s="111">
        <f t="shared" si="94"/>
        <v>102995</v>
      </c>
      <c r="F5870" s="69">
        <v>2.059177081735479E-2</v>
      </c>
      <c r="G5870" s="69">
        <v>1.8594818652849739E-2</v>
      </c>
    </row>
    <row r="5871" spans="1:7" x14ac:dyDescent="0.3">
      <c r="A5871" s="24">
        <v>40749</v>
      </c>
      <c r="B5871" s="66">
        <v>975.03320999999994</v>
      </c>
      <c r="C5871" s="66">
        <v>986</v>
      </c>
      <c r="D5871" s="70">
        <v>0</v>
      </c>
      <c r="E5871" s="111">
        <f t="shared" si="94"/>
        <v>102995</v>
      </c>
      <c r="F5871" s="69">
        <v>2.059177081735479E-2</v>
      </c>
      <c r="G5871" s="69">
        <v>1.8594818652849739E-2</v>
      </c>
    </row>
    <row r="5872" spans="1:7" x14ac:dyDescent="0.3">
      <c r="A5872" s="24">
        <v>40750</v>
      </c>
      <c r="B5872" s="66">
        <v>975.03320999999994</v>
      </c>
      <c r="C5872" s="66">
        <v>986</v>
      </c>
      <c r="D5872" s="70">
        <v>0</v>
      </c>
      <c r="E5872" s="111">
        <f t="shared" si="94"/>
        <v>102995</v>
      </c>
      <c r="F5872" s="69">
        <v>2.059177081735479E-2</v>
      </c>
      <c r="G5872" s="69">
        <v>1.8594818652849739E-2</v>
      </c>
    </row>
    <row r="5873" spans="1:7" x14ac:dyDescent="0.3">
      <c r="A5873" s="24">
        <v>40751</v>
      </c>
      <c r="B5873" s="66">
        <v>975.03320999999994</v>
      </c>
      <c r="C5873" s="66">
        <v>986</v>
      </c>
      <c r="D5873" s="70">
        <v>0</v>
      </c>
      <c r="E5873" s="111">
        <f t="shared" si="94"/>
        <v>102995</v>
      </c>
      <c r="F5873" s="69">
        <v>2.059177081735479E-2</v>
      </c>
      <c r="G5873" s="69">
        <v>1.8594818652849739E-2</v>
      </c>
    </row>
    <row r="5874" spans="1:7" x14ac:dyDescent="0.3">
      <c r="A5874" s="24">
        <v>40752</v>
      </c>
      <c r="B5874" s="66">
        <v>975.03320999999994</v>
      </c>
      <c r="C5874" s="66">
        <v>995</v>
      </c>
      <c r="D5874" s="70">
        <v>0</v>
      </c>
      <c r="E5874" s="111">
        <f t="shared" si="94"/>
        <v>102995</v>
      </c>
      <c r="F5874" s="69">
        <v>2.059177081735479E-2</v>
      </c>
      <c r="G5874" s="69">
        <v>1.8594818652849739E-2</v>
      </c>
    </row>
    <row r="5875" spans="1:7" x14ac:dyDescent="0.3">
      <c r="A5875" s="24">
        <v>40753</v>
      </c>
      <c r="B5875" s="66">
        <v>975.03320999999994</v>
      </c>
      <c r="C5875" s="66">
        <v>995</v>
      </c>
      <c r="D5875" s="70">
        <v>0</v>
      </c>
      <c r="E5875" s="111">
        <f t="shared" si="94"/>
        <v>102995</v>
      </c>
      <c r="F5875" s="69">
        <v>2.059177081735479E-2</v>
      </c>
      <c r="G5875" s="69">
        <v>1.8594818652849739E-2</v>
      </c>
    </row>
    <row r="5876" spans="1:7" x14ac:dyDescent="0.3">
      <c r="A5876" s="24">
        <v>40754</v>
      </c>
      <c r="B5876" s="66">
        <v>975.03320999999994</v>
      </c>
      <c r="C5876" s="66">
        <v>995</v>
      </c>
      <c r="D5876" s="70">
        <v>0</v>
      </c>
      <c r="E5876" s="111">
        <f t="shared" si="94"/>
        <v>102995</v>
      </c>
      <c r="F5876" s="69">
        <v>2.059177081735479E-2</v>
      </c>
      <c r="G5876" s="69">
        <v>1.8594818652849739E-2</v>
      </c>
    </row>
    <row r="5877" spans="1:7" x14ac:dyDescent="0.3">
      <c r="A5877" s="24">
        <v>40755</v>
      </c>
      <c r="B5877" s="66">
        <v>975.03320999999994</v>
      </c>
      <c r="C5877" s="66">
        <v>995</v>
      </c>
      <c r="D5877" s="70">
        <v>0</v>
      </c>
      <c r="E5877" s="111">
        <v>103672</v>
      </c>
      <c r="F5877" s="69">
        <v>2.059177081735479E-2</v>
      </c>
      <c r="G5877" s="69">
        <v>1.8594818652849739E-2</v>
      </c>
    </row>
    <row r="5878" spans="1:7" x14ac:dyDescent="0.3">
      <c r="A5878" s="24">
        <v>40756</v>
      </c>
      <c r="B5878" s="66">
        <v>975.03320999999994</v>
      </c>
      <c r="C5878" s="66">
        <v>995</v>
      </c>
      <c r="D5878" s="70">
        <v>0</v>
      </c>
      <c r="E5878" s="111">
        <f>+E5877</f>
        <v>103672</v>
      </c>
      <c r="F5878" s="69">
        <v>2.059177081735479E-2</v>
      </c>
      <c r="G5878" s="69">
        <v>1.8594818652849739E-2</v>
      </c>
    </row>
    <row r="5879" spans="1:7" x14ac:dyDescent="0.3">
      <c r="A5879" s="24">
        <v>40757</v>
      </c>
      <c r="B5879" s="66">
        <v>975.03320999999994</v>
      </c>
      <c r="C5879" s="66">
        <v>995</v>
      </c>
      <c r="D5879" s="70">
        <v>0</v>
      </c>
      <c r="E5879" s="111">
        <f t="shared" ref="E5879:E5907" si="95">+E5878</f>
        <v>103672</v>
      </c>
      <c r="F5879" s="69">
        <v>2.059177081735479E-2</v>
      </c>
      <c r="G5879" s="69">
        <v>1.8594818652849739E-2</v>
      </c>
    </row>
    <row r="5880" spans="1:7" x14ac:dyDescent="0.3">
      <c r="A5880" s="24">
        <v>40758</v>
      </c>
      <c r="B5880" s="66">
        <v>975.03320999999994</v>
      </c>
      <c r="C5880" s="66">
        <v>995</v>
      </c>
      <c r="D5880" s="70">
        <v>0</v>
      </c>
      <c r="E5880" s="111">
        <f t="shared" si="95"/>
        <v>103672</v>
      </c>
      <c r="F5880" s="69">
        <v>2.059177081735479E-2</v>
      </c>
      <c r="G5880" s="69">
        <v>1.8594818652849739E-2</v>
      </c>
    </row>
    <row r="5881" spans="1:7" x14ac:dyDescent="0.3">
      <c r="A5881" s="24">
        <v>40759</v>
      </c>
      <c r="B5881" s="66">
        <v>975.03320999999994</v>
      </c>
      <c r="C5881" s="66">
        <v>995</v>
      </c>
      <c r="D5881" s="70">
        <v>0</v>
      </c>
      <c r="E5881" s="111">
        <f t="shared" si="95"/>
        <v>103672</v>
      </c>
      <c r="F5881" s="69">
        <v>2.059177081735479E-2</v>
      </c>
      <c r="G5881" s="69">
        <v>1.8594818652849739E-2</v>
      </c>
    </row>
    <row r="5882" spans="1:7" x14ac:dyDescent="0.3">
      <c r="A5882" s="24">
        <v>40760</v>
      </c>
      <c r="B5882" s="66">
        <v>975.03320999999994</v>
      </c>
      <c r="C5882" s="66">
        <v>995</v>
      </c>
      <c r="D5882" s="70">
        <v>0</v>
      </c>
      <c r="E5882" s="111">
        <f t="shared" si="95"/>
        <v>103672</v>
      </c>
      <c r="F5882" s="69">
        <v>2.059177081735479E-2</v>
      </c>
      <c r="G5882" s="69">
        <v>1.8594818652849739E-2</v>
      </c>
    </row>
    <row r="5883" spans="1:7" x14ac:dyDescent="0.3">
      <c r="A5883" s="24">
        <v>40761</v>
      </c>
      <c r="B5883" s="66">
        <v>975.03320999999994</v>
      </c>
      <c r="C5883" s="66">
        <v>995</v>
      </c>
      <c r="D5883" s="70">
        <v>0</v>
      </c>
      <c r="E5883" s="111">
        <f t="shared" si="95"/>
        <v>103672</v>
      </c>
      <c r="F5883" s="69">
        <v>2.059177081735479E-2</v>
      </c>
      <c r="G5883" s="69">
        <v>1.8594818652849739E-2</v>
      </c>
    </row>
    <row r="5884" spans="1:7" x14ac:dyDescent="0.3">
      <c r="A5884" s="24">
        <v>40762</v>
      </c>
      <c r="B5884" s="66">
        <v>975.03320999999994</v>
      </c>
      <c r="C5884" s="66">
        <v>995</v>
      </c>
      <c r="D5884" s="70">
        <v>0</v>
      </c>
      <c r="E5884" s="111">
        <f t="shared" si="95"/>
        <v>103672</v>
      </c>
      <c r="F5884" s="69">
        <v>2.059177081735479E-2</v>
      </c>
      <c r="G5884" s="69">
        <v>1.8594818652849739E-2</v>
      </c>
    </row>
    <row r="5885" spans="1:7" x14ac:dyDescent="0.3">
      <c r="A5885" s="24">
        <v>40763</v>
      </c>
      <c r="B5885" s="66">
        <v>975.03320999999994</v>
      </c>
      <c r="C5885" s="66">
        <v>995</v>
      </c>
      <c r="D5885" s="70">
        <v>0</v>
      </c>
      <c r="E5885" s="111">
        <f t="shared" si="95"/>
        <v>103672</v>
      </c>
      <c r="F5885" s="69">
        <v>2.059177081735479E-2</v>
      </c>
      <c r="G5885" s="69">
        <v>1.8594818652849739E-2</v>
      </c>
    </row>
    <row r="5886" spans="1:7" x14ac:dyDescent="0.3">
      <c r="A5886" s="24">
        <v>40764</v>
      </c>
      <c r="B5886" s="66">
        <v>975.03320999999994</v>
      </c>
      <c r="C5886" s="66">
        <v>995</v>
      </c>
      <c r="D5886" s="70">
        <v>0</v>
      </c>
      <c r="E5886" s="111">
        <f t="shared" si="95"/>
        <v>103672</v>
      </c>
      <c r="F5886" s="69">
        <v>2.059177081735479E-2</v>
      </c>
      <c r="G5886" s="69">
        <v>1.8594818652849739E-2</v>
      </c>
    </row>
    <row r="5887" spans="1:7" x14ac:dyDescent="0.3">
      <c r="A5887" s="24">
        <v>40765</v>
      </c>
      <c r="B5887" s="66">
        <v>975.03320999999994</v>
      </c>
      <c r="C5887" s="66">
        <v>995</v>
      </c>
      <c r="D5887" s="70">
        <v>0</v>
      </c>
      <c r="E5887" s="111">
        <f t="shared" si="95"/>
        <v>103672</v>
      </c>
      <c r="F5887" s="69">
        <v>2.059177081735479E-2</v>
      </c>
      <c r="G5887" s="69">
        <v>1.8594818652849739E-2</v>
      </c>
    </row>
    <row r="5888" spans="1:7" x14ac:dyDescent="0.3">
      <c r="A5888" s="24">
        <v>40766</v>
      </c>
      <c r="B5888" s="66">
        <v>975.03320999999994</v>
      </c>
      <c r="C5888" s="66">
        <v>995</v>
      </c>
      <c r="D5888" s="70">
        <v>0</v>
      </c>
      <c r="E5888" s="111">
        <f t="shared" si="95"/>
        <v>103672</v>
      </c>
      <c r="F5888" s="69">
        <v>2.059177081735479E-2</v>
      </c>
      <c r="G5888" s="69">
        <v>1.8594818652849739E-2</v>
      </c>
    </row>
    <row r="5889" spans="1:7" x14ac:dyDescent="0.3">
      <c r="A5889" s="24">
        <v>40767</v>
      </c>
      <c r="B5889" s="66">
        <v>975.03320999999994</v>
      </c>
      <c r="C5889" s="66">
        <v>995</v>
      </c>
      <c r="D5889" s="70">
        <v>0</v>
      </c>
      <c r="E5889" s="111">
        <f t="shared" si="95"/>
        <v>103672</v>
      </c>
      <c r="F5889" s="69">
        <v>2.059177081735479E-2</v>
      </c>
      <c r="G5889" s="69">
        <v>1.8594818652849739E-2</v>
      </c>
    </row>
    <row r="5890" spans="1:7" x14ac:dyDescent="0.3">
      <c r="A5890" s="24">
        <v>40768</v>
      </c>
      <c r="B5890" s="66">
        <v>975.03320999999994</v>
      </c>
      <c r="C5890" s="66">
        <v>995</v>
      </c>
      <c r="D5890" s="70">
        <v>0</v>
      </c>
      <c r="E5890" s="111">
        <f t="shared" si="95"/>
        <v>103672</v>
      </c>
      <c r="F5890" s="69">
        <v>2.059177081735479E-2</v>
      </c>
      <c r="G5890" s="69">
        <v>1.8594818652849739E-2</v>
      </c>
    </row>
    <row r="5891" spans="1:7" x14ac:dyDescent="0.3">
      <c r="A5891" s="24">
        <v>40769</v>
      </c>
      <c r="B5891" s="66">
        <v>975.03320999999994</v>
      </c>
      <c r="C5891" s="66">
        <v>995</v>
      </c>
      <c r="D5891" s="70">
        <v>0</v>
      </c>
      <c r="E5891" s="111">
        <f t="shared" si="95"/>
        <v>103672</v>
      </c>
      <c r="F5891" s="69">
        <v>2.059177081735479E-2</v>
      </c>
      <c r="G5891" s="69">
        <v>1.8594818652849739E-2</v>
      </c>
    </row>
    <row r="5892" spans="1:7" x14ac:dyDescent="0.3">
      <c r="A5892" s="24">
        <v>40770</v>
      </c>
      <c r="B5892" s="66">
        <v>975.03320999999994</v>
      </c>
      <c r="C5892" s="66">
        <v>995</v>
      </c>
      <c r="D5892" s="70">
        <v>0</v>
      </c>
      <c r="E5892" s="111">
        <f t="shared" si="95"/>
        <v>103672</v>
      </c>
      <c r="F5892" s="69">
        <v>2.059177081735479E-2</v>
      </c>
      <c r="G5892" s="69">
        <v>1.8594818652849739E-2</v>
      </c>
    </row>
    <row r="5893" spans="1:7" x14ac:dyDescent="0.3">
      <c r="A5893" s="24">
        <v>40771</v>
      </c>
      <c r="B5893" s="66">
        <v>975.03320999999994</v>
      </c>
      <c r="C5893" s="66">
        <v>994</v>
      </c>
      <c r="D5893" s="70">
        <v>0</v>
      </c>
      <c r="E5893" s="111">
        <f t="shared" si="95"/>
        <v>103672</v>
      </c>
      <c r="F5893" s="69">
        <v>2.059177081735479E-2</v>
      </c>
      <c r="G5893" s="69">
        <v>1.8594818652849739E-2</v>
      </c>
    </row>
    <row r="5894" spans="1:7" x14ac:dyDescent="0.3">
      <c r="A5894" s="24">
        <v>40772</v>
      </c>
      <c r="B5894" s="66">
        <v>975.03320999999994</v>
      </c>
      <c r="C5894" s="66">
        <v>994</v>
      </c>
      <c r="D5894" s="70">
        <v>0</v>
      </c>
      <c r="E5894" s="111">
        <f t="shared" si="95"/>
        <v>103672</v>
      </c>
      <c r="F5894" s="69">
        <v>2.059177081735479E-2</v>
      </c>
      <c r="G5894" s="69">
        <v>1.8594818652849739E-2</v>
      </c>
    </row>
    <row r="5895" spans="1:7" x14ac:dyDescent="0.3">
      <c r="A5895" s="24">
        <v>40773</v>
      </c>
      <c r="B5895" s="66">
        <v>975.03320999999994</v>
      </c>
      <c r="C5895" s="66">
        <v>994</v>
      </c>
      <c r="D5895" s="70">
        <v>0</v>
      </c>
      <c r="E5895" s="111">
        <f t="shared" si="95"/>
        <v>103672</v>
      </c>
      <c r="F5895" s="69">
        <v>2.059177081735479E-2</v>
      </c>
      <c r="G5895" s="69">
        <v>1.8594818652849739E-2</v>
      </c>
    </row>
    <row r="5896" spans="1:7" x14ac:dyDescent="0.3">
      <c r="A5896" s="24">
        <v>40774</v>
      </c>
      <c r="B5896" s="66">
        <v>975.03320999999994</v>
      </c>
      <c r="C5896" s="66">
        <v>994</v>
      </c>
      <c r="D5896" s="70">
        <v>0</v>
      </c>
      <c r="E5896" s="111">
        <f t="shared" si="95"/>
        <v>103672</v>
      </c>
      <c r="F5896" s="69">
        <v>2.059177081735479E-2</v>
      </c>
      <c r="G5896" s="69">
        <v>1.8594818652849739E-2</v>
      </c>
    </row>
    <row r="5897" spans="1:7" x14ac:dyDescent="0.3">
      <c r="A5897" s="24">
        <v>40775</v>
      </c>
      <c r="B5897" s="66">
        <v>975.03320999999994</v>
      </c>
      <c r="C5897" s="66">
        <v>994</v>
      </c>
      <c r="D5897" s="70">
        <v>0</v>
      </c>
      <c r="E5897" s="111">
        <f t="shared" si="95"/>
        <v>103672</v>
      </c>
      <c r="F5897" s="69">
        <v>2.059177081735479E-2</v>
      </c>
      <c r="G5897" s="69">
        <v>1.8594818652849739E-2</v>
      </c>
    </row>
    <row r="5898" spans="1:7" x14ac:dyDescent="0.3">
      <c r="A5898" s="24">
        <v>40776</v>
      </c>
      <c r="B5898" s="66">
        <v>975.03320999999994</v>
      </c>
      <c r="C5898" s="66">
        <v>994</v>
      </c>
      <c r="D5898" s="70">
        <v>0</v>
      </c>
      <c r="E5898" s="111">
        <f t="shared" si="95"/>
        <v>103672</v>
      </c>
      <c r="F5898" s="69">
        <v>2.059177081735479E-2</v>
      </c>
      <c r="G5898" s="69">
        <v>1.8594818652849739E-2</v>
      </c>
    </row>
    <row r="5899" spans="1:7" x14ac:dyDescent="0.3">
      <c r="A5899" s="24">
        <v>40777</v>
      </c>
      <c r="B5899" s="66">
        <v>975.03320999999994</v>
      </c>
      <c r="C5899" s="66">
        <v>994</v>
      </c>
      <c r="D5899" s="70">
        <v>0</v>
      </c>
      <c r="E5899" s="111">
        <f t="shared" si="95"/>
        <v>103672</v>
      </c>
      <c r="F5899" s="69">
        <v>2.059177081735479E-2</v>
      </c>
      <c r="G5899" s="69">
        <v>1.8594818652849739E-2</v>
      </c>
    </row>
    <row r="5900" spans="1:7" x14ac:dyDescent="0.3">
      <c r="A5900" s="24">
        <v>40778</v>
      </c>
      <c r="B5900" s="66">
        <v>975.03320999999994</v>
      </c>
      <c r="C5900" s="66">
        <v>994</v>
      </c>
      <c r="D5900" s="70">
        <v>0</v>
      </c>
      <c r="E5900" s="111">
        <f t="shared" si="95"/>
        <v>103672</v>
      </c>
      <c r="F5900" s="69">
        <v>2.059177081735479E-2</v>
      </c>
      <c r="G5900" s="69">
        <v>1.8594818652849739E-2</v>
      </c>
    </row>
    <row r="5901" spans="1:7" x14ac:dyDescent="0.3">
      <c r="A5901" s="24">
        <v>40779</v>
      </c>
      <c r="B5901" s="66">
        <v>975.03320999999994</v>
      </c>
      <c r="C5901" s="66">
        <v>994</v>
      </c>
      <c r="D5901" s="70">
        <v>0</v>
      </c>
      <c r="E5901" s="111">
        <f t="shared" si="95"/>
        <v>103672</v>
      </c>
      <c r="F5901" s="69">
        <v>2.059177081735479E-2</v>
      </c>
      <c r="G5901" s="69">
        <v>1.8594818652849739E-2</v>
      </c>
    </row>
    <row r="5902" spans="1:7" x14ac:dyDescent="0.3">
      <c r="A5902" s="24">
        <v>40780</v>
      </c>
      <c r="B5902" s="66">
        <v>975.03320999999994</v>
      </c>
      <c r="C5902" s="66">
        <v>994</v>
      </c>
      <c r="D5902" s="70">
        <v>0</v>
      </c>
      <c r="E5902" s="111">
        <f t="shared" si="95"/>
        <v>103672</v>
      </c>
      <c r="F5902" s="69">
        <v>2.059177081735479E-2</v>
      </c>
      <c r="G5902" s="69">
        <v>1.8594818652849739E-2</v>
      </c>
    </row>
    <row r="5903" spans="1:7" x14ac:dyDescent="0.3">
      <c r="A5903" s="24">
        <v>40781</v>
      </c>
      <c r="B5903" s="66">
        <v>975.03320999999994</v>
      </c>
      <c r="C5903" s="66">
        <v>994</v>
      </c>
      <c r="D5903" s="70">
        <v>0</v>
      </c>
      <c r="E5903" s="111">
        <f t="shared" si="95"/>
        <v>103672</v>
      </c>
      <c r="F5903" s="69">
        <v>2.059177081735479E-2</v>
      </c>
      <c r="G5903" s="69">
        <v>1.8594818652849739E-2</v>
      </c>
    </row>
    <row r="5904" spans="1:7" x14ac:dyDescent="0.3">
      <c r="A5904" s="24">
        <v>40782</v>
      </c>
      <c r="B5904" s="66">
        <v>975.03320999999994</v>
      </c>
      <c r="C5904" s="66">
        <v>994</v>
      </c>
      <c r="D5904" s="70">
        <v>0</v>
      </c>
      <c r="E5904" s="111">
        <f t="shared" si="95"/>
        <v>103672</v>
      </c>
      <c r="F5904" s="69">
        <v>2.059177081735479E-2</v>
      </c>
      <c r="G5904" s="69">
        <v>1.8594818652849739E-2</v>
      </c>
    </row>
    <row r="5905" spans="1:7" x14ac:dyDescent="0.3">
      <c r="A5905" s="24">
        <v>40783</v>
      </c>
      <c r="B5905" s="66">
        <v>975.03320999999994</v>
      </c>
      <c r="C5905" s="66">
        <v>994</v>
      </c>
      <c r="D5905" s="70">
        <v>0</v>
      </c>
      <c r="E5905" s="111">
        <f t="shared" si="95"/>
        <v>103672</v>
      </c>
      <c r="F5905" s="69">
        <v>2.059177081735479E-2</v>
      </c>
      <c r="G5905" s="69">
        <v>1.8594818652849739E-2</v>
      </c>
    </row>
    <row r="5906" spans="1:7" x14ac:dyDescent="0.3">
      <c r="A5906" s="24">
        <v>40784</v>
      </c>
      <c r="B5906" s="66">
        <v>975.03320999999994</v>
      </c>
      <c r="C5906" s="66">
        <v>996</v>
      </c>
      <c r="D5906" s="70">
        <v>0</v>
      </c>
      <c r="E5906" s="111">
        <f t="shared" si="95"/>
        <v>103672</v>
      </c>
      <c r="F5906" s="69">
        <v>2.059177081735479E-2</v>
      </c>
      <c r="G5906" s="69">
        <v>1.8594818652849739E-2</v>
      </c>
    </row>
    <row r="5907" spans="1:7" x14ac:dyDescent="0.3">
      <c r="A5907" s="24">
        <v>40785</v>
      </c>
      <c r="B5907" s="66">
        <v>975.03320999999994</v>
      </c>
      <c r="C5907" s="66">
        <v>996</v>
      </c>
      <c r="D5907" s="70">
        <v>0</v>
      </c>
      <c r="E5907" s="111">
        <f t="shared" si="95"/>
        <v>103672</v>
      </c>
      <c r="F5907" s="69">
        <v>2.059177081735479E-2</v>
      </c>
      <c r="G5907" s="69">
        <v>1.8594818652849739E-2</v>
      </c>
    </row>
    <row r="5908" spans="1:7" x14ac:dyDescent="0.3">
      <c r="A5908" s="24">
        <v>40786</v>
      </c>
      <c r="B5908" s="66">
        <v>975.03320999999994</v>
      </c>
      <c r="C5908" s="66">
        <v>996</v>
      </c>
      <c r="D5908" s="70">
        <v>0</v>
      </c>
      <c r="E5908" s="111">
        <v>108297</v>
      </c>
      <c r="F5908" s="69">
        <v>2.059177081735479E-2</v>
      </c>
      <c r="G5908" s="69">
        <v>1.8594818652849739E-2</v>
      </c>
    </row>
    <row r="5909" spans="1:7" x14ac:dyDescent="0.3">
      <c r="A5909" s="24">
        <v>40787</v>
      </c>
      <c r="B5909" s="66">
        <v>975.03320999999994</v>
      </c>
      <c r="C5909" s="66">
        <v>996</v>
      </c>
      <c r="D5909" s="70">
        <v>0</v>
      </c>
      <c r="E5909" s="111">
        <f>+E5908</f>
        <v>108297</v>
      </c>
      <c r="F5909" s="69">
        <v>2.059177081735479E-2</v>
      </c>
      <c r="G5909" s="69">
        <v>1.8594818652849739E-2</v>
      </c>
    </row>
    <row r="5910" spans="1:7" x14ac:dyDescent="0.3">
      <c r="A5910" s="24">
        <v>40788</v>
      </c>
      <c r="B5910" s="66">
        <v>975.03320999999994</v>
      </c>
      <c r="C5910" s="66">
        <v>998</v>
      </c>
      <c r="D5910" s="70">
        <v>0</v>
      </c>
      <c r="E5910" s="111">
        <f t="shared" ref="E5910:E5937" si="96">+E5909</f>
        <v>108297</v>
      </c>
      <c r="F5910" s="69">
        <v>2.059177081735479E-2</v>
      </c>
      <c r="G5910" s="69">
        <v>1.8594818652849739E-2</v>
      </c>
    </row>
    <row r="5911" spans="1:7" x14ac:dyDescent="0.3">
      <c r="A5911" s="24">
        <v>40789</v>
      </c>
      <c r="B5911" s="66">
        <v>975.03320999999994</v>
      </c>
      <c r="C5911" s="66">
        <v>998</v>
      </c>
      <c r="D5911" s="70">
        <v>0</v>
      </c>
      <c r="E5911" s="111">
        <f t="shared" si="96"/>
        <v>108297</v>
      </c>
      <c r="F5911" s="69">
        <v>2.059177081735479E-2</v>
      </c>
      <c r="G5911" s="69">
        <v>1.8594818652849739E-2</v>
      </c>
    </row>
    <row r="5912" spans="1:7" x14ac:dyDescent="0.3">
      <c r="A5912" s="24">
        <v>40790</v>
      </c>
      <c r="B5912" s="66">
        <v>975.03320999999994</v>
      </c>
      <c r="C5912" s="66">
        <v>998</v>
      </c>
      <c r="D5912" s="70">
        <v>0</v>
      </c>
      <c r="E5912" s="111">
        <f t="shared" si="96"/>
        <v>108297</v>
      </c>
      <c r="F5912" s="69">
        <v>2.059177081735479E-2</v>
      </c>
      <c r="G5912" s="69">
        <v>1.8594818652849739E-2</v>
      </c>
    </row>
    <row r="5913" spans="1:7" x14ac:dyDescent="0.3">
      <c r="A5913" s="24">
        <v>40791</v>
      </c>
      <c r="B5913" s="66">
        <v>975.03320999999994</v>
      </c>
      <c r="C5913" s="66">
        <v>998</v>
      </c>
      <c r="D5913" s="70">
        <v>0</v>
      </c>
      <c r="E5913" s="111">
        <f t="shared" si="96"/>
        <v>108297</v>
      </c>
      <c r="F5913" s="69">
        <v>2.059177081735479E-2</v>
      </c>
      <c r="G5913" s="69">
        <v>1.8594818652849739E-2</v>
      </c>
    </row>
    <row r="5914" spans="1:7" x14ac:dyDescent="0.3">
      <c r="A5914" s="24">
        <v>40792</v>
      </c>
      <c r="B5914" s="66">
        <v>975.03320999999994</v>
      </c>
      <c r="C5914" s="66">
        <v>998</v>
      </c>
      <c r="D5914" s="70">
        <v>0</v>
      </c>
      <c r="E5914" s="111">
        <f t="shared" si="96"/>
        <v>108297</v>
      </c>
      <c r="F5914" s="69">
        <v>2.059177081735479E-2</v>
      </c>
      <c r="G5914" s="69">
        <v>1.8594818652849739E-2</v>
      </c>
    </row>
    <row r="5915" spans="1:7" x14ac:dyDescent="0.3">
      <c r="A5915" s="24">
        <v>40793</v>
      </c>
      <c r="B5915" s="66">
        <v>975.03320999999994</v>
      </c>
      <c r="C5915" s="66">
        <v>998</v>
      </c>
      <c r="D5915" s="70">
        <v>0</v>
      </c>
      <c r="E5915" s="111">
        <f t="shared" si="96"/>
        <v>108297</v>
      </c>
      <c r="F5915" s="69">
        <v>2.059177081735479E-2</v>
      </c>
      <c r="G5915" s="69">
        <v>1.8594818652849739E-2</v>
      </c>
    </row>
    <row r="5916" spans="1:7" x14ac:dyDescent="0.3">
      <c r="A5916" s="24">
        <v>40794</v>
      </c>
      <c r="B5916" s="66">
        <v>975.03320999999994</v>
      </c>
      <c r="C5916" s="66">
        <v>998</v>
      </c>
      <c r="D5916" s="70">
        <v>0</v>
      </c>
      <c r="E5916" s="111">
        <f t="shared" si="96"/>
        <v>108297</v>
      </c>
      <c r="F5916" s="69">
        <v>2.059177081735479E-2</v>
      </c>
      <c r="G5916" s="69">
        <v>1.8594818652849739E-2</v>
      </c>
    </row>
    <row r="5917" spans="1:7" x14ac:dyDescent="0.3">
      <c r="A5917" s="24">
        <v>40795</v>
      </c>
      <c r="B5917" s="66">
        <v>975.03320999999994</v>
      </c>
      <c r="C5917" s="66">
        <v>998.5</v>
      </c>
      <c r="D5917" s="70">
        <v>0</v>
      </c>
      <c r="E5917" s="111">
        <f t="shared" si="96"/>
        <v>108297</v>
      </c>
      <c r="F5917" s="69">
        <v>2.059177081735479E-2</v>
      </c>
      <c r="G5917" s="69">
        <v>1.8594818652849739E-2</v>
      </c>
    </row>
    <row r="5918" spans="1:7" x14ac:dyDescent="0.3">
      <c r="A5918" s="24">
        <v>40796</v>
      </c>
      <c r="B5918" s="66">
        <v>975.03320999999994</v>
      </c>
      <c r="C5918" s="66">
        <v>998.5</v>
      </c>
      <c r="D5918" s="70">
        <v>0</v>
      </c>
      <c r="E5918" s="111">
        <f t="shared" si="96"/>
        <v>108297</v>
      </c>
      <c r="F5918" s="69">
        <v>2.059177081735479E-2</v>
      </c>
      <c r="G5918" s="69">
        <v>1.8594818652849739E-2</v>
      </c>
    </row>
    <row r="5919" spans="1:7" x14ac:dyDescent="0.3">
      <c r="A5919" s="24">
        <v>40797</v>
      </c>
      <c r="B5919" s="66">
        <v>975.03320999999994</v>
      </c>
      <c r="C5919" s="66">
        <v>998.5</v>
      </c>
      <c r="D5919" s="70">
        <v>0</v>
      </c>
      <c r="E5919" s="111">
        <f t="shared" si="96"/>
        <v>108297</v>
      </c>
      <c r="F5919" s="69">
        <v>2.059177081735479E-2</v>
      </c>
      <c r="G5919" s="69">
        <v>1.8594818652849739E-2</v>
      </c>
    </row>
    <row r="5920" spans="1:7" x14ac:dyDescent="0.3">
      <c r="A5920" s="24">
        <v>40798</v>
      </c>
      <c r="B5920" s="66">
        <v>975.03320999999994</v>
      </c>
      <c r="C5920" s="66">
        <v>998.5</v>
      </c>
      <c r="D5920" s="70">
        <v>0</v>
      </c>
      <c r="E5920" s="111">
        <f t="shared" si="96"/>
        <v>108297</v>
      </c>
      <c r="F5920" s="69">
        <v>2.059177081735479E-2</v>
      </c>
      <c r="G5920" s="69">
        <v>1.8594818652849739E-2</v>
      </c>
    </row>
    <row r="5921" spans="1:7" x14ac:dyDescent="0.3">
      <c r="A5921" s="24">
        <v>40799</v>
      </c>
      <c r="B5921" s="66">
        <v>975.03320999999994</v>
      </c>
      <c r="C5921" s="66">
        <v>998.5</v>
      </c>
      <c r="D5921" s="70">
        <v>0</v>
      </c>
      <c r="E5921" s="111">
        <f t="shared" si="96"/>
        <v>108297</v>
      </c>
      <c r="F5921" s="69">
        <v>2.059177081735479E-2</v>
      </c>
      <c r="G5921" s="69">
        <v>1.8594818652849739E-2</v>
      </c>
    </row>
    <row r="5922" spans="1:7" x14ac:dyDescent="0.3">
      <c r="A5922" s="24">
        <v>40800</v>
      </c>
      <c r="B5922" s="66">
        <v>975.03320999999994</v>
      </c>
      <c r="C5922" s="66">
        <v>998.5</v>
      </c>
      <c r="D5922" s="70">
        <v>0</v>
      </c>
      <c r="E5922" s="111">
        <f t="shared" si="96"/>
        <v>108297</v>
      </c>
      <c r="F5922" s="69">
        <v>2.059177081735479E-2</v>
      </c>
      <c r="G5922" s="69">
        <v>1.8594818652849739E-2</v>
      </c>
    </row>
    <row r="5923" spans="1:7" x14ac:dyDescent="0.3">
      <c r="A5923" s="24">
        <v>40801</v>
      </c>
      <c r="B5923" s="66">
        <v>975.03320999999994</v>
      </c>
      <c r="C5923" s="66">
        <v>998.5</v>
      </c>
      <c r="D5923" s="70">
        <v>0</v>
      </c>
      <c r="E5923" s="111">
        <f t="shared" si="96"/>
        <v>108297</v>
      </c>
      <c r="F5923" s="69">
        <v>2.059177081735479E-2</v>
      </c>
      <c r="G5923" s="69">
        <v>1.8594818652849739E-2</v>
      </c>
    </row>
    <row r="5924" spans="1:7" x14ac:dyDescent="0.3">
      <c r="A5924" s="24">
        <v>40802</v>
      </c>
      <c r="B5924" s="66">
        <v>975.03320999999994</v>
      </c>
      <c r="C5924" s="66">
        <v>1001</v>
      </c>
      <c r="D5924" s="70">
        <v>0</v>
      </c>
      <c r="E5924" s="111">
        <f t="shared" si="96"/>
        <v>108297</v>
      </c>
      <c r="F5924" s="69">
        <v>2.059177081735479E-2</v>
      </c>
      <c r="G5924" s="69">
        <v>1.8594818652849739E-2</v>
      </c>
    </row>
    <row r="5925" spans="1:7" x14ac:dyDescent="0.3">
      <c r="A5925" s="24">
        <v>40803</v>
      </c>
      <c r="B5925" s="66">
        <v>975.03320999999994</v>
      </c>
      <c r="C5925" s="66">
        <v>1001</v>
      </c>
      <c r="D5925" s="70">
        <v>0</v>
      </c>
      <c r="E5925" s="111">
        <f t="shared" si="96"/>
        <v>108297</v>
      </c>
      <c r="F5925" s="69">
        <v>2.059177081735479E-2</v>
      </c>
      <c r="G5925" s="69">
        <v>1.8594818652849739E-2</v>
      </c>
    </row>
    <row r="5926" spans="1:7" x14ac:dyDescent="0.3">
      <c r="A5926" s="24">
        <v>40804</v>
      </c>
      <c r="B5926" s="66">
        <v>975.03320999999994</v>
      </c>
      <c r="C5926" s="66">
        <v>1001</v>
      </c>
      <c r="D5926" s="70">
        <v>0</v>
      </c>
      <c r="E5926" s="111">
        <f t="shared" si="96"/>
        <v>108297</v>
      </c>
      <c r="F5926" s="69">
        <v>2.059177081735479E-2</v>
      </c>
      <c r="G5926" s="69">
        <v>1.8594818652849739E-2</v>
      </c>
    </row>
    <row r="5927" spans="1:7" x14ac:dyDescent="0.3">
      <c r="A5927" s="24">
        <v>40805</v>
      </c>
      <c r="B5927" s="66">
        <v>975.03320999999994</v>
      </c>
      <c r="C5927" s="66">
        <v>1001</v>
      </c>
      <c r="D5927" s="70">
        <v>0</v>
      </c>
      <c r="E5927" s="111">
        <f t="shared" si="96"/>
        <v>108297</v>
      </c>
      <c r="F5927" s="69">
        <v>2.059177081735479E-2</v>
      </c>
      <c r="G5927" s="69">
        <v>1.8594818652849739E-2</v>
      </c>
    </row>
    <row r="5928" spans="1:7" x14ac:dyDescent="0.3">
      <c r="A5928" s="24">
        <v>40806</v>
      </c>
      <c r="B5928" s="66">
        <v>975.03320999999994</v>
      </c>
      <c r="C5928" s="66">
        <v>1001</v>
      </c>
      <c r="D5928" s="70">
        <v>0</v>
      </c>
      <c r="E5928" s="111">
        <f t="shared" si="96"/>
        <v>108297</v>
      </c>
      <c r="F5928" s="69">
        <v>2.059177081735479E-2</v>
      </c>
      <c r="G5928" s="69">
        <v>1.8594818652849739E-2</v>
      </c>
    </row>
    <row r="5929" spans="1:7" x14ac:dyDescent="0.3">
      <c r="A5929" s="24">
        <v>40807</v>
      </c>
      <c r="B5929" s="66">
        <v>975.03320999999994</v>
      </c>
      <c r="C5929" s="66">
        <v>1001</v>
      </c>
      <c r="D5929" s="70">
        <v>0</v>
      </c>
      <c r="E5929" s="111">
        <f t="shared" si="96"/>
        <v>108297</v>
      </c>
      <c r="F5929" s="69">
        <v>2.059177081735479E-2</v>
      </c>
      <c r="G5929" s="69">
        <v>1.8594818652849739E-2</v>
      </c>
    </row>
    <row r="5930" spans="1:7" x14ac:dyDescent="0.3">
      <c r="A5930" s="24">
        <v>40808</v>
      </c>
      <c r="B5930" s="66">
        <v>975.03320999999994</v>
      </c>
      <c r="C5930" s="66">
        <v>1001</v>
      </c>
      <c r="D5930" s="70">
        <v>0</v>
      </c>
      <c r="E5930" s="111">
        <f t="shared" si="96"/>
        <v>108297</v>
      </c>
      <c r="F5930" s="69">
        <v>2.059177081735479E-2</v>
      </c>
      <c r="G5930" s="69">
        <v>1.8594818652849739E-2</v>
      </c>
    </row>
    <row r="5931" spans="1:7" x14ac:dyDescent="0.3">
      <c r="A5931" s="24">
        <v>40809</v>
      </c>
      <c r="B5931" s="66">
        <v>975.03320999999994</v>
      </c>
      <c r="C5931" s="66">
        <v>1001</v>
      </c>
      <c r="D5931" s="70">
        <v>0</v>
      </c>
      <c r="E5931" s="111">
        <f t="shared" si="96"/>
        <v>108297</v>
      </c>
      <c r="F5931" s="69">
        <v>2.059177081735479E-2</v>
      </c>
      <c r="G5931" s="69">
        <v>1.8594818652849739E-2</v>
      </c>
    </row>
    <row r="5932" spans="1:7" x14ac:dyDescent="0.3">
      <c r="A5932" s="24">
        <v>40810</v>
      </c>
      <c r="B5932" s="66">
        <v>975.03320999999994</v>
      </c>
      <c r="C5932" s="66">
        <v>1001</v>
      </c>
      <c r="D5932" s="70">
        <v>0</v>
      </c>
      <c r="E5932" s="111">
        <f t="shared" si="96"/>
        <v>108297</v>
      </c>
      <c r="F5932" s="69">
        <v>2.059177081735479E-2</v>
      </c>
      <c r="G5932" s="69">
        <v>1.8594818652849739E-2</v>
      </c>
    </row>
    <row r="5933" spans="1:7" x14ac:dyDescent="0.3">
      <c r="A5933" s="24">
        <v>40811</v>
      </c>
      <c r="B5933" s="66">
        <v>975.03320999999994</v>
      </c>
      <c r="C5933" s="66">
        <v>1001</v>
      </c>
      <c r="D5933" s="70">
        <v>0</v>
      </c>
      <c r="E5933" s="111">
        <f t="shared" si="96"/>
        <v>108297</v>
      </c>
      <c r="F5933" s="69">
        <v>2.059177081735479E-2</v>
      </c>
      <c r="G5933" s="69">
        <v>1.8594818652849739E-2</v>
      </c>
    </row>
    <row r="5934" spans="1:7" x14ac:dyDescent="0.3">
      <c r="A5934" s="24">
        <v>40812</v>
      </c>
      <c r="B5934" s="66">
        <v>975.03320999999994</v>
      </c>
      <c r="C5934" s="66">
        <v>1001</v>
      </c>
      <c r="D5934" s="70">
        <v>0</v>
      </c>
      <c r="E5934" s="111">
        <f t="shared" si="96"/>
        <v>108297</v>
      </c>
      <c r="F5934" s="69">
        <v>2.059177081735479E-2</v>
      </c>
      <c r="G5934" s="69">
        <v>1.8594818652849739E-2</v>
      </c>
    </row>
    <row r="5935" spans="1:7" x14ac:dyDescent="0.3">
      <c r="A5935" s="24">
        <v>40813</v>
      </c>
      <c r="B5935" s="66">
        <v>975.03320999999994</v>
      </c>
      <c r="C5935" s="66">
        <v>1001</v>
      </c>
      <c r="D5935" s="70">
        <v>0</v>
      </c>
      <c r="E5935" s="111">
        <f t="shared" si="96"/>
        <v>108297</v>
      </c>
      <c r="F5935" s="69">
        <v>2.059177081735479E-2</v>
      </c>
      <c r="G5935" s="69">
        <v>1.8594818652849739E-2</v>
      </c>
    </row>
    <row r="5936" spans="1:7" x14ac:dyDescent="0.3">
      <c r="A5936" s="24">
        <v>40814</v>
      </c>
      <c r="B5936" s="66">
        <v>975.03320999999994</v>
      </c>
      <c r="C5936" s="66">
        <v>1001</v>
      </c>
      <c r="D5936" s="70">
        <v>0</v>
      </c>
      <c r="E5936" s="111">
        <f t="shared" si="96"/>
        <v>108297</v>
      </c>
      <c r="F5936" s="69">
        <v>2.059177081735479E-2</v>
      </c>
      <c r="G5936" s="69">
        <v>1.8594818652849739E-2</v>
      </c>
    </row>
    <row r="5937" spans="1:7" x14ac:dyDescent="0.3">
      <c r="A5937" s="24">
        <v>40815</v>
      </c>
      <c r="B5937" s="66">
        <v>975.03320999999994</v>
      </c>
      <c r="C5937" s="66">
        <v>1050</v>
      </c>
      <c r="D5937" s="70">
        <v>5.9240000000000004</v>
      </c>
      <c r="E5937" s="111">
        <f t="shared" si="96"/>
        <v>108297</v>
      </c>
      <c r="F5937" s="69">
        <v>2.7298492338168247E-2</v>
      </c>
      <c r="G5937" s="69">
        <v>2.4733678756476682E-2</v>
      </c>
    </row>
    <row r="5938" spans="1:7" x14ac:dyDescent="0.3">
      <c r="A5938" s="24">
        <v>40816</v>
      </c>
      <c r="B5938" s="66">
        <v>1003.4027400000001</v>
      </c>
      <c r="C5938" s="66">
        <v>1020</v>
      </c>
      <c r="D5938" s="70">
        <v>0</v>
      </c>
      <c r="E5938" s="111">
        <v>112868</v>
      </c>
      <c r="F5938" s="69">
        <v>2.7298492338168247E-2</v>
      </c>
      <c r="G5938" s="69">
        <v>2.4733678756476682E-2</v>
      </c>
    </row>
    <row r="5939" spans="1:7" x14ac:dyDescent="0.3">
      <c r="A5939" s="24">
        <v>40817</v>
      </c>
      <c r="B5939" s="66">
        <v>1003.4027400000001</v>
      </c>
      <c r="C5939" s="66">
        <v>1020</v>
      </c>
      <c r="D5939" s="70">
        <v>0</v>
      </c>
      <c r="E5939" s="111">
        <f>+E5938</f>
        <v>112868</v>
      </c>
      <c r="F5939" s="69">
        <v>2.7298492338168247E-2</v>
      </c>
      <c r="G5939" s="69">
        <v>2.4733678756476682E-2</v>
      </c>
    </row>
    <row r="5940" spans="1:7" x14ac:dyDescent="0.3">
      <c r="A5940" s="24">
        <v>40818</v>
      </c>
      <c r="B5940" s="66">
        <v>1003.4027400000001</v>
      </c>
      <c r="C5940" s="66">
        <v>1020</v>
      </c>
      <c r="D5940" s="70">
        <v>0</v>
      </c>
      <c r="E5940" s="111">
        <f t="shared" ref="E5940:E5968" si="97">+E5939</f>
        <v>112868</v>
      </c>
      <c r="F5940" s="69">
        <v>2.7298492338168247E-2</v>
      </c>
      <c r="G5940" s="69">
        <v>2.4733678756476682E-2</v>
      </c>
    </row>
    <row r="5941" spans="1:7" x14ac:dyDescent="0.3">
      <c r="A5941" s="24">
        <v>40819</v>
      </c>
      <c r="B5941" s="66">
        <v>1003.4027400000001</v>
      </c>
      <c r="C5941" s="66">
        <v>1008.5</v>
      </c>
      <c r="D5941" s="70">
        <v>0</v>
      </c>
      <c r="E5941" s="111">
        <f t="shared" si="97"/>
        <v>112868</v>
      </c>
      <c r="F5941" s="69">
        <v>2.7298492338168247E-2</v>
      </c>
      <c r="G5941" s="69">
        <v>2.4733678756476682E-2</v>
      </c>
    </row>
    <row r="5942" spans="1:7" x14ac:dyDescent="0.3">
      <c r="A5942" s="24">
        <v>40820</v>
      </c>
      <c r="B5942" s="66">
        <v>1003.4027400000001</v>
      </c>
      <c r="C5942" s="66">
        <v>1008.5</v>
      </c>
      <c r="D5942" s="70">
        <v>0</v>
      </c>
      <c r="E5942" s="111">
        <f t="shared" si="97"/>
        <v>112868</v>
      </c>
      <c r="F5942" s="69">
        <v>2.7298492338168247E-2</v>
      </c>
      <c r="G5942" s="69">
        <v>2.4733678756476682E-2</v>
      </c>
    </row>
    <row r="5943" spans="1:7" x14ac:dyDescent="0.3">
      <c r="A5943" s="24">
        <v>40821</v>
      </c>
      <c r="B5943" s="66">
        <v>1003.4027400000001</v>
      </c>
      <c r="C5943" s="66">
        <v>1008.5</v>
      </c>
      <c r="D5943" s="70">
        <v>0</v>
      </c>
      <c r="E5943" s="111">
        <f t="shared" si="97"/>
        <v>112868</v>
      </c>
      <c r="F5943" s="69">
        <v>2.7298492338168247E-2</v>
      </c>
      <c r="G5943" s="69">
        <v>2.4733678756476682E-2</v>
      </c>
    </row>
    <row r="5944" spans="1:7" x14ac:dyDescent="0.3">
      <c r="A5944" s="24">
        <v>40822</v>
      </c>
      <c r="B5944" s="66">
        <v>1003.4027400000001</v>
      </c>
      <c r="C5944" s="66">
        <v>1008.5</v>
      </c>
      <c r="D5944" s="70">
        <v>0</v>
      </c>
      <c r="E5944" s="111">
        <f t="shared" si="97"/>
        <v>112868</v>
      </c>
      <c r="F5944" s="69">
        <v>2.7298492338168247E-2</v>
      </c>
      <c r="G5944" s="69">
        <v>2.4733678756476682E-2</v>
      </c>
    </row>
    <row r="5945" spans="1:7" x14ac:dyDescent="0.3">
      <c r="A5945" s="24">
        <v>40823</v>
      </c>
      <c r="B5945" s="66">
        <v>1003.4027400000001</v>
      </c>
      <c r="C5945" s="66">
        <v>1011.4</v>
      </c>
      <c r="D5945" s="70">
        <v>0</v>
      </c>
      <c r="E5945" s="111">
        <f t="shared" si="97"/>
        <v>112868</v>
      </c>
      <c r="F5945" s="69">
        <v>2.7298492338168247E-2</v>
      </c>
      <c r="G5945" s="69">
        <v>2.4733678756476682E-2</v>
      </c>
    </row>
    <row r="5946" spans="1:7" x14ac:dyDescent="0.3">
      <c r="A5946" s="24">
        <v>40824</v>
      </c>
      <c r="B5946" s="66">
        <v>1003.4027400000001</v>
      </c>
      <c r="C5946" s="66">
        <v>1011.4</v>
      </c>
      <c r="D5946" s="70">
        <v>0</v>
      </c>
      <c r="E5946" s="111">
        <f t="shared" si="97"/>
        <v>112868</v>
      </c>
      <c r="F5946" s="69">
        <v>2.7298492338168247E-2</v>
      </c>
      <c r="G5946" s="69">
        <v>2.4733678756476682E-2</v>
      </c>
    </row>
    <row r="5947" spans="1:7" x14ac:dyDescent="0.3">
      <c r="A5947" s="24">
        <v>40825</v>
      </c>
      <c r="B5947" s="66">
        <v>1003.4027400000001</v>
      </c>
      <c r="C5947" s="66">
        <v>1011.4</v>
      </c>
      <c r="D5947" s="70">
        <v>0</v>
      </c>
      <c r="E5947" s="111">
        <f t="shared" si="97"/>
        <v>112868</v>
      </c>
      <c r="F5947" s="69">
        <v>2.7298492338168247E-2</v>
      </c>
      <c r="G5947" s="69">
        <v>2.4733678756476682E-2</v>
      </c>
    </row>
    <row r="5948" spans="1:7" x14ac:dyDescent="0.3">
      <c r="A5948" s="24">
        <v>40826</v>
      </c>
      <c r="B5948" s="66">
        <v>1003.4027400000001</v>
      </c>
      <c r="C5948" s="66">
        <v>1011.4</v>
      </c>
      <c r="D5948" s="70">
        <v>0</v>
      </c>
      <c r="E5948" s="111">
        <f t="shared" si="97"/>
        <v>112868</v>
      </c>
      <c r="F5948" s="69">
        <v>2.7298492338168247E-2</v>
      </c>
      <c r="G5948" s="69">
        <v>2.4733678756476682E-2</v>
      </c>
    </row>
    <row r="5949" spans="1:7" x14ac:dyDescent="0.3">
      <c r="A5949" s="24">
        <v>40827</v>
      </c>
      <c r="B5949" s="66">
        <v>1003.4027400000001</v>
      </c>
      <c r="C5949" s="66">
        <v>1011.4</v>
      </c>
      <c r="D5949" s="70">
        <v>0</v>
      </c>
      <c r="E5949" s="111">
        <f t="shared" si="97"/>
        <v>112868</v>
      </c>
      <c r="F5949" s="69">
        <v>2.7298492338168247E-2</v>
      </c>
      <c r="G5949" s="69">
        <v>2.4733678756476682E-2</v>
      </c>
    </row>
    <row r="5950" spans="1:7" x14ac:dyDescent="0.3">
      <c r="A5950" s="24">
        <v>40828</v>
      </c>
      <c r="B5950" s="66">
        <v>1003.4027400000001</v>
      </c>
      <c r="C5950" s="66">
        <v>1011.4</v>
      </c>
      <c r="D5950" s="70">
        <v>0</v>
      </c>
      <c r="E5950" s="111">
        <f t="shared" si="97"/>
        <v>112868</v>
      </c>
      <c r="F5950" s="69">
        <v>2.7298492338168247E-2</v>
      </c>
      <c r="G5950" s="69">
        <v>2.4733678756476682E-2</v>
      </c>
    </row>
    <row r="5951" spans="1:7" x14ac:dyDescent="0.3">
      <c r="A5951" s="24">
        <v>40829</v>
      </c>
      <c r="B5951" s="66">
        <v>1003.4027400000001</v>
      </c>
      <c r="C5951" s="66">
        <v>1011.4</v>
      </c>
      <c r="D5951" s="70">
        <v>0</v>
      </c>
      <c r="E5951" s="111">
        <f t="shared" si="97"/>
        <v>112868</v>
      </c>
      <c r="F5951" s="69">
        <v>2.7298492338168247E-2</v>
      </c>
      <c r="G5951" s="69">
        <v>2.4733678756476682E-2</v>
      </c>
    </row>
    <row r="5952" spans="1:7" x14ac:dyDescent="0.3">
      <c r="A5952" s="24">
        <v>40830</v>
      </c>
      <c r="B5952" s="66">
        <v>1003.4027400000001</v>
      </c>
      <c r="C5952" s="66">
        <v>1011.9</v>
      </c>
      <c r="D5952" s="70">
        <v>0</v>
      </c>
      <c r="E5952" s="111">
        <f t="shared" si="97"/>
        <v>112868</v>
      </c>
      <c r="F5952" s="69">
        <v>2.7298492338168247E-2</v>
      </c>
      <c r="G5952" s="69">
        <v>2.4733678756476682E-2</v>
      </c>
    </row>
    <row r="5953" spans="1:7" x14ac:dyDescent="0.3">
      <c r="A5953" s="24">
        <v>40831</v>
      </c>
      <c r="B5953" s="66">
        <v>1003.4027400000001</v>
      </c>
      <c r="C5953" s="66">
        <v>1011.9</v>
      </c>
      <c r="D5953" s="70">
        <v>0</v>
      </c>
      <c r="E5953" s="111">
        <f t="shared" si="97"/>
        <v>112868</v>
      </c>
      <c r="F5953" s="69">
        <v>2.7298492338168247E-2</v>
      </c>
      <c r="G5953" s="69">
        <v>2.4733678756476682E-2</v>
      </c>
    </row>
    <row r="5954" spans="1:7" x14ac:dyDescent="0.3">
      <c r="A5954" s="24">
        <v>40832</v>
      </c>
      <c r="B5954" s="66">
        <v>1003.4027400000001</v>
      </c>
      <c r="C5954" s="66">
        <v>1011.9</v>
      </c>
      <c r="D5954" s="70">
        <v>0</v>
      </c>
      <c r="E5954" s="111">
        <f t="shared" si="97"/>
        <v>112868</v>
      </c>
      <c r="F5954" s="69">
        <v>2.7298492338168247E-2</v>
      </c>
      <c r="G5954" s="69">
        <v>2.4733678756476682E-2</v>
      </c>
    </row>
    <row r="5955" spans="1:7" x14ac:dyDescent="0.3">
      <c r="A5955" s="24">
        <v>40833</v>
      </c>
      <c r="B5955" s="66">
        <v>1003.4027400000001</v>
      </c>
      <c r="C5955" s="66">
        <v>1011</v>
      </c>
      <c r="D5955" s="70">
        <v>0</v>
      </c>
      <c r="E5955" s="111">
        <f t="shared" si="97"/>
        <v>112868</v>
      </c>
      <c r="F5955" s="69">
        <v>2.7298492338168247E-2</v>
      </c>
      <c r="G5955" s="69">
        <v>2.4733678756476682E-2</v>
      </c>
    </row>
    <row r="5956" spans="1:7" x14ac:dyDescent="0.3">
      <c r="A5956" s="24">
        <v>40834</v>
      </c>
      <c r="B5956" s="66">
        <v>1003.4027400000001</v>
      </c>
      <c r="C5956" s="66">
        <v>1010.9</v>
      </c>
      <c r="D5956" s="70">
        <v>0</v>
      </c>
      <c r="E5956" s="111">
        <f t="shared" si="97"/>
        <v>112868</v>
      </c>
      <c r="F5956" s="69">
        <v>2.7298492338168247E-2</v>
      </c>
      <c r="G5956" s="69">
        <v>2.4733678756476682E-2</v>
      </c>
    </row>
    <row r="5957" spans="1:7" x14ac:dyDescent="0.3">
      <c r="A5957" s="24">
        <v>40835</v>
      </c>
      <c r="B5957" s="66">
        <v>1003.4027400000001</v>
      </c>
      <c r="C5957" s="66">
        <v>1010.9</v>
      </c>
      <c r="D5957" s="70">
        <v>0</v>
      </c>
      <c r="E5957" s="111">
        <f t="shared" si="97"/>
        <v>112868</v>
      </c>
      <c r="F5957" s="69">
        <v>2.7298492338168247E-2</v>
      </c>
      <c r="G5957" s="69">
        <v>2.4733678756476682E-2</v>
      </c>
    </row>
    <row r="5958" spans="1:7" x14ac:dyDescent="0.3">
      <c r="A5958" s="24">
        <v>40836</v>
      </c>
      <c r="B5958" s="66">
        <v>1003.4027400000001</v>
      </c>
      <c r="C5958" s="66">
        <v>1010.9</v>
      </c>
      <c r="D5958" s="70">
        <v>0</v>
      </c>
      <c r="E5958" s="111">
        <f t="shared" si="97"/>
        <v>112868</v>
      </c>
      <c r="F5958" s="69">
        <v>2.7298492338168247E-2</v>
      </c>
      <c r="G5958" s="69">
        <v>2.4733678756476682E-2</v>
      </c>
    </row>
    <row r="5959" spans="1:7" x14ac:dyDescent="0.3">
      <c r="A5959" s="24">
        <v>40837</v>
      </c>
      <c r="B5959" s="66">
        <v>1003.4027400000001</v>
      </c>
      <c r="C5959" s="66">
        <v>1010</v>
      </c>
      <c r="D5959" s="70">
        <v>0</v>
      </c>
      <c r="E5959" s="111">
        <f t="shared" si="97"/>
        <v>112868</v>
      </c>
      <c r="F5959" s="69">
        <v>2.7298492338168247E-2</v>
      </c>
      <c r="G5959" s="69">
        <v>2.4733678756476682E-2</v>
      </c>
    </row>
    <row r="5960" spans="1:7" x14ac:dyDescent="0.3">
      <c r="A5960" s="24">
        <v>40838</v>
      </c>
      <c r="B5960" s="66">
        <v>1003.4027400000001</v>
      </c>
      <c r="C5960" s="66">
        <v>1010</v>
      </c>
      <c r="D5960" s="70">
        <v>0</v>
      </c>
      <c r="E5960" s="111">
        <f t="shared" si="97"/>
        <v>112868</v>
      </c>
      <c r="F5960" s="69">
        <v>2.7298492338168247E-2</v>
      </c>
      <c r="G5960" s="69">
        <v>2.4733678756476682E-2</v>
      </c>
    </row>
    <row r="5961" spans="1:7" x14ac:dyDescent="0.3">
      <c r="A5961" s="24">
        <v>40839</v>
      </c>
      <c r="B5961" s="66">
        <v>1003.4027400000001</v>
      </c>
      <c r="C5961" s="66">
        <v>1010</v>
      </c>
      <c r="D5961" s="70">
        <v>0</v>
      </c>
      <c r="E5961" s="111">
        <f t="shared" si="97"/>
        <v>112868</v>
      </c>
      <c r="F5961" s="69">
        <v>2.7298492338168247E-2</v>
      </c>
      <c r="G5961" s="69">
        <v>2.4733678756476682E-2</v>
      </c>
    </row>
    <row r="5962" spans="1:7" x14ac:dyDescent="0.3">
      <c r="A5962" s="24">
        <v>40840</v>
      </c>
      <c r="B5962" s="66">
        <v>1003.4027400000001</v>
      </c>
      <c r="C5962" s="66">
        <v>1010</v>
      </c>
      <c r="D5962" s="70">
        <v>0</v>
      </c>
      <c r="E5962" s="111">
        <f t="shared" si="97"/>
        <v>112868</v>
      </c>
      <c r="F5962" s="69">
        <v>2.7298492338168247E-2</v>
      </c>
      <c r="G5962" s="69">
        <v>2.4733678756476682E-2</v>
      </c>
    </row>
    <row r="5963" spans="1:7" x14ac:dyDescent="0.3">
      <c r="A5963" s="24">
        <v>40841</v>
      </c>
      <c r="B5963" s="66">
        <v>1003.4027400000001</v>
      </c>
      <c r="C5963" s="66">
        <v>1010</v>
      </c>
      <c r="D5963" s="70">
        <v>0</v>
      </c>
      <c r="E5963" s="111">
        <f t="shared" si="97"/>
        <v>112868</v>
      </c>
      <c r="F5963" s="69">
        <v>2.7298492338168247E-2</v>
      </c>
      <c r="G5963" s="69">
        <v>2.4733678756476682E-2</v>
      </c>
    </row>
    <row r="5964" spans="1:7" x14ac:dyDescent="0.3">
      <c r="A5964" s="24">
        <v>40842</v>
      </c>
      <c r="B5964" s="66">
        <v>1003.4027400000001</v>
      </c>
      <c r="C5964" s="66">
        <v>1013</v>
      </c>
      <c r="D5964" s="70">
        <v>0</v>
      </c>
      <c r="E5964" s="111">
        <f t="shared" si="97"/>
        <v>112868</v>
      </c>
      <c r="F5964" s="69">
        <v>2.7298492338168247E-2</v>
      </c>
      <c r="G5964" s="69">
        <v>2.4733678756476682E-2</v>
      </c>
    </row>
    <row r="5965" spans="1:7" x14ac:dyDescent="0.3">
      <c r="A5965" s="24">
        <v>40843</v>
      </c>
      <c r="B5965" s="66">
        <v>1003.4027400000001</v>
      </c>
      <c r="C5965" s="66">
        <v>1013</v>
      </c>
      <c r="D5965" s="70">
        <v>0</v>
      </c>
      <c r="E5965" s="111">
        <f t="shared" si="97"/>
        <v>112868</v>
      </c>
      <c r="F5965" s="69">
        <v>2.7298492338168247E-2</v>
      </c>
      <c r="G5965" s="69">
        <v>2.4733678756476682E-2</v>
      </c>
    </row>
    <row r="5966" spans="1:7" x14ac:dyDescent="0.3">
      <c r="A5966" s="24">
        <v>40844</v>
      </c>
      <c r="B5966" s="66">
        <v>1003.4027400000001</v>
      </c>
      <c r="C5966" s="66">
        <v>1015</v>
      </c>
      <c r="D5966" s="70">
        <v>0</v>
      </c>
      <c r="E5966" s="111">
        <f t="shared" si="97"/>
        <v>112868</v>
      </c>
      <c r="F5966" s="69">
        <v>2.7298492338168247E-2</v>
      </c>
      <c r="G5966" s="69">
        <v>2.4733678756476682E-2</v>
      </c>
    </row>
    <row r="5967" spans="1:7" x14ac:dyDescent="0.3">
      <c r="A5967" s="24">
        <v>40845</v>
      </c>
      <c r="B5967" s="66">
        <v>1003.4027400000001</v>
      </c>
      <c r="C5967" s="66">
        <v>1015</v>
      </c>
      <c r="D5967" s="70">
        <v>0</v>
      </c>
      <c r="E5967" s="111">
        <f t="shared" si="97"/>
        <v>112868</v>
      </c>
      <c r="F5967" s="69">
        <v>2.7298492338168247E-2</v>
      </c>
      <c r="G5967" s="69">
        <v>2.4733678756476682E-2</v>
      </c>
    </row>
    <row r="5968" spans="1:7" x14ac:dyDescent="0.3">
      <c r="A5968" s="24">
        <v>40846</v>
      </c>
      <c r="B5968" s="66">
        <v>1003.4027400000001</v>
      </c>
      <c r="C5968" s="66">
        <v>1015</v>
      </c>
      <c r="D5968" s="70">
        <v>0</v>
      </c>
      <c r="E5968" s="111">
        <f t="shared" si="97"/>
        <v>112868</v>
      </c>
      <c r="F5968" s="69">
        <v>2.7298492338168247E-2</v>
      </c>
      <c r="G5968" s="69">
        <v>2.4733678756476682E-2</v>
      </c>
    </row>
    <row r="5969" spans="1:7" x14ac:dyDescent="0.3">
      <c r="A5969" s="24">
        <v>40847</v>
      </c>
      <c r="B5969" s="66">
        <v>1003.4027400000001</v>
      </c>
      <c r="C5969" s="66">
        <v>1015</v>
      </c>
      <c r="D5969" s="70">
        <v>0</v>
      </c>
      <c r="E5969" s="111">
        <v>118507</v>
      </c>
      <c r="F5969" s="69">
        <v>2.7298492338168247E-2</v>
      </c>
      <c r="G5969" s="69">
        <v>2.4733678756476682E-2</v>
      </c>
    </row>
    <row r="5970" spans="1:7" x14ac:dyDescent="0.3">
      <c r="A5970" s="24">
        <v>40848</v>
      </c>
      <c r="B5970" s="66">
        <v>1003.4027400000001</v>
      </c>
      <c r="C5970" s="66">
        <v>1015</v>
      </c>
      <c r="D5970" s="70">
        <v>0</v>
      </c>
      <c r="E5970" s="111">
        <f>+E5969</f>
        <v>118507</v>
      </c>
      <c r="F5970" s="69">
        <v>2.7298492338168247E-2</v>
      </c>
      <c r="G5970" s="69">
        <v>2.4733678756476682E-2</v>
      </c>
    </row>
    <row r="5971" spans="1:7" x14ac:dyDescent="0.3">
      <c r="A5971" s="24">
        <v>40849</v>
      </c>
      <c r="B5971" s="66">
        <v>1003.4027400000001</v>
      </c>
      <c r="C5971" s="66">
        <v>1015</v>
      </c>
      <c r="D5971" s="70">
        <v>0</v>
      </c>
      <c r="E5971" s="111">
        <f t="shared" ref="E5971:E5998" si="98">+E5970</f>
        <v>118507</v>
      </c>
      <c r="F5971" s="69">
        <v>2.7298492338168247E-2</v>
      </c>
      <c r="G5971" s="69">
        <v>2.4733678756476682E-2</v>
      </c>
    </row>
    <row r="5972" spans="1:7" x14ac:dyDescent="0.3">
      <c r="A5972" s="24">
        <v>40850</v>
      </c>
      <c r="B5972" s="66">
        <v>1003.4027400000001</v>
      </c>
      <c r="C5972" s="66">
        <v>1015</v>
      </c>
      <c r="D5972" s="70">
        <v>0</v>
      </c>
      <c r="E5972" s="111">
        <f t="shared" si="98"/>
        <v>118507</v>
      </c>
      <c r="F5972" s="69">
        <v>2.7298492338168247E-2</v>
      </c>
      <c r="G5972" s="69">
        <v>2.4733678756476682E-2</v>
      </c>
    </row>
    <row r="5973" spans="1:7" x14ac:dyDescent="0.3">
      <c r="A5973" s="24">
        <v>40851</v>
      </c>
      <c r="B5973" s="66">
        <v>1003.4027400000001</v>
      </c>
      <c r="C5973" s="66">
        <v>1017</v>
      </c>
      <c r="D5973" s="70">
        <v>0</v>
      </c>
      <c r="E5973" s="111">
        <f t="shared" si="98"/>
        <v>118507</v>
      </c>
      <c r="F5973" s="69">
        <v>2.7298492338168247E-2</v>
      </c>
      <c r="G5973" s="69">
        <v>2.4733678756476682E-2</v>
      </c>
    </row>
    <row r="5974" spans="1:7" x14ac:dyDescent="0.3">
      <c r="A5974" s="24">
        <v>40852</v>
      </c>
      <c r="B5974" s="66">
        <v>1003.4027400000001</v>
      </c>
      <c r="C5974" s="66">
        <v>1017</v>
      </c>
      <c r="D5974" s="70">
        <v>0</v>
      </c>
      <c r="E5974" s="111">
        <f t="shared" si="98"/>
        <v>118507</v>
      </c>
      <c r="F5974" s="69">
        <v>2.7298492338168247E-2</v>
      </c>
      <c r="G5974" s="69">
        <v>2.4733678756476682E-2</v>
      </c>
    </row>
    <row r="5975" spans="1:7" x14ac:dyDescent="0.3">
      <c r="A5975" s="24">
        <v>40853</v>
      </c>
      <c r="B5975" s="66">
        <v>1003.4027400000001</v>
      </c>
      <c r="C5975" s="66">
        <v>1017</v>
      </c>
      <c r="D5975" s="70">
        <v>0</v>
      </c>
      <c r="E5975" s="111">
        <f t="shared" si="98"/>
        <v>118507</v>
      </c>
      <c r="F5975" s="69">
        <v>2.7298492338168247E-2</v>
      </c>
      <c r="G5975" s="69">
        <v>2.4733678756476682E-2</v>
      </c>
    </row>
    <row r="5976" spans="1:7" x14ac:dyDescent="0.3">
      <c r="A5976" s="24">
        <v>40854</v>
      </c>
      <c r="B5976" s="66">
        <v>1003.4027400000001</v>
      </c>
      <c r="C5976" s="66">
        <v>1017</v>
      </c>
      <c r="D5976" s="70">
        <v>0</v>
      </c>
      <c r="E5976" s="111">
        <f t="shared" si="98"/>
        <v>118507</v>
      </c>
      <c r="F5976" s="69">
        <v>2.7298492338168247E-2</v>
      </c>
      <c r="G5976" s="69">
        <v>2.4733678756476682E-2</v>
      </c>
    </row>
    <row r="5977" spans="1:7" x14ac:dyDescent="0.3">
      <c r="A5977" s="24">
        <v>40855</v>
      </c>
      <c r="B5977" s="66">
        <v>1003.4027400000001</v>
      </c>
      <c r="C5977" s="66">
        <v>1018</v>
      </c>
      <c r="D5977" s="70">
        <v>0</v>
      </c>
      <c r="E5977" s="111">
        <f t="shared" si="98"/>
        <v>118507</v>
      </c>
      <c r="F5977" s="69">
        <v>2.7298492338168247E-2</v>
      </c>
      <c r="G5977" s="69">
        <v>2.4733678756476682E-2</v>
      </c>
    </row>
    <row r="5978" spans="1:7" x14ac:dyDescent="0.3">
      <c r="A5978" s="24">
        <v>40856</v>
      </c>
      <c r="B5978" s="66">
        <v>1003.4027400000001</v>
      </c>
      <c r="C5978" s="66">
        <v>1018</v>
      </c>
      <c r="D5978" s="70">
        <v>0</v>
      </c>
      <c r="E5978" s="111">
        <f t="shared" si="98"/>
        <v>118507</v>
      </c>
      <c r="F5978" s="69">
        <v>2.7298492338168247E-2</v>
      </c>
      <c r="G5978" s="69">
        <v>2.4733678756476682E-2</v>
      </c>
    </row>
    <row r="5979" spans="1:7" x14ac:dyDescent="0.3">
      <c r="A5979" s="24">
        <v>40857</v>
      </c>
      <c r="B5979" s="66">
        <v>1003.4027400000001</v>
      </c>
      <c r="C5979" s="66">
        <v>1017</v>
      </c>
      <c r="D5979" s="70">
        <v>0</v>
      </c>
      <c r="E5979" s="111">
        <f t="shared" si="98"/>
        <v>118507</v>
      </c>
      <c r="F5979" s="69">
        <v>2.7298492338168247E-2</v>
      </c>
      <c r="G5979" s="69">
        <v>2.4733678756476682E-2</v>
      </c>
    </row>
    <row r="5980" spans="1:7" x14ac:dyDescent="0.3">
      <c r="A5980" s="24">
        <v>40858</v>
      </c>
      <c r="B5980" s="66">
        <v>1003.4027400000001</v>
      </c>
      <c r="C5980" s="66">
        <v>1019.5</v>
      </c>
      <c r="D5980" s="70">
        <v>0</v>
      </c>
      <c r="E5980" s="111">
        <f t="shared" si="98"/>
        <v>118507</v>
      </c>
      <c r="F5980" s="69">
        <v>2.7298492338168247E-2</v>
      </c>
      <c r="G5980" s="69">
        <v>2.4733678756476682E-2</v>
      </c>
    </row>
    <row r="5981" spans="1:7" x14ac:dyDescent="0.3">
      <c r="A5981" s="24">
        <v>40859</v>
      </c>
      <c r="B5981" s="66">
        <v>1003.4027400000001</v>
      </c>
      <c r="C5981" s="66">
        <v>1019.5</v>
      </c>
      <c r="D5981" s="70">
        <v>0</v>
      </c>
      <c r="E5981" s="111">
        <f t="shared" si="98"/>
        <v>118507</v>
      </c>
      <c r="F5981" s="69">
        <v>2.7298492338168247E-2</v>
      </c>
      <c r="G5981" s="69">
        <v>2.4733678756476682E-2</v>
      </c>
    </row>
    <row r="5982" spans="1:7" x14ac:dyDescent="0.3">
      <c r="A5982" s="24">
        <v>40860</v>
      </c>
      <c r="B5982" s="66">
        <v>1003.4027400000001</v>
      </c>
      <c r="C5982" s="66">
        <v>1019.5</v>
      </c>
      <c r="D5982" s="70">
        <v>0</v>
      </c>
      <c r="E5982" s="111">
        <f t="shared" si="98"/>
        <v>118507</v>
      </c>
      <c r="F5982" s="69">
        <v>2.7298492338168247E-2</v>
      </c>
      <c r="G5982" s="69">
        <v>2.4733678756476682E-2</v>
      </c>
    </row>
    <row r="5983" spans="1:7" x14ac:dyDescent="0.3">
      <c r="A5983" s="24">
        <v>40861</v>
      </c>
      <c r="B5983" s="66">
        <v>1003.4027400000001</v>
      </c>
      <c r="C5983" s="66">
        <v>1020</v>
      </c>
      <c r="D5983" s="70">
        <v>0</v>
      </c>
      <c r="E5983" s="111">
        <f t="shared" si="98"/>
        <v>118507</v>
      </c>
      <c r="F5983" s="69">
        <v>2.7298492338168247E-2</v>
      </c>
      <c r="G5983" s="69">
        <v>2.4733678756476682E-2</v>
      </c>
    </row>
    <row r="5984" spans="1:7" x14ac:dyDescent="0.3">
      <c r="A5984" s="24">
        <v>40862</v>
      </c>
      <c r="B5984" s="66">
        <v>1003.4027400000001</v>
      </c>
      <c r="C5984" s="66">
        <v>1019.5</v>
      </c>
      <c r="D5984" s="70">
        <v>0</v>
      </c>
      <c r="E5984" s="111">
        <f t="shared" si="98"/>
        <v>118507</v>
      </c>
      <c r="F5984" s="69">
        <v>2.7298492338168247E-2</v>
      </c>
      <c r="G5984" s="69">
        <v>2.4733678756476682E-2</v>
      </c>
    </row>
    <row r="5985" spans="1:7" x14ac:dyDescent="0.3">
      <c r="A5985" s="24">
        <v>40863</v>
      </c>
      <c r="B5985" s="66">
        <v>1003.4027400000001</v>
      </c>
      <c r="C5985" s="66">
        <v>1019.5</v>
      </c>
      <c r="D5985" s="70">
        <v>0</v>
      </c>
      <c r="E5985" s="111">
        <f t="shared" si="98"/>
        <v>118507</v>
      </c>
      <c r="F5985" s="69">
        <v>2.7298492338168247E-2</v>
      </c>
      <c r="G5985" s="69">
        <v>2.4733678756476682E-2</v>
      </c>
    </row>
    <row r="5986" spans="1:7" x14ac:dyDescent="0.3">
      <c r="A5986" s="24">
        <v>40864</v>
      </c>
      <c r="B5986" s="66">
        <v>1003.4027400000001</v>
      </c>
      <c r="C5986" s="66">
        <v>1019.5</v>
      </c>
      <c r="D5986" s="70">
        <v>0</v>
      </c>
      <c r="E5986" s="111">
        <f t="shared" si="98"/>
        <v>118507</v>
      </c>
      <c r="F5986" s="69">
        <v>2.7298492338168247E-2</v>
      </c>
      <c r="G5986" s="69">
        <v>2.4733678756476682E-2</v>
      </c>
    </row>
    <row r="5987" spans="1:7" x14ac:dyDescent="0.3">
      <c r="A5987" s="24">
        <v>40865</v>
      </c>
      <c r="B5987" s="66">
        <v>1003.4027400000001</v>
      </c>
      <c r="C5987" s="66">
        <v>1022.5</v>
      </c>
      <c r="D5987" s="70">
        <v>0</v>
      </c>
      <c r="E5987" s="111">
        <f t="shared" si="98"/>
        <v>118507</v>
      </c>
      <c r="F5987" s="69">
        <v>2.7298492338168247E-2</v>
      </c>
      <c r="G5987" s="69">
        <v>2.4733678756476682E-2</v>
      </c>
    </row>
    <row r="5988" spans="1:7" x14ac:dyDescent="0.3">
      <c r="A5988" s="24">
        <v>40866</v>
      </c>
      <c r="B5988" s="66">
        <v>1003.4027400000001</v>
      </c>
      <c r="C5988" s="66">
        <v>1022.5</v>
      </c>
      <c r="D5988" s="70">
        <v>0</v>
      </c>
      <c r="E5988" s="111">
        <f t="shared" si="98"/>
        <v>118507</v>
      </c>
      <c r="F5988" s="69">
        <v>2.7298492338168247E-2</v>
      </c>
      <c r="G5988" s="69">
        <v>2.4733678756476682E-2</v>
      </c>
    </row>
    <row r="5989" spans="1:7" x14ac:dyDescent="0.3">
      <c r="A5989" s="24">
        <v>40867</v>
      </c>
      <c r="B5989" s="66">
        <v>1003.4027400000001</v>
      </c>
      <c r="C5989" s="66">
        <v>1022.5</v>
      </c>
      <c r="D5989" s="70">
        <v>0</v>
      </c>
      <c r="E5989" s="111">
        <f t="shared" si="98"/>
        <v>118507</v>
      </c>
      <c r="F5989" s="69">
        <v>2.7298492338168247E-2</v>
      </c>
      <c r="G5989" s="69">
        <v>2.4733678756476682E-2</v>
      </c>
    </row>
    <row r="5990" spans="1:7" x14ac:dyDescent="0.3">
      <c r="A5990" s="24">
        <v>40868</v>
      </c>
      <c r="B5990" s="66">
        <v>1003.4027400000001</v>
      </c>
      <c r="C5990" s="66">
        <v>1022.5</v>
      </c>
      <c r="D5990" s="70">
        <v>0</v>
      </c>
      <c r="E5990" s="111">
        <f t="shared" si="98"/>
        <v>118507</v>
      </c>
      <c r="F5990" s="69">
        <v>2.7298492338168247E-2</v>
      </c>
      <c r="G5990" s="69">
        <v>2.4733678756476682E-2</v>
      </c>
    </row>
    <row r="5991" spans="1:7" x14ac:dyDescent="0.3">
      <c r="A5991" s="24">
        <v>40869</v>
      </c>
      <c r="B5991" s="66">
        <v>1003.4027400000001</v>
      </c>
      <c r="C5991" s="66">
        <v>1023</v>
      </c>
      <c r="D5991" s="70">
        <v>0</v>
      </c>
      <c r="E5991" s="111">
        <f t="shared" si="98"/>
        <v>118507</v>
      </c>
      <c r="F5991" s="69">
        <v>2.7298492338168247E-2</v>
      </c>
      <c r="G5991" s="69">
        <v>2.4733678756476682E-2</v>
      </c>
    </row>
    <row r="5992" spans="1:7" x14ac:dyDescent="0.3">
      <c r="A5992" s="24">
        <v>40870</v>
      </c>
      <c r="B5992" s="66">
        <v>1003.4027400000001</v>
      </c>
      <c r="C5992" s="66">
        <v>1023</v>
      </c>
      <c r="D5992" s="70">
        <v>0</v>
      </c>
      <c r="E5992" s="111">
        <f t="shared" si="98"/>
        <v>118507</v>
      </c>
      <c r="F5992" s="69">
        <v>2.7298492338168247E-2</v>
      </c>
      <c r="G5992" s="69">
        <v>2.4733678756476682E-2</v>
      </c>
    </row>
    <row r="5993" spans="1:7" x14ac:dyDescent="0.3">
      <c r="A5993" s="24">
        <v>40871</v>
      </c>
      <c r="B5993" s="66">
        <v>1003.4027400000001</v>
      </c>
      <c r="C5993" s="66">
        <v>1023</v>
      </c>
      <c r="D5993" s="70">
        <v>0</v>
      </c>
      <c r="E5993" s="111">
        <f t="shared" si="98"/>
        <v>118507</v>
      </c>
      <c r="F5993" s="69">
        <v>2.7298492338168247E-2</v>
      </c>
      <c r="G5993" s="69">
        <v>2.4733678756476682E-2</v>
      </c>
    </row>
    <row r="5994" spans="1:7" x14ac:dyDescent="0.3">
      <c r="A5994" s="24">
        <v>40872</v>
      </c>
      <c r="B5994" s="66">
        <v>1003.4027400000001</v>
      </c>
      <c r="C5994" s="66">
        <v>1026</v>
      </c>
      <c r="D5994" s="70">
        <v>0</v>
      </c>
      <c r="E5994" s="111">
        <f t="shared" si="98"/>
        <v>118507</v>
      </c>
      <c r="F5994" s="69">
        <v>2.7298492338168247E-2</v>
      </c>
      <c r="G5994" s="69">
        <v>2.4733678756476682E-2</v>
      </c>
    </row>
    <row r="5995" spans="1:7" x14ac:dyDescent="0.3">
      <c r="A5995" s="24">
        <v>40873</v>
      </c>
      <c r="B5995" s="66">
        <v>1003.4027400000001</v>
      </c>
      <c r="C5995" s="66">
        <v>1026</v>
      </c>
      <c r="D5995" s="70">
        <v>0</v>
      </c>
      <c r="E5995" s="111">
        <f t="shared" si="98"/>
        <v>118507</v>
      </c>
      <c r="F5995" s="69">
        <v>2.7298492338168247E-2</v>
      </c>
      <c r="G5995" s="69">
        <v>2.4733678756476682E-2</v>
      </c>
    </row>
    <row r="5996" spans="1:7" x14ac:dyDescent="0.3">
      <c r="A5996" s="24">
        <v>40874</v>
      </c>
      <c r="B5996" s="66">
        <v>1003.4027400000001</v>
      </c>
      <c r="C5996" s="66">
        <v>1026</v>
      </c>
      <c r="D5996" s="70">
        <v>0</v>
      </c>
      <c r="E5996" s="111">
        <f t="shared" si="98"/>
        <v>118507</v>
      </c>
      <c r="F5996" s="69">
        <v>2.7298492338168247E-2</v>
      </c>
      <c r="G5996" s="69">
        <v>2.4733678756476682E-2</v>
      </c>
    </row>
    <row r="5997" spans="1:7" x14ac:dyDescent="0.3">
      <c r="A5997" s="24">
        <v>40875</v>
      </c>
      <c r="B5997" s="66">
        <v>1003.4027400000001</v>
      </c>
      <c r="C5997" s="66">
        <v>1026</v>
      </c>
      <c r="D5997" s="70">
        <v>0</v>
      </c>
      <c r="E5997" s="111">
        <f t="shared" si="98"/>
        <v>118507</v>
      </c>
      <c r="F5997" s="69">
        <v>2.7298492338168247E-2</v>
      </c>
      <c r="G5997" s="69">
        <v>2.4733678756476682E-2</v>
      </c>
    </row>
    <row r="5998" spans="1:7" x14ac:dyDescent="0.3">
      <c r="A5998" s="24">
        <v>40876</v>
      </c>
      <c r="B5998" s="66">
        <v>1003.4027400000001</v>
      </c>
      <c r="C5998" s="66">
        <v>1026</v>
      </c>
      <c r="D5998" s="70">
        <v>0</v>
      </c>
      <c r="E5998" s="111">
        <f t="shared" si="98"/>
        <v>118507</v>
      </c>
      <c r="F5998" s="69">
        <v>2.7298492338168247E-2</v>
      </c>
      <c r="G5998" s="69">
        <v>2.4733678756476682E-2</v>
      </c>
    </row>
    <row r="5999" spans="1:7" x14ac:dyDescent="0.3">
      <c r="A5999" s="24">
        <v>40877</v>
      </c>
      <c r="B5999" s="66">
        <v>1003.4027400000001</v>
      </c>
      <c r="C5999" s="66">
        <v>1026</v>
      </c>
      <c r="D5999" s="70">
        <v>0</v>
      </c>
      <c r="E5999" s="111">
        <v>130970</v>
      </c>
      <c r="F5999" s="69">
        <v>2.7298492338168247E-2</v>
      </c>
      <c r="G5999" s="69">
        <v>2.4733678756476682E-2</v>
      </c>
    </row>
    <row r="6000" spans="1:7" x14ac:dyDescent="0.3">
      <c r="A6000" s="24">
        <v>40878</v>
      </c>
      <c r="B6000" s="66">
        <v>1003.4027400000001</v>
      </c>
      <c r="C6000" s="66">
        <v>1026</v>
      </c>
      <c r="D6000" s="70">
        <v>0</v>
      </c>
      <c r="E6000" s="111">
        <f>+E5999</f>
        <v>130970</v>
      </c>
      <c r="F6000" s="69">
        <v>2.7298492338168247E-2</v>
      </c>
      <c r="G6000" s="69">
        <v>2.4733678756476682E-2</v>
      </c>
    </row>
    <row r="6001" spans="1:7" x14ac:dyDescent="0.3">
      <c r="A6001" s="24">
        <v>40879</v>
      </c>
      <c r="B6001" s="66">
        <v>1003.4027400000001</v>
      </c>
      <c r="C6001" s="66">
        <v>1026</v>
      </c>
      <c r="D6001" s="70">
        <v>0</v>
      </c>
      <c r="E6001" s="111">
        <f t="shared" ref="E6001:E6029" si="99">+E6000</f>
        <v>130970</v>
      </c>
      <c r="F6001" s="69">
        <v>2.7298492338168247E-2</v>
      </c>
      <c r="G6001" s="69">
        <v>2.4733678756476682E-2</v>
      </c>
    </row>
    <row r="6002" spans="1:7" x14ac:dyDescent="0.3">
      <c r="A6002" s="24">
        <v>40880</v>
      </c>
      <c r="B6002" s="66">
        <v>1003.4027400000001</v>
      </c>
      <c r="C6002" s="66">
        <v>1026</v>
      </c>
      <c r="D6002" s="70">
        <v>0</v>
      </c>
      <c r="E6002" s="111">
        <f t="shared" si="99"/>
        <v>130970</v>
      </c>
      <c r="F6002" s="69">
        <v>2.7298492338168247E-2</v>
      </c>
      <c r="G6002" s="69">
        <v>2.4733678756476682E-2</v>
      </c>
    </row>
    <row r="6003" spans="1:7" x14ac:dyDescent="0.3">
      <c r="A6003" s="24">
        <v>40881</v>
      </c>
      <c r="B6003" s="66">
        <v>1003.4027400000001</v>
      </c>
      <c r="C6003" s="66">
        <v>1026</v>
      </c>
      <c r="D6003" s="70">
        <v>0</v>
      </c>
      <c r="E6003" s="111">
        <f t="shared" si="99"/>
        <v>130970</v>
      </c>
      <c r="F6003" s="69">
        <v>2.7298492338168247E-2</v>
      </c>
      <c r="G6003" s="69">
        <v>2.4733678756476682E-2</v>
      </c>
    </row>
    <row r="6004" spans="1:7" x14ac:dyDescent="0.3">
      <c r="A6004" s="24">
        <v>40882</v>
      </c>
      <c r="B6004" s="66">
        <v>1003.4027400000001</v>
      </c>
      <c r="C6004" s="66">
        <v>1027</v>
      </c>
      <c r="D6004" s="70">
        <v>0</v>
      </c>
      <c r="E6004" s="111">
        <f t="shared" si="99"/>
        <v>130970</v>
      </c>
      <c r="F6004" s="69">
        <v>2.7298492338168247E-2</v>
      </c>
      <c r="G6004" s="69">
        <v>2.4733678756476682E-2</v>
      </c>
    </row>
    <row r="6005" spans="1:7" x14ac:dyDescent="0.3">
      <c r="A6005" s="24">
        <v>40883</v>
      </c>
      <c r="B6005" s="66">
        <v>1003.4027400000001</v>
      </c>
      <c r="C6005" s="66">
        <v>1027</v>
      </c>
      <c r="D6005" s="70">
        <v>0</v>
      </c>
      <c r="E6005" s="111">
        <f t="shared" si="99"/>
        <v>130970</v>
      </c>
      <c r="F6005" s="69">
        <v>2.7298492338168247E-2</v>
      </c>
      <c r="G6005" s="69">
        <v>2.4733678756476682E-2</v>
      </c>
    </row>
    <row r="6006" spans="1:7" x14ac:dyDescent="0.3">
      <c r="A6006" s="24">
        <v>40884</v>
      </c>
      <c r="B6006" s="66">
        <v>1003.4027400000001</v>
      </c>
      <c r="C6006" s="66">
        <v>1027</v>
      </c>
      <c r="D6006" s="70">
        <v>0</v>
      </c>
      <c r="E6006" s="111">
        <f t="shared" si="99"/>
        <v>130970</v>
      </c>
      <c r="F6006" s="69">
        <v>2.7298492338168247E-2</v>
      </c>
      <c r="G6006" s="69">
        <v>2.4733678756476682E-2</v>
      </c>
    </row>
    <row r="6007" spans="1:7" x14ac:dyDescent="0.3">
      <c r="A6007" s="24">
        <v>40885</v>
      </c>
      <c r="B6007" s="66">
        <v>1003.4027400000001</v>
      </c>
      <c r="C6007" s="66">
        <v>1027</v>
      </c>
      <c r="D6007" s="70">
        <v>0</v>
      </c>
      <c r="E6007" s="111">
        <f t="shared" si="99"/>
        <v>130970</v>
      </c>
      <c r="F6007" s="69">
        <v>2.7298492338168247E-2</v>
      </c>
      <c r="G6007" s="69">
        <v>2.4733678756476682E-2</v>
      </c>
    </row>
    <row r="6008" spans="1:7" x14ac:dyDescent="0.3">
      <c r="A6008" s="24">
        <v>40886</v>
      </c>
      <c r="B6008" s="66">
        <v>1003.4027400000001</v>
      </c>
      <c r="C6008" s="66">
        <v>1027</v>
      </c>
      <c r="D6008" s="70">
        <v>0</v>
      </c>
      <c r="E6008" s="111">
        <f t="shared" si="99"/>
        <v>130970</v>
      </c>
      <c r="F6008" s="69">
        <v>2.7298492338168247E-2</v>
      </c>
      <c r="G6008" s="69">
        <v>2.4733678756476682E-2</v>
      </c>
    </row>
    <row r="6009" spans="1:7" x14ac:dyDescent="0.3">
      <c r="A6009" s="24">
        <v>40887</v>
      </c>
      <c r="B6009" s="66">
        <v>1003.4027400000001</v>
      </c>
      <c r="C6009" s="66">
        <v>1027</v>
      </c>
      <c r="D6009" s="70">
        <v>0</v>
      </c>
      <c r="E6009" s="111">
        <f t="shared" si="99"/>
        <v>130970</v>
      </c>
      <c r="F6009" s="69">
        <v>2.7298492338168247E-2</v>
      </c>
      <c r="G6009" s="69">
        <v>2.4733678756476682E-2</v>
      </c>
    </row>
    <row r="6010" spans="1:7" x14ac:dyDescent="0.3">
      <c r="A6010" s="24">
        <v>40888</v>
      </c>
      <c r="B6010" s="66">
        <v>1003.4027400000001</v>
      </c>
      <c r="C6010" s="66">
        <v>1027</v>
      </c>
      <c r="D6010" s="70">
        <v>0</v>
      </c>
      <c r="E6010" s="111">
        <f t="shared" si="99"/>
        <v>130970</v>
      </c>
      <c r="F6010" s="69">
        <v>2.7298492338168247E-2</v>
      </c>
      <c r="G6010" s="69">
        <v>2.4733678756476682E-2</v>
      </c>
    </row>
    <row r="6011" spans="1:7" x14ac:dyDescent="0.3">
      <c r="A6011" s="24">
        <v>40889</v>
      </c>
      <c r="B6011" s="66">
        <v>1003.4027400000001</v>
      </c>
      <c r="C6011" s="66">
        <v>1027.0999999999999</v>
      </c>
      <c r="D6011" s="70">
        <v>0</v>
      </c>
      <c r="E6011" s="111">
        <f t="shared" si="99"/>
        <v>130970</v>
      </c>
      <c r="F6011" s="69">
        <v>2.7298492338168247E-2</v>
      </c>
      <c r="G6011" s="69">
        <v>2.4733678756476682E-2</v>
      </c>
    </row>
    <row r="6012" spans="1:7" x14ac:dyDescent="0.3">
      <c r="A6012" s="24">
        <v>40890</v>
      </c>
      <c r="B6012" s="66">
        <v>1003.4027400000001</v>
      </c>
      <c r="C6012" s="66">
        <v>1027.0999999999999</v>
      </c>
      <c r="D6012" s="70">
        <v>0</v>
      </c>
      <c r="E6012" s="111">
        <f t="shared" si="99"/>
        <v>130970</v>
      </c>
      <c r="F6012" s="69">
        <v>2.7298492338168247E-2</v>
      </c>
      <c r="G6012" s="69">
        <v>2.4733678756476682E-2</v>
      </c>
    </row>
    <row r="6013" spans="1:7" x14ac:dyDescent="0.3">
      <c r="A6013" s="24">
        <v>40891</v>
      </c>
      <c r="B6013" s="66">
        <v>1003.4027400000001</v>
      </c>
      <c r="C6013" s="66">
        <v>1027.0999999999999</v>
      </c>
      <c r="D6013" s="70">
        <v>0</v>
      </c>
      <c r="E6013" s="111">
        <f t="shared" si="99"/>
        <v>130970</v>
      </c>
      <c r="F6013" s="69">
        <v>2.7298492338168247E-2</v>
      </c>
      <c r="G6013" s="69">
        <v>2.4733678756476682E-2</v>
      </c>
    </row>
    <row r="6014" spans="1:7" x14ac:dyDescent="0.3">
      <c r="A6014" s="24">
        <v>40892</v>
      </c>
      <c r="B6014" s="66">
        <v>1003.4027400000001</v>
      </c>
      <c r="C6014" s="66">
        <v>1027.0999999999999</v>
      </c>
      <c r="D6014" s="70">
        <v>0</v>
      </c>
      <c r="E6014" s="111">
        <f t="shared" si="99"/>
        <v>130970</v>
      </c>
      <c r="F6014" s="69">
        <v>2.7298492338168247E-2</v>
      </c>
      <c r="G6014" s="69">
        <v>2.4733678756476682E-2</v>
      </c>
    </row>
    <row r="6015" spans="1:7" x14ac:dyDescent="0.3">
      <c r="A6015" s="24">
        <v>40893</v>
      </c>
      <c r="B6015" s="66">
        <v>1003.4027400000001</v>
      </c>
      <c r="C6015" s="66">
        <v>1027.0999999999999</v>
      </c>
      <c r="D6015" s="70">
        <v>0</v>
      </c>
      <c r="E6015" s="111">
        <f t="shared" si="99"/>
        <v>130970</v>
      </c>
      <c r="F6015" s="69">
        <v>2.7298492338168247E-2</v>
      </c>
      <c r="G6015" s="69">
        <v>2.4733678756476682E-2</v>
      </c>
    </row>
    <row r="6016" spans="1:7" x14ac:dyDescent="0.3">
      <c r="A6016" s="24">
        <v>40894</v>
      </c>
      <c r="B6016" s="66">
        <v>1003.4027400000001</v>
      </c>
      <c r="C6016" s="66">
        <v>1027.0999999999999</v>
      </c>
      <c r="D6016" s="70">
        <v>0</v>
      </c>
      <c r="E6016" s="111">
        <f t="shared" si="99"/>
        <v>130970</v>
      </c>
      <c r="F6016" s="69">
        <v>2.7298492338168247E-2</v>
      </c>
      <c r="G6016" s="69">
        <v>2.4733678756476682E-2</v>
      </c>
    </row>
    <row r="6017" spans="1:7" x14ac:dyDescent="0.3">
      <c r="A6017" s="24">
        <v>40895</v>
      </c>
      <c r="B6017" s="66">
        <v>1003.4027400000001</v>
      </c>
      <c r="C6017" s="66">
        <v>1027.0999999999999</v>
      </c>
      <c r="D6017" s="70">
        <v>0</v>
      </c>
      <c r="E6017" s="111">
        <f t="shared" si="99"/>
        <v>130970</v>
      </c>
      <c r="F6017" s="69">
        <v>2.7298492338168247E-2</v>
      </c>
      <c r="G6017" s="69">
        <v>2.4733678756476682E-2</v>
      </c>
    </row>
    <row r="6018" spans="1:7" x14ac:dyDescent="0.3">
      <c r="A6018" s="24">
        <v>40896</v>
      </c>
      <c r="B6018" s="66">
        <v>1003.4027400000001</v>
      </c>
      <c r="C6018" s="66">
        <v>1027.0999999999999</v>
      </c>
      <c r="D6018" s="70">
        <v>0</v>
      </c>
      <c r="E6018" s="111">
        <f t="shared" si="99"/>
        <v>130970</v>
      </c>
      <c r="F6018" s="69">
        <v>2.7298492338168247E-2</v>
      </c>
      <c r="G6018" s="69">
        <v>2.4733678756476682E-2</v>
      </c>
    </row>
    <row r="6019" spans="1:7" x14ac:dyDescent="0.3">
      <c r="A6019" s="24">
        <v>40897</v>
      </c>
      <c r="B6019" s="66">
        <v>1003.4027400000001</v>
      </c>
      <c r="C6019" s="66">
        <v>1036.5999999999999</v>
      </c>
      <c r="D6019" s="70">
        <v>0</v>
      </c>
      <c r="E6019" s="111">
        <f t="shared" si="99"/>
        <v>130970</v>
      </c>
      <c r="F6019" s="69">
        <v>2.7298492338168247E-2</v>
      </c>
      <c r="G6019" s="69">
        <v>2.4733678756476682E-2</v>
      </c>
    </row>
    <row r="6020" spans="1:7" x14ac:dyDescent="0.3">
      <c r="A6020" s="24">
        <v>40898</v>
      </c>
      <c r="B6020" s="66">
        <v>1003.4027400000001</v>
      </c>
      <c r="C6020" s="66">
        <v>1036.5999999999999</v>
      </c>
      <c r="D6020" s="70">
        <v>0</v>
      </c>
      <c r="E6020" s="111">
        <f t="shared" si="99"/>
        <v>130970</v>
      </c>
      <c r="F6020" s="69">
        <v>2.7298492338168247E-2</v>
      </c>
      <c r="G6020" s="69">
        <v>2.4733678756476682E-2</v>
      </c>
    </row>
    <row r="6021" spans="1:7" x14ac:dyDescent="0.3">
      <c r="A6021" s="24">
        <v>40899</v>
      </c>
      <c r="B6021" s="66">
        <v>1003.4027400000001</v>
      </c>
      <c r="C6021" s="66">
        <v>1036.5999999999999</v>
      </c>
      <c r="D6021" s="70">
        <v>0</v>
      </c>
      <c r="E6021" s="111">
        <f t="shared" si="99"/>
        <v>130970</v>
      </c>
      <c r="F6021" s="69">
        <v>2.7298492338168247E-2</v>
      </c>
      <c r="G6021" s="69">
        <v>2.4733678756476682E-2</v>
      </c>
    </row>
    <row r="6022" spans="1:7" x14ac:dyDescent="0.3">
      <c r="A6022" s="24">
        <v>40900</v>
      </c>
      <c r="B6022" s="66">
        <v>1003.4027400000001</v>
      </c>
      <c r="C6022" s="66">
        <v>1036.5999999999999</v>
      </c>
      <c r="D6022" s="70">
        <v>6.1719999999999997</v>
      </c>
      <c r="E6022" s="111">
        <f t="shared" si="99"/>
        <v>130970</v>
      </c>
      <c r="F6022" s="69">
        <v>3.4357579597728095E-2</v>
      </c>
      <c r="G6022" s="69">
        <v>3.1129533678756476E-2</v>
      </c>
    </row>
    <row r="6023" spans="1:7" x14ac:dyDescent="0.3">
      <c r="A6023" s="24">
        <v>40901</v>
      </c>
      <c r="B6023" s="66">
        <v>1003.4027400000001</v>
      </c>
      <c r="C6023" s="66">
        <v>1036.5999999999999</v>
      </c>
      <c r="D6023" s="70">
        <v>0</v>
      </c>
      <c r="E6023" s="111">
        <f t="shared" si="99"/>
        <v>130970</v>
      </c>
      <c r="F6023" s="69">
        <v>3.4357579597728095E-2</v>
      </c>
      <c r="G6023" s="69">
        <v>3.1129533678756476E-2</v>
      </c>
    </row>
    <row r="6024" spans="1:7" x14ac:dyDescent="0.3">
      <c r="A6024" s="24">
        <v>40902</v>
      </c>
      <c r="B6024" s="66">
        <v>1003.4027400000001</v>
      </c>
      <c r="C6024" s="66">
        <v>1036.5999999999999</v>
      </c>
      <c r="D6024" s="70">
        <v>0</v>
      </c>
      <c r="E6024" s="111">
        <f t="shared" si="99"/>
        <v>130970</v>
      </c>
      <c r="F6024" s="69">
        <v>3.4357579597728095E-2</v>
      </c>
      <c r="G6024" s="69">
        <v>3.1129533678756476E-2</v>
      </c>
    </row>
    <row r="6025" spans="1:7" x14ac:dyDescent="0.3">
      <c r="A6025" s="24">
        <v>40903</v>
      </c>
      <c r="B6025" s="66">
        <v>1003.4027400000001</v>
      </c>
      <c r="C6025" s="66">
        <v>1036.5999999999999</v>
      </c>
      <c r="D6025" s="70">
        <v>0</v>
      </c>
      <c r="E6025" s="111">
        <f t="shared" si="99"/>
        <v>130970</v>
      </c>
      <c r="F6025" s="69">
        <v>3.4357579597728095E-2</v>
      </c>
      <c r="G6025" s="69">
        <v>3.1129533678756476E-2</v>
      </c>
    </row>
    <row r="6026" spans="1:7" x14ac:dyDescent="0.3">
      <c r="A6026" s="24">
        <v>40904</v>
      </c>
      <c r="B6026" s="66">
        <v>1003.4027400000001</v>
      </c>
      <c r="C6026" s="66">
        <v>1036.5999999999999</v>
      </c>
      <c r="D6026" s="70">
        <v>0</v>
      </c>
      <c r="E6026" s="111">
        <f t="shared" si="99"/>
        <v>130970</v>
      </c>
      <c r="F6026" s="69">
        <v>3.4357579597728095E-2</v>
      </c>
      <c r="G6026" s="69">
        <v>3.1129533678756476E-2</v>
      </c>
    </row>
    <row r="6027" spans="1:7" x14ac:dyDescent="0.3">
      <c r="A6027" s="24">
        <v>40905</v>
      </c>
      <c r="B6027" s="66">
        <v>1003.4027400000001</v>
      </c>
      <c r="C6027" s="66">
        <v>1036.5999999999999</v>
      </c>
      <c r="D6027" s="70">
        <v>0</v>
      </c>
      <c r="E6027" s="111">
        <f t="shared" si="99"/>
        <v>130970</v>
      </c>
      <c r="F6027" s="69">
        <v>3.4357579597728095E-2</v>
      </c>
      <c r="G6027" s="69">
        <v>3.1129533678756476E-2</v>
      </c>
    </row>
    <row r="6028" spans="1:7" x14ac:dyDescent="0.3">
      <c r="A6028" s="24">
        <v>40906</v>
      </c>
      <c r="B6028" s="66">
        <v>1003.4027400000001</v>
      </c>
      <c r="C6028" s="66">
        <v>1036.5999999999999</v>
      </c>
      <c r="D6028" s="70">
        <v>0</v>
      </c>
      <c r="E6028" s="111">
        <f t="shared" si="99"/>
        <v>130970</v>
      </c>
      <c r="F6028" s="69">
        <v>3.4357579597728095E-2</v>
      </c>
      <c r="G6028" s="69">
        <v>3.1129533678756476E-2</v>
      </c>
    </row>
    <row r="6029" spans="1:7" x14ac:dyDescent="0.3">
      <c r="A6029" s="24">
        <v>40907</v>
      </c>
      <c r="B6029" s="66">
        <v>1003.4027400000001</v>
      </c>
      <c r="C6029" s="66">
        <v>1036.5999999999999</v>
      </c>
      <c r="D6029" s="70">
        <v>0</v>
      </c>
      <c r="E6029" s="111">
        <f t="shared" si="99"/>
        <v>130970</v>
      </c>
      <c r="F6029" s="69">
        <v>3.2357021602943584E-2</v>
      </c>
      <c r="G6029" s="69">
        <v>3.1129533678756476E-2</v>
      </c>
    </row>
    <row r="6030" spans="1:7" x14ac:dyDescent="0.3">
      <c r="A6030" s="24">
        <v>40908</v>
      </c>
      <c r="B6030" s="66">
        <v>1037.45821</v>
      </c>
      <c r="C6030" s="66">
        <v>1036.5999999999999</v>
      </c>
      <c r="D6030" s="70">
        <v>0</v>
      </c>
      <c r="E6030" s="111">
        <v>131778</v>
      </c>
      <c r="F6030" s="69">
        <v>3.2357021602943584E-2</v>
      </c>
      <c r="G6030" s="69">
        <v>3.1129533678756476E-2</v>
      </c>
    </row>
    <row r="6031" spans="1:7" x14ac:dyDescent="0.3">
      <c r="A6031" s="24">
        <v>40909</v>
      </c>
      <c r="B6031" s="66">
        <v>1037.45821</v>
      </c>
      <c r="C6031" s="66">
        <v>1036.5999999999999</v>
      </c>
      <c r="D6031" s="70">
        <v>0</v>
      </c>
      <c r="E6031" s="111">
        <v>131778</v>
      </c>
      <c r="F6031" s="69">
        <v>3.2357021602943584E-2</v>
      </c>
      <c r="G6031" s="69">
        <v>3.1129533678756476E-2</v>
      </c>
    </row>
    <row r="6032" spans="1:7" x14ac:dyDescent="0.3">
      <c r="A6032" s="24">
        <v>40910</v>
      </c>
      <c r="B6032" s="66">
        <v>1037.45821</v>
      </c>
      <c r="C6032" s="66">
        <v>1036.5999999999999</v>
      </c>
      <c r="D6032" s="70">
        <v>0</v>
      </c>
      <c r="E6032" s="111">
        <v>131778</v>
      </c>
      <c r="F6032" s="69">
        <v>3.2357021602943584E-2</v>
      </c>
      <c r="G6032" s="69">
        <v>3.1129533678756476E-2</v>
      </c>
    </row>
    <row r="6033" spans="1:7" x14ac:dyDescent="0.3">
      <c r="A6033" s="24">
        <v>40911</v>
      </c>
      <c r="B6033" s="66">
        <v>1037.45821</v>
      </c>
      <c r="C6033" s="66">
        <v>1036.5999999999999</v>
      </c>
      <c r="D6033" s="70">
        <v>0</v>
      </c>
      <c r="E6033" s="111">
        <v>131778</v>
      </c>
      <c r="F6033" s="69">
        <v>3.2357021602943584E-2</v>
      </c>
      <c r="G6033" s="69">
        <v>3.1129533678756476E-2</v>
      </c>
    </row>
    <row r="6034" spans="1:7" x14ac:dyDescent="0.3">
      <c r="A6034" s="24">
        <v>40912</v>
      </c>
      <c r="B6034" s="66">
        <v>1037.45821</v>
      </c>
      <c r="C6034" s="66">
        <v>1036.5999999999999</v>
      </c>
      <c r="D6034" s="70">
        <v>0</v>
      </c>
      <c r="E6034" s="111">
        <v>131778</v>
      </c>
      <c r="F6034" s="69">
        <v>3.2357021602943584E-2</v>
      </c>
      <c r="G6034" s="69">
        <v>3.1129533678756476E-2</v>
      </c>
    </row>
    <row r="6035" spans="1:7" x14ac:dyDescent="0.3">
      <c r="A6035" s="24">
        <v>40913</v>
      </c>
      <c r="B6035" s="66">
        <v>1037.45821</v>
      </c>
      <c r="C6035" s="66">
        <v>1040</v>
      </c>
      <c r="D6035" s="70">
        <v>0</v>
      </c>
      <c r="E6035" s="111">
        <v>131778</v>
      </c>
      <c r="F6035" s="69">
        <v>3.2357021602943584E-2</v>
      </c>
      <c r="G6035" s="69">
        <v>3.1129533678756476E-2</v>
      </c>
    </row>
    <row r="6036" spans="1:7" x14ac:dyDescent="0.3">
      <c r="A6036" s="24">
        <v>40914</v>
      </c>
      <c r="B6036" s="66">
        <v>1037.45821</v>
      </c>
      <c r="C6036" s="66">
        <v>1040</v>
      </c>
      <c r="D6036" s="70">
        <v>0</v>
      </c>
      <c r="E6036" s="111">
        <v>131778</v>
      </c>
      <c r="F6036" s="69">
        <v>3.2357021602943584E-2</v>
      </c>
      <c r="G6036" s="69">
        <v>3.1129533678756476E-2</v>
      </c>
    </row>
    <row r="6037" spans="1:7" x14ac:dyDescent="0.3">
      <c r="A6037" s="24">
        <v>40915</v>
      </c>
      <c r="B6037" s="66">
        <v>1037.45821</v>
      </c>
      <c r="C6037" s="66">
        <v>1040</v>
      </c>
      <c r="D6037" s="70">
        <v>0</v>
      </c>
      <c r="E6037" s="111">
        <v>131778</v>
      </c>
      <c r="F6037" s="69">
        <v>3.2357021602943584E-2</v>
      </c>
      <c r="G6037" s="69">
        <v>3.1129533678756476E-2</v>
      </c>
    </row>
    <row r="6038" spans="1:7" x14ac:dyDescent="0.3">
      <c r="A6038" s="24">
        <v>40916</v>
      </c>
      <c r="B6038" s="66">
        <v>1037.45821</v>
      </c>
      <c r="C6038" s="66">
        <v>1040</v>
      </c>
      <c r="D6038" s="70">
        <v>0</v>
      </c>
      <c r="E6038" s="111">
        <v>131778</v>
      </c>
      <c r="F6038" s="69">
        <v>3.2357021602943584E-2</v>
      </c>
      <c r="G6038" s="69">
        <v>3.1129533678756476E-2</v>
      </c>
    </row>
    <row r="6039" spans="1:7" x14ac:dyDescent="0.3">
      <c r="A6039" s="24">
        <v>40917</v>
      </c>
      <c r="B6039" s="66">
        <v>1037.45821</v>
      </c>
      <c r="C6039" s="66">
        <v>1040.0999999999999</v>
      </c>
      <c r="D6039" s="70">
        <v>0</v>
      </c>
      <c r="E6039" s="111">
        <v>131778</v>
      </c>
      <c r="F6039" s="69">
        <v>3.2357021602943584E-2</v>
      </c>
      <c r="G6039" s="69">
        <v>3.1129533678756476E-2</v>
      </c>
    </row>
    <row r="6040" spans="1:7" x14ac:dyDescent="0.3">
      <c r="A6040" s="24">
        <v>40918</v>
      </c>
      <c r="B6040" s="66">
        <v>1037.45821</v>
      </c>
      <c r="C6040" s="66">
        <v>1040.0999999999999</v>
      </c>
      <c r="D6040" s="70">
        <v>0</v>
      </c>
      <c r="E6040" s="111">
        <v>131778</v>
      </c>
      <c r="F6040" s="69">
        <v>3.2357021602943584E-2</v>
      </c>
      <c r="G6040" s="69">
        <v>3.1129533678756476E-2</v>
      </c>
    </row>
    <row r="6041" spans="1:7" x14ac:dyDescent="0.3">
      <c r="A6041" s="24">
        <v>40919</v>
      </c>
      <c r="B6041" s="66">
        <v>1037.45821</v>
      </c>
      <c r="C6041" s="66">
        <v>1040.2</v>
      </c>
      <c r="D6041" s="70">
        <v>0</v>
      </c>
      <c r="E6041" s="111">
        <v>131778</v>
      </c>
      <c r="F6041" s="69">
        <v>3.2357021602943584E-2</v>
      </c>
      <c r="G6041" s="69">
        <v>3.1129533678756476E-2</v>
      </c>
    </row>
    <row r="6042" spans="1:7" x14ac:dyDescent="0.3">
      <c r="A6042" s="24">
        <v>40920</v>
      </c>
      <c r="B6042" s="66">
        <v>1037.45821</v>
      </c>
      <c r="C6042" s="66">
        <v>1042</v>
      </c>
      <c r="D6042" s="70">
        <v>0</v>
      </c>
      <c r="E6042" s="111">
        <v>131778</v>
      </c>
      <c r="F6042" s="69">
        <v>3.2357021602943584E-2</v>
      </c>
      <c r="G6042" s="69">
        <v>3.1129533678756476E-2</v>
      </c>
    </row>
    <row r="6043" spans="1:7" x14ac:dyDescent="0.3">
      <c r="A6043" s="24">
        <v>40921</v>
      </c>
      <c r="B6043" s="66">
        <v>1037.45821</v>
      </c>
      <c r="C6043" s="66">
        <v>1042</v>
      </c>
      <c r="D6043" s="70">
        <v>0</v>
      </c>
      <c r="E6043" s="111">
        <v>131778</v>
      </c>
      <c r="F6043" s="69">
        <v>3.2357021602943584E-2</v>
      </c>
      <c r="G6043" s="69">
        <v>3.1129533678756476E-2</v>
      </c>
    </row>
    <row r="6044" spans="1:7" x14ac:dyDescent="0.3">
      <c r="A6044" s="24">
        <v>40922</v>
      </c>
      <c r="B6044" s="66">
        <v>1037.45821</v>
      </c>
      <c r="C6044" s="66">
        <v>1042</v>
      </c>
      <c r="D6044" s="70">
        <v>0</v>
      </c>
      <c r="E6044" s="111">
        <v>131778</v>
      </c>
      <c r="F6044" s="69">
        <v>3.2357021602943584E-2</v>
      </c>
      <c r="G6044" s="69">
        <v>3.1129533678756476E-2</v>
      </c>
    </row>
    <row r="6045" spans="1:7" x14ac:dyDescent="0.3">
      <c r="A6045" s="24">
        <v>40923</v>
      </c>
      <c r="B6045" s="66">
        <v>1037.45821</v>
      </c>
      <c r="C6045" s="66">
        <v>1042</v>
      </c>
      <c r="D6045" s="70">
        <v>0</v>
      </c>
      <c r="E6045" s="111">
        <v>131778</v>
      </c>
      <c r="F6045" s="69">
        <v>3.2357021602943584E-2</v>
      </c>
      <c r="G6045" s="69">
        <v>3.1129533678756476E-2</v>
      </c>
    </row>
    <row r="6046" spans="1:7" x14ac:dyDescent="0.3">
      <c r="A6046" s="24">
        <v>40924</v>
      </c>
      <c r="B6046" s="66">
        <v>1037.45821</v>
      </c>
      <c r="C6046" s="66">
        <v>1040.2</v>
      </c>
      <c r="D6046" s="70">
        <v>0</v>
      </c>
      <c r="E6046" s="111">
        <v>131778</v>
      </c>
      <c r="F6046" s="69">
        <v>3.2357021602943584E-2</v>
      </c>
      <c r="G6046" s="69">
        <v>3.1129533678756476E-2</v>
      </c>
    </row>
    <row r="6047" spans="1:7" x14ac:dyDescent="0.3">
      <c r="A6047" s="24">
        <v>40925</v>
      </c>
      <c r="B6047" s="66">
        <v>1037.45821</v>
      </c>
      <c r="C6047" s="66">
        <v>1042</v>
      </c>
      <c r="D6047" s="70">
        <v>0</v>
      </c>
      <c r="E6047" s="111">
        <v>131778</v>
      </c>
      <c r="F6047" s="69">
        <v>3.2357021602943584E-2</v>
      </c>
      <c r="G6047" s="69">
        <v>3.1129533678756476E-2</v>
      </c>
    </row>
    <row r="6048" spans="1:7" x14ac:dyDescent="0.3">
      <c r="A6048" s="24">
        <v>40926</v>
      </c>
      <c r="B6048" s="66">
        <v>1037.45821</v>
      </c>
      <c r="C6048" s="66">
        <v>1043</v>
      </c>
      <c r="D6048" s="70">
        <v>0</v>
      </c>
      <c r="E6048" s="111">
        <v>131778</v>
      </c>
      <c r="F6048" s="69">
        <v>3.2357021602943584E-2</v>
      </c>
      <c r="G6048" s="69">
        <v>3.1129533678756476E-2</v>
      </c>
    </row>
    <row r="6049" spans="1:7" x14ac:dyDescent="0.3">
      <c r="A6049" s="24">
        <v>40927</v>
      </c>
      <c r="B6049" s="66">
        <v>1037.45821</v>
      </c>
      <c r="C6049" s="66">
        <v>1043</v>
      </c>
      <c r="D6049" s="70">
        <v>0</v>
      </c>
      <c r="E6049" s="111">
        <v>131778</v>
      </c>
      <c r="F6049" s="69">
        <v>3.2357021602943584E-2</v>
      </c>
      <c r="G6049" s="69">
        <v>3.1129533678756476E-2</v>
      </c>
    </row>
    <row r="6050" spans="1:7" x14ac:dyDescent="0.3">
      <c r="A6050" s="24">
        <v>40928</v>
      </c>
      <c r="B6050" s="66">
        <v>1037.45821</v>
      </c>
      <c r="C6050" s="66">
        <v>1044</v>
      </c>
      <c r="D6050" s="70">
        <v>0</v>
      </c>
      <c r="E6050" s="111">
        <v>131778</v>
      </c>
      <c r="F6050" s="69">
        <v>3.2357021602943584E-2</v>
      </c>
      <c r="G6050" s="69">
        <v>3.1129533678756476E-2</v>
      </c>
    </row>
    <row r="6051" spans="1:7" x14ac:dyDescent="0.3">
      <c r="A6051" s="24">
        <v>40929</v>
      </c>
      <c r="B6051" s="66">
        <v>1037.45821</v>
      </c>
      <c r="C6051" s="66">
        <v>1044</v>
      </c>
      <c r="D6051" s="70">
        <v>0</v>
      </c>
      <c r="E6051" s="111">
        <v>131778</v>
      </c>
      <c r="F6051" s="69">
        <v>3.2357021602943584E-2</v>
      </c>
      <c r="G6051" s="69">
        <v>3.1129533678756476E-2</v>
      </c>
    </row>
    <row r="6052" spans="1:7" x14ac:dyDescent="0.3">
      <c r="A6052" s="24">
        <v>40930</v>
      </c>
      <c r="B6052" s="66">
        <v>1037.45821</v>
      </c>
      <c r="C6052" s="66">
        <v>1044</v>
      </c>
      <c r="D6052" s="70">
        <v>0</v>
      </c>
      <c r="E6052" s="111">
        <v>131778</v>
      </c>
      <c r="F6052" s="69">
        <v>3.2357021602943584E-2</v>
      </c>
      <c r="G6052" s="69">
        <v>3.1129533678756476E-2</v>
      </c>
    </row>
    <row r="6053" spans="1:7" x14ac:dyDescent="0.3">
      <c r="A6053" s="24">
        <v>40931</v>
      </c>
      <c r="B6053" s="66">
        <v>1037.45821</v>
      </c>
      <c r="C6053" s="66">
        <v>1044</v>
      </c>
      <c r="D6053" s="70">
        <v>0</v>
      </c>
      <c r="E6053" s="111">
        <v>131778</v>
      </c>
      <c r="F6053" s="69">
        <v>3.2357021602943584E-2</v>
      </c>
      <c r="G6053" s="69">
        <v>3.1129533678756476E-2</v>
      </c>
    </row>
    <row r="6054" spans="1:7" x14ac:dyDescent="0.3">
      <c r="A6054" s="24">
        <v>40932</v>
      </c>
      <c r="B6054" s="66">
        <v>1037.45821</v>
      </c>
      <c r="C6054" s="66">
        <v>1044</v>
      </c>
      <c r="D6054" s="70">
        <v>0</v>
      </c>
      <c r="E6054" s="111">
        <v>131778</v>
      </c>
      <c r="F6054" s="69">
        <v>3.2357021602943584E-2</v>
      </c>
      <c r="G6054" s="69">
        <v>3.1129533678756476E-2</v>
      </c>
    </row>
    <row r="6055" spans="1:7" x14ac:dyDescent="0.3">
      <c r="A6055" s="24">
        <v>40933</v>
      </c>
      <c r="B6055" s="66">
        <v>1037.45821</v>
      </c>
      <c r="C6055" s="66">
        <v>1044</v>
      </c>
      <c r="D6055" s="70">
        <v>0</v>
      </c>
      <c r="E6055" s="111">
        <v>131778</v>
      </c>
      <c r="F6055" s="69">
        <v>3.2357021602943584E-2</v>
      </c>
      <c r="G6055" s="69">
        <v>3.1129533678756476E-2</v>
      </c>
    </row>
    <row r="6056" spans="1:7" x14ac:dyDescent="0.3">
      <c r="A6056" s="24">
        <v>40934</v>
      </c>
      <c r="B6056" s="66">
        <v>1037.45821</v>
      </c>
      <c r="C6056" s="66">
        <v>1044</v>
      </c>
      <c r="D6056" s="70">
        <v>0</v>
      </c>
      <c r="E6056" s="111">
        <v>131778</v>
      </c>
      <c r="F6056" s="69">
        <v>3.2357021602943584E-2</v>
      </c>
      <c r="G6056" s="69">
        <v>3.1129533678756476E-2</v>
      </c>
    </row>
    <row r="6057" spans="1:7" x14ac:dyDescent="0.3">
      <c r="A6057" s="24">
        <v>40935</v>
      </c>
      <c r="B6057" s="66">
        <v>1037.45821</v>
      </c>
      <c r="C6057" s="66">
        <v>1044</v>
      </c>
      <c r="D6057" s="70">
        <v>0</v>
      </c>
      <c r="E6057" s="111">
        <v>131778</v>
      </c>
      <c r="F6057" s="69">
        <v>3.2357021602943584E-2</v>
      </c>
      <c r="G6057" s="69">
        <v>3.1129533678756476E-2</v>
      </c>
    </row>
    <row r="6058" spans="1:7" x14ac:dyDescent="0.3">
      <c r="A6058" s="24">
        <v>40936</v>
      </c>
      <c r="B6058" s="66">
        <v>1037.45821</v>
      </c>
      <c r="C6058" s="66">
        <v>1044</v>
      </c>
      <c r="D6058" s="70">
        <v>0</v>
      </c>
      <c r="E6058" s="111">
        <v>131778</v>
      </c>
      <c r="F6058" s="69">
        <v>3.2357021602943584E-2</v>
      </c>
      <c r="G6058" s="69">
        <v>3.1129533678756476E-2</v>
      </c>
    </row>
    <row r="6059" spans="1:7" x14ac:dyDescent="0.3">
      <c r="A6059" s="24">
        <v>40937</v>
      </c>
      <c r="B6059" s="66">
        <v>1037.45821</v>
      </c>
      <c r="C6059" s="66">
        <v>1044</v>
      </c>
      <c r="D6059" s="70">
        <v>0</v>
      </c>
      <c r="E6059" s="111">
        <v>131778</v>
      </c>
      <c r="F6059" s="69">
        <v>3.2357021602943584E-2</v>
      </c>
      <c r="G6059" s="69">
        <v>3.1129533678756476E-2</v>
      </c>
    </row>
    <row r="6060" spans="1:7" x14ac:dyDescent="0.3">
      <c r="A6060" s="24">
        <v>40938</v>
      </c>
      <c r="B6060" s="66">
        <v>1037.45821</v>
      </c>
      <c r="C6060" s="66">
        <v>1044</v>
      </c>
      <c r="D6060" s="70">
        <v>0</v>
      </c>
      <c r="E6060" s="111">
        <v>131778</v>
      </c>
      <c r="F6060" s="69">
        <v>3.2357021602943584E-2</v>
      </c>
      <c r="G6060" s="69">
        <v>3.1129533678756476E-2</v>
      </c>
    </row>
    <row r="6061" spans="1:7" x14ac:dyDescent="0.3">
      <c r="A6061" s="24">
        <v>40939</v>
      </c>
      <c r="B6061" s="66">
        <v>1037.45821</v>
      </c>
      <c r="C6061" s="66">
        <v>1044</v>
      </c>
      <c r="D6061" s="70">
        <v>0</v>
      </c>
      <c r="E6061" s="111">
        <v>133484</v>
      </c>
      <c r="F6061" s="69">
        <v>3.2357021602943584E-2</v>
      </c>
      <c r="G6061" s="69">
        <v>3.1129533678756476E-2</v>
      </c>
    </row>
    <row r="6062" spans="1:7" x14ac:dyDescent="0.3">
      <c r="A6062" s="24">
        <v>40940</v>
      </c>
      <c r="B6062" s="66">
        <v>1037.45821</v>
      </c>
      <c r="C6062" s="66">
        <v>1044</v>
      </c>
      <c r="D6062" s="70">
        <v>0</v>
      </c>
      <c r="E6062" s="111">
        <v>133484</v>
      </c>
      <c r="F6062" s="69">
        <v>3.2357021602943584E-2</v>
      </c>
      <c r="G6062" s="69">
        <v>3.1129533678756476E-2</v>
      </c>
    </row>
    <row r="6063" spans="1:7" x14ac:dyDescent="0.3">
      <c r="A6063" s="24">
        <v>40941</v>
      </c>
      <c r="B6063" s="66">
        <v>1037.45821</v>
      </c>
      <c r="C6063" s="66">
        <v>1044</v>
      </c>
      <c r="D6063" s="70">
        <v>0</v>
      </c>
      <c r="E6063" s="111">
        <v>133484</v>
      </c>
      <c r="F6063" s="69">
        <v>3.2357021602943584E-2</v>
      </c>
      <c r="G6063" s="69">
        <v>3.1129533678756476E-2</v>
      </c>
    </row>
    <row r="6064" spans="1:7" x14ac:dyDescent="0.3">
      <c r="A6064" s="24">
        <v>40942</v>
      </c>
      <c r="B6064" s="66">
        <v>1037.45821</v>
      </c>
      <c r="C6064" s="66">
        <v>1060</v>
      </c>
      <c r="D6064" s="70">
        <v>0</v>
      </c>
      <c r="E6064" s="111">
        <v>133484</v>
      </c>
      <c r="F6064" s="69">
        <v>3.2357021602943584E-2</v>
      </c>
      <c r="G6064" s="69">
        <v>3.1129533678756476E-2</v>
      </c>
    </row>
    <row r="6065" spans="1:7" x14ac:dyDescent="0.3">
      <c r="A6065" s="24">
        <v>40943</v>
      </c>
      <c r="B6065" s="66">
        <v>1037.45821</v>
      </c>
      <c r="C6065" s="66">
        <v>1060</v>
      </c>
      <c r="D6065" s="70">
        <v>0</v>
      </c>
      <c r="E6065" s="111">
        <v>133484</v>
      </c>
      <c r="F6065" s="69">
        <v>3.2357021602943584E-2</v>
      </c>
      <c r="G6065" s="69">
        <v>3.1129533678756476E-2</v>
      </c>
    </row>
    <row r="6066" spans="1:7" x14ac:dyDescent="0.3">
      <c r="A6066" s="24">
        <v>40944</v>
      </c>
      <c r="B6066" s="66">
        <v>1037.45821</v>
      </c>
      <c r="C6066" s="66">
        <v>1060</v>
      </c>
      <c r="D6066" s="70">
        <v>0</v>
      </c>
      <c r="E6066" s="111">
        <v>133484</v>
      </c>
      <c r="F6066" s="69">
        <v>3.2357021602943584E-2</v>
      </c>
      <c r="G6066" s="69">
        <v>3.1129533678756476E-2</v>
      </c>
    </row>
    <row r="6067" spans="1:7" x14ac:dyDescent="0.3">
      <c r="A6067" s="24">
        <v>40945</v>
      </c>
      <c r="B6067" s="66">
        <v>1037.45821</v>
      </c>
      <c r="C6067" s="66">
        <v>1060</v>
      </c>
      <c r="D6067" s="70">
        <v>0</v>
      </c>
      <c r="E6067" s="111">
        <v>133484</v>
      </c>
      <c r="F6067" s="69">
        <v>3.2357021602943584E-2</v>
      </c>
      <c r="G6067" s="69">
        <v>3.1129533678756476E-2</v>
      </c>
    </row>
    <row r="6068" spans="1:7" x14ac:dyDescent="0.3">
      <c r="A6068" s="24">
        <v>40946</v>
      </c>
      <c r="B6068" s="66">
        <v>1037.45821</v>
      </c>
      <c r="C6068" s="66">
        <v>1060</v>
      </c>
      <c r="D6068" s="70">
        <v>0</v>
      </c>
      <c r="E6068" s="111">
        <v>133484</v>
      </c>
      <c r="F6068" s="69">
        <v>3.2357021602943584E-2</v>
      </c>
      <c r="G6068" s="69">
        <v>3.1129533678756476E-2</v>
      </c>
    </row>
    <row r="6069" spans="1:7" x14ac:dyDescent="0.3">
      <c r="A6069" s="24">
        <v>40947</v>
      </c>
      <c r="B6069" s="66">
        <v>1037.45821</v>
      </c>
      <c r="C6069" s="66">
        <v>1060</v>
      </c>
      <c r="D6069" s="70">
        <v>0</v>
      </c>
      <c r="E6069" s="111">
        <v>133484</v>
      </c>
      <c r="F6069" s="69">
        <v>3.2357021602943584E-2</v>
      </c>
      <c r="G6069" s="69">
        <v>3.1129533678756476E-2</v>
      </c>
    </row>
    <row r="6070" spans="1:7" x14ac:dyDescent="0.3">
      <c r="A6070" s="24">
        <v>40948</v>
      </c>
      <c r="B6070" s="66">
        <v>1037.45821</v>
      </c>
      <c r="C6070" s="66">
        <v>1065</v>
      </c>
      <c r="D6070" s="70">
        <v>0</v>
      </c>
      <c r="E6070" s="111">
        <v>133484</v>
      </c>
      <c r="F6070" s="69">
        <v>3.2357021602943584E-2</v>
      </c>
      <c r="G6070" s="69">
        <v>3.1129533678756476E-2</v>
      </c>
    </row>
    <row r="6071" spans="1:7" x14ac:dyDescent="0.3">
      <c r="A6071" s="24">
        <v>40949</v>
      </c>
      <c r="B6071" s="66">
        <v>1037.45821</v>
      </c>
      <c r="C6071" s="66">
        <v>1075</v>
      </c>
      <c r="D6071" s="70">
        <v>0</v>
      </c>
      <c r="E6071" s="111">
        <v>133484</v>
      </c>
      <c r="F6071" s="69">
        <v>3.2357021602943584E-2</v>
      </c>
      <c r="G6071" s="69">
        <v>3.1129533678756476E-2</v>
      </c>
    </row>
    <row r="6072" spans="1:7" x14ac:dyDescent="0.3">
      <c r="A6072" s="24">
        <v>40950</v>
      </c>
      <c r="B6072" s="66">
        <v>1037.45821</v>
      </c>
      <c r="C6072" s="66">
        <v>1075</v>
      </c>
      <c r="D6072" s="70">
        <v>0</v>
      </c>
      <c r="E6072" s="111">
        <v>133484</v>
      </c>
      <c r="F6072" s="69">
        <v>3.2357021602943584E-2</v>
      </c>
      <c r="G6072" s="69">
        <v>3.1129533678756476E-2</v>
      </c>
    </row>
    <row r="6073" spans="1:7" x14ac:dyDescent="0.3">
      <c r="A6073" s="24">
        <v>40951</v>
      </c>
      <c r="B6073" s="66">
        <v>1037.45821</v>
      </c>
      <c r="C6073" s="66">
        <v>1075</v>
      </c>
      <c r="D6073" s="70">
        <v>0</v>
      </c>
      <c r="E6073" s="111">
        <v>133484</v>
      </c>
      <c r="F6073" s="69">
        <v>3.2357021602943584E-2</v>
      </c>
      <c r="G6073" s="69">
        <v>3.1129533678756476E-2</v>
      </c>
    </row>
    <row r="6074" spans="1:7" x14ac:dyDescent="0.3">
      <c r="A6074" s="24">
        <v>40952</v>
      </c>
      <c r="B6074" s="66">
        <v>1037.45821</v>
      </c>
      <c r="C6074" s="66">
        <v>1075</v>
      </c>
      <c r="D6074" s="70">
        <v>0</v>
      </c>
      <c r="E6074" s="111">
        <v>133484</v>
      </c>
      <c r="F6074" s="69">
        <v>3.2357021602943584E-2</v>
      </c>
      <c r="G6074" s="69">
        <v>3.1129533678756476E-2</v>
      </c>
    </row>
    <row r="6075" spans="1:7" x14ac:dyDescent="0.3">
      <c r="A6075" s="24">
        <v>40953</v>
      </c>
      <c r="B6075" s="66">
        <v>1037.45821</v>
      </c>
      <c r="C6075" s="66">
        <v>1075.5</v>
      </c>
      <c r="D6075" s="70">
        <v>0</v>
      </c>
      <c r="E6075" s="111">
        <v>133484</v>
      </c>
      <c r="F6075" s="69">
        <v>3.2357021602943584E-2</v>
      </c>
      <c r="G6075" s="69">
        <v>3.1129533678756476E-2</v>
      </c>
    </row>
    <row r="6076" spans="1:7" x14ac:dyDescent="0.3">
      <c r="A6076" s="24">
        <v>40954</v>
      </c>
      <c r="B6076" s="66">
        <v>1037.45821</v>
      </c>
      <c r="C6076" s="66">
        <v>1075.5</v>
      </c>
      <c r="D6076" s="70">
        <v>0</v>
      </c>
      <c r="E6076" s="111">
        <v>133484</v>
      </c>
      <c r="F6076" s="69">
        <v>3.2357021602943584E-2</v>
      </c>
      <c r="G6076" s="69">
        <v>3.1129533678756476E-2</v>
      </c>
    </row>
    <row r="6077" spans="1:7" x14ac:dyDescent="0.3">
      <c r="A6077" s="24">
        <v>40955</v>
      </c>
      <c r="B6077" s="66">
        <v>1037.45821</v>
      </c>
      <c r="C6077" s="66">
        <v>1075.5</v>
      </c>
      <c r="D6077" s="70">
        <v>0</v>
      </c>
      <c r="E6077" s="111">
        <v>133484</v>
      </c>
      <c r="F6077" s="69">
        <v>3.2357021602943584E-2</v>
      </c>
      <c r="G6077" s="69">
        <v>3.1129533678756476E-2</v>
      </c>
    </row>
    <row r="6078" spans="1:7" x14ac:dyDescent="0.3">
      <c r="A6078" s="24">
        <v>40956</v>
      </c>
      <c r="B6078" s="66">
        <v>1037.45821</v>
      </c>
      <c r="C6078" s="66">
        <v>1075.5</v>
      </c>
      <c r="D6078" s="70">
        <v>0</v>
      </c>
      <c r="E6078" s="111">
        <v>133484</v>
      </c>
      <c r="F6078" s="69">
        <v>3.2357021602943584E-2</v>
      </c>
      <c r="G6078" s="69">
        <v>3.1129533678756476E-2</v>
      </c>
    </row>
    <row r="6079" spans="1:7" x14ac:dyDescent="0.3">
      <c r="A6079" s="24">
        <v>40957</v>
      </c>
      <c r="B6079" s="66">
        <v>1037.45821</v>
      </c>
      <c r="C6079" s="66">
        <v>1075.5</v>
      </c>
      <c r="D6079" s="70">
        <v>0</v>
      </c>
      <c r="E6079" s="111">
        <v>133484</v>
      </c>
      <c r="F6079" s="69">
        <v>3.2357021602943584E-2</v>
      </c>
      <c r="G6079" s="69">
        <v>3.1129533678756476E-2</v>
      </c>
    </row>
    <row r="6080" spans="1:7" x14ac:dyDescent="0.3">
      <c r="A6080" s="24">
        <v>40958</v>
      </c>
      <c r="B6080" s="66">
        <v>1037.45821</v>
      </c>
      <c r="C6080" s="66">
        <v>1075.5</v>
      </c>
      <c r="D6080" s="70">
        <v>0</v>
      </c>
      <c r="E6080" s="111">
        <v>133484</v>
      </c>
      <c r="F6080" s="69">
        <v>3.2357021602943584E-2</v>
      </c>
      <c r="G6080" s="69">
        <v>3.1129533678756476E-2</v>
      </c>
    </row>
    <row r="6081" spans="1:7" x14ac:dyDescent="0.3">
      <c r="A6081" s="24">
        <v>40959</v>
      </c>
      <c r="B6081" s="66">
        <v>1037.45821</v>
      </c>
      <c r="C6081" s="66">
        <v>1075.5</v>
      </c>
      <c r="D6081" s="70">
        <v>0</v>
      </c>
      <c r="E6081" s="111">
        <v>133484</v>
      </c>
      <c r="F6081" s="69">
        <v>3.2357021602943584E-2</v>
      </c>
      <c r="G6081" s="69">
        <v>3.1129533678756476E-2</v>
      </c>
    </row>
    <row r="6082" spans="1:7" x14ac:dyDescent="0.3">
      <c r="A6082" s="24">
        <v>40960</v>
      </c>
      <c r="B6082" s="66">
        <v>1037.45821</v>
      </c>
      <c r="C6082" s="66">
        <v>1077</v>
      </c>
      <c r="D6082" s="70">
        <v>0</v>
      </c>
      <c r="E6082" s="111">
        <v>133484</v>
      </c>
      <c r="F6082" s="69">
        <v>3.2357021602943584E-2</v>
      </c>
      <c r="G6082" s="69">
        <v>3.1129533678756476E-2</v>
      </c>
    </row>
    <row r="6083" spans="1:7" x14ac:dyDescent="0.3">
      <c r="A6083" s="24">
        <v>40961</v>
      </c>
      <c r="B6083" s="66">
        <v>1037.45821</v>
      </c>
      <c r="C6083" s="66">
        <v>1077</v>
      </c>
      <c r="D6083" s="70">
        <v>0</v>
      </c>
      <c r="E6083" s="111">
        <v>133484</v>
      </c>
      <c r="F6083" s="69">
        <v>3.2357021602943584E-2</v>
      </c>
      <c r="G6083" s="69">
        <v>3.1129533678756476E-2</v>
      </c>
    </row>
    <row r="6084" spans="1:7" x14ac:dyDescent="0.3">
      <c r="A6084" s="24">
        <v>40962</v>
      </c>
      <c r="B6084" s="66">
        <v>1037.45821</v>
      </c>
      <c r="C6084" s="66">
        <v>1077</v>
      </c>
      <c r="D6084" s="70">
        <v>0</v>
      </c>
      <c r="E6084" s="111">
        <v>133484</v>
      </c>
      <c r="F6084" s="69">
        <v>3.2357021602943584E-2</v>
      </c>
      <c r="G6084" s="69">
        <v>3.1129533678756476E-2</v>
      </c>
    </row>
    <row r="6085" spans="1:7" x14ac:dyDescent="0.3">
      <c r="A6085" s="24">
        <v>40963</v>
      </c>
      <c r="B6085" s="66">
        <v>1037.45821</v>
      </c>
      <c r="C6085" s="66">
        <v>1078.5</v>
      </c>
      <c r="D6085" s="70">
        <v>0</v>
      </c>
      <c r="E6085" s="111">
        <v>133484</v>
      </c>
      <c r="F6085" s="69">
        <v>3.2357021602943584E-2</v>
      </c>
      <c r="G6085" s="69">
        <v>3.1129533678756476E-2</v>
      </c>
    </row>
    <row r="6086" spans="1:7" x14ac:dyDescent="0.3">
      <c r="A6086" s="24">
        <v>40964</v>
      </c>
      <c r="B6086" s="66">
        <v>1037.45821</v>
      </c>
      <c r="C6086" s="66">
        <v>1078.5</v>
      </c>
      <c r="D6086" s="70">
        <v>0</v>
      </c>
      <c r="E6086" s="111">
        <v>133484</v>
      </c>
      <c r="F6086" s="69">
        <v>3.2357021602943584E-2</v>
      </c>
      <c r="G6086" s="69">
        <v>3.1129533678756476E-2</v>
      </c>
    </row>
    <row r="6087" spans="1:7" x14ac:dyDescent="0.3">
      <c r="A6087" s="24">
        <v>40965</v>
      </c>
      <c r="B6087" s="66">
        <v>1037.45821</v>
      </c>
      <c r="C6087" s="66">
        <v>1078.5</v>
      </c>
      <c r="D6087" s="70">
        <v>0</v>
      </c>
      <c r="E6087" s="111">
        <v>133484</v>
      </c>
      <c r="F6087" s="69">
        <v>3.2357021602943584E-2</v>
      </c>
      <c r="G6087" s="69">
        <v>3.1129533678756476E-2</v>
      </c>
    </row>
    <row r="6088" spans="1:7" x14ac:dyDescent="0.3">
      <c r="A6088" s="24">
        <v>40966</v>
      </c>
      <c r="B6088" s="66">
        <v>1037.45821</v>
      </c>
      <c r="C6088" s="66">
        <v>1078.5</v>
      </c>
      <c r="D6088" s="70">
        <v>0</v>
      </c>
      <c r="E6088" s="111">
        <v>133484</v>
      </c>
      <c r="F6088" s="69">
        <v>3.2357021602943584E-2</v>
      </c>
      <c r="G6088" s="69">
        <v>3.1129533678756476E-2</v>
      </c>
    </row>
    <row r="6089" spans="1:7" x14ac:dyDescent="0.3">
      <c r="A6089" s="24">
        <v>40967</v>
      </c>
      <c r="B6089" s="66">
        <v>1037.45821</v>
      </c>
      <c r="C6089" s="66">
        <v>1078.5</v>
      </c>
      <c r="D6089" s="70">
        <v>0</v>
      </c>
      <c r="E6089" s="111">
        <v>133484</v>
      </c>
      <c r="F6089" s="69">
        <v>3.2357021602943584E-2</v>
      </c>
      <c r="G6089" s="69">
        <v>3.1129533678756476E-2</v>
      </c>
    </row>
    <row r="6090" spans="1:7" x14ac:dyDescent="0.3">
      <c r="A6090" s="24">
        <v>40968</v>
      </c>
      <c r="B6090" s="66">
        <v>1037.45821</v>
      </c>
      <c r="C6090" s="66">
        <v>1079.5</v>
      </c>
      <c r="D6090" s="70">
        <v>0</v>
      </c>
      <c r="E6090" s="111">
        <v>133484</v>
      </c>
      <c r="F6090" s="69">
        <v>3.2357021602943584E-2</v>
      </c>
      <c r="G6090" s="69">
        <v>3.1129533678756476E-2</v>
      </c>
    </row>
    <row r="6091" spans="1:7" x14ac:dyDescent="0.3">
      <c r="A6091" s="24">
        <v>40969</v>
      </c>
      <c r="B6091" s="66">
        <v>1037.45821</v>
      </c>
      <c r="C6091" s="66">
        <v>1081.0999999999999</v>
      </c>
      <c r="D6091" s="70">
        <v>0</v>
      </c>
      <c r="E6091" s="111">
        <v>133484</v>
      </c>
      <c r="F6091" s="69">
        <v>3.2357021602943584E-2</v>
      </c>
      <c r="G6091" s="69">
        <v>3.1129533678756476E-2</v>
      </c>
    </row>
    <row r="6092" spans="1:7" x14ac:dyDescent="0.3">
      <c r="A6092" s="24">
        <v>40970</v>
      </c>
      <c r="B6092" s="66">
        <v>1037.45821</v>
      </c>
      <c r="C6092" s="66">
        <v>1081.0999999999999</v>
      </c>
      <c r="D6092" s="70">
        <v>0</v>
      </c>
      <c r="E6092" s="111">
        <v>133484</v>
      </c>
      <c r="F6092" s="69">
        <v>3.2357021602943584E-2</v>
      </c>
      <c r="G6092" s="69">
        <v>3.1129533678756476E-2</v>
      </c>
    </row>
    <row r="6093" spans="1:7" x14ac:dyDescent="0.3">
      <c r="A6093" s="24">
        <v>40971</v>
      </c>
      <c r="B6093" s="66">
        <v>1037.45821</v>
      </c>
      <c r="C6093" s="66">
        <v>1081.0999999999999</v>
      </c>
      <c r="D6093" s="70">
        <v>0</v>
      </c>
      <c r="E6093" s="111">
        <v>133484</v>
      </c>
      <c r="F6093" s="69">
        <v>3.2357021602943584E-2</v>
      </c>
      <c r="G6093" s="69">
        <v>3.1129533678756476E-2</v>
      </c>
    </row>
    <row r="6094" spans="1:7" x14ac:dyDescent="0.3">
      <c r="A6094" s="24">
        <v>40972</v>
      </c>
      <c r="B6094" s="66">
        <v>1037.45821</v>
      </c>
      <c r="C6094" s="66">
        <v>1081.0999999999999</v>
      </c>
      <c r="D6094" s="70">
        <v>0</v>
      </c>
      <c r="E6094" s="111">
        <v>133484</v>
      </c>
      <c r="F6094" s="69">
        <v>3.2357021602943584E-2</v>
      </c>
      <c r="G6094" s="69">
        <v>3.1129533678756476E-2</v>
      </c>
    </row>
    <row r="6095" spans="1:7" x14ac:dyDescent="0.3">
      <c r="A6095" s="24">
        <v>40973</v>
      </c>
      <c r="B6095" s="66">
        <v>1037.45821</v>
      </c>
      <c r="C6095" s="66">
        <v>1081.0999999999999</v>
      </c>
      <c r="D6095" s="70">
        <v>0</v>
      </c>
      <c r="E6095" s="111">
        <v>133484</v>
      </c>
      <c r="F6095" s="69">
        <v>3.2357021602943584E-2</v>
      </c>
      <c r="G6095" s="69">
        <v>3.1129533678756476E-2</v>
      </c>
    </row>
    <row r="6096" spans="1:7" x14ac:dyDescent="0.3">
      <c r="A6096" s="24">
        <v>40974</v>
      </c>
      <c r="B6096" s="66">
        <v>1037.45821</v>
      </c>
      <c r="C6096" s="66">
        <v>1081.0999999999999</v>
      </c>
      <c r="D6096" s="70">
        <v>0</v>
      </c>
      <c r="E6096" s="111">
        <v>133484</v>
      </c>
      <c r="F6096" s="69">
        <v>3.2357021602943584E-2</v>
      </c>
      <c r="G6096" s="69">
        <v>3.1129533678756476E-2</v>
      </c>
    </row>
    <row r="6097" spans="1:7" x14ac:dyDescent="0.3">
      <c r="A6097" s="24">
        <v>40975</v>
      </c>
      <c r="B6097" s="66">
        <v>1037.45821</v>
      </c>
      <c r="C6097" s="66">
        <v>1081.0999999999999</v>
      </c>
      <c r="D6097" s="70">
        <v>0</v>
      </c>
      <c r="E6097" s="111">
        <v>133484</v>
      </c>
      <c r="F6097" s="69">
        <v>3.2357021602943584E-2</v>
      </c>
      <c r="G6097" s="69">
        <v>3.1129533678756476E-2</v>
      </c>
    </row>
    <row r="6098" spans="1:7" x14ac:dyDescent="0.3">
      <c r="A6098" s="24">
        <v>40976</v>
      </c>
      <c r="B6098" s="66">
        <v>1037.45821</v>
      </c>
      <c r="C6098" s="66">
        <v>1100</v>
      </c>
      <c r="D6098" s="70">
        <v>0</v>
      </c>
      <c r="E6098" s="111">
        <v>133484</v>
      </c>
      <c r="F6098" s="69">
        <v>3.2357021602943584E-2</v>
      </c>
      <c r="G6098" s="69">
        <v>3.1129533678756476E-2</v>
      </c>
    </row>
    <row r="6099" spans="1:7" x14ac:dyDescent="0.3">
      <c r="A6099" s="24">
        <v>40977</v>
      </c>
      <c r="B6099" s="66">
        <v>1037.45821</v>
      </c>
      <c r="C6099" s="66">
        <v>1100</v>
      </c>
      <c r="D6099" s="70">
        <v>0</v>
      </c>
      <c r="E6099" s="111">
        <v>133484</v>
      </c>
      <c r="F6099" s="69">
        <v>3.2357021602943584E-2</v>
      </c>
      <c r="G6099" s="69">
        <v>3.1129533678756476E-2</v>
      </c>
    </row>
    <row r="6100" spans="1:7" x14ac:dyDescent="0.3">
      <c r="A6100" s="24">
        <v>40978</v>
      </c>
      <c r="B6100" s="66">
        <v>1037.45821</v>
      </c>
      <c r="C6100" s="66">
        <v>1100</v>
      </c>
      <c r="D6100" s="70">
        <v>0</v>
      </c>
      <c r="E6100" s="111">
        <v>133484</v>
      </c>
      <c r="F6100" s="69">
        <v>3.2357021602943584E-2</v>
      </c>
      <c r="G6100" s="69">
        <v>3.1129533678756476E-2</v>
      </c>
    </row>
    <row r="6101" spans="1:7" x14ac:dyDescent="0.3">
      <c r="A6101" s="24">
        <v>40979</v>
      </c>
      <c r="B6101" s="66">
        <v>1037.45821</v>
      </c>
      <c r="C6101" s="66">
        <v>1100</v>
      </c>
      <c r="D6101" s="70">
        <v>0</v>
      </c>
      <c r="E6101" s="111">
        <v>133484</v>
      </c>
      <c r="F6101" s="69">
        <v>3.2357021602943584E-2</v>
      </c>
      <c r="G6101" s="69">
        <v>3.1129533678756476E-2</v>
      </c>
    </row>
    <row r="6102" spans="1:7" x14ac:dyDescent="0.3">
      <c r="A6102" s="24">
        <v>40980</v>
      </c>
      <c r="B6102" s="66">
        <v>1037.45821</v>
      </c>
      <c r="C6102" s="66">
        <v>1100</v>
      </c>
      <c r="D6102" s="70">
        <v>0</v>
      </c>
      <c r="E6102" s="111">
        <v>133484</v>
      </c>
      <c r="F6102" s="69">
        <v>3.2357021602943584E-2</v>
      </c>
      <c r="G6102" s="69">
        <v>3.1129533678756476E-2</v>
      </c>
    </row>
    <row r="6103" spans="1:7" x14ac:dyDescent="0.3">
      <c r="A6103" s="24">
        <v>40981</v>
      </c>
      <c r="B6103" s="66">
        <v>1037.45821</v>
      </c>
      <c r="C6103" s="66">
        <v>1100</v>
      </c>
      <c r="D6103" s="70">
        <v>0</v>
      </c>
      <c r="E6103" s="111">
        <v>133484</v>
      </c>
      <c r="F6103" s="69">
        <v>3.2357021602943584E-2</v>
      </c>
      <c r="G6103" s="69">
        <v>3.1129533678756476E-2</v>
      </c>
    </row>
    <row r="6104" spans="1:7" x14ac:dyDescent="0.3">
      <c r="A6104" s="24">
        <v>40982</v>
      </c>
      <c r="B6104" s="66">
        <v>1037.45821</v>
      </c>
      <c r="C6104" s="66">
        <v>1100</v>
      </c>
      <c r="D6104" s="70">
        <v>0</v>
      </c>
      <c r="E6104" s="111">
        <v>133484</v>
      </c>
      <c r="F6104" s="69">
        <v>3.2357021602943584E-2</v>
      </c>
      <c r="G6104" s="69">
        <v>3.1129533678756476E-2</v>
      </c>
    </row>
    <row r="6105" spans="1:7" x14ac:dyDescent="0.3">
      <c r="A6105" s="24">
        <v>40983</v>
      </c>
      <c r="B6105" s="66">
        <v>1037.45821</v>
      </c>
      <c r="C6105" s="66">
        <v>1100</v>
      </c>
      <c r="D6105" s="70">
        <v>0</v>
      </c>
      <c r="E6105" s="111">
        <v>133484</v>
      </c>
      <c r="F6105" s="69">
        <v>3.2357021602943584E-2</v>
      </c>
      <c r="G6105" s="69">
        <v>3.1129533678756476E-2</v>
      </c>
    </row>
    <row r="6106" spans="1:7" x14ac:dyDescent="0.3">
      <c r="A6106" s="24">
        <v>40984</v>
      </c>
      <c r="B6106" s="66">
        <v>1037.45821</v>
      </c>
      <c r="C6106" s="66">
        <v>1100</v>
      </c>
      <c r="D6106" s="70">
        <v>0</v>
      </c>
      <c r="E6106" s="111">
        <v>133484</v>
      </c>
      <c r="F6106" s="69">
        <v>3.2357021602943584E-2</v>
      </c>
      <c r="G6106" s="69">
        <v>3.1129533678756476E-2</v>
      </c>
    </row>
    <row r="6107" spans="1:7" x14ac:dyDescent="0.3">
      <c r="A6107" s="24">
        <v>40985</v>
      </c>
      <c r="B6107" s="66">
        <v>1037.45821</v>
      </c>
      <c r="C6107" s="66">
        <v>1100</v>
      </c>
      <c r="D6107" s="70">
        <v>0</v>
      </c>
      <c r="E6107" s="111">
        <v>133484</v>
      </c>
      <c r="F6107" s="69">
        <v>3.2357021602943584E-2</v>
      </c>
      <c r="G6107" s="69">
        <v>3.1129533678756476E-2</v>
      </c>
    </row>
    <row r="6108" spans="1:7" x14ac:dyDescent="0.3">
      <c r="A6108" s="24">
        <v>40986</v>
      </c>
      <c r="B6108" s="66">
        <v>1037.45821</v>
      </c>
      <c r="C6108" s="66">
        <v>1100</v>
      </c>
      <c r="D6108" s="70">
        <v>0</v>
      </c>
      <c r="E6108" s="111">
        <v>133484</v>
      </c>
      <c r="F6108" s="69">
        <v>3.2357021602943584E-2</v>
      </c>
      <c r="G6108" s="69">
        <v>3.1129533678756476E-2</v>
      </c>
    </row>
    <row r="6109" spans="1:7" x14ac:dyDescent="0.3">
      <c r="A6109" s="24">
        <v>40987</v>
      </c>
      <c r="B6109" s="66">
        <v>1037.45821</v>
      </c>
      <c r="C6109" s="66">
        <v>1100</v>
      </c>
      <c r="D6109" s="70">
        <v>0</v>
      </c>
      <c r="E6109" s="111">
        <v>133484</v>
      </c>
      <c r="F6109" s="69">
        <v>3.2357021602943584E-2</v>
      </c>
      <c r="G6109" s="69">
        <v>3.1129533678756476E-2</v>
      </c>
    </row>
    <row r="6110" spans="1:7" x14ac:dyDescent="0.3">
      <c r="A6110" s="24">
        <v>40988</v>
      </c>
      <c r="B6110" s="66">
        <v>1037.45821</v>
      </c>
      <c r="C6110" s="66">
        <v>1100</v>
      </c>
      <c r="D6110" s="70">
        <v>0</v>
      </c>
      <c r="E6110" s="111">
        <v>133484</v>
      </c>
      <c r="F6110" s="69">
        <v>3.2357021602943584E-2</v>
      </c>
      <c r="G6110" s="69">
        <v>3.1129533678756476E-2</v>
      </c>
    </row>
    <row r="6111" spans="1:7" x14ac:dyDescent="0.3">
      <c r="A6111" s="24">
        <v>40989</v>
      </c>
      <c r="B6111" s="66">
        <v>1037.45821</v>
      </c>
      <c r="C6111" s="66">
        <v>1100</v>
      </c>
      <c r="D6111" s="70">
        <v>0</v>
      </c>
      <c r="E6111" s="111">
        <v>133484</v>
      </c>
      <c r="F6111" s="69">
        <v>3.2357021602943584E-2</v>
      </c>
      <c r="G6111" s="69">
        <v>3.1129533678756476E-2</v>
      </c>
    </row>
    <row r="6112" spans="1:7" x14ac:dyDescent="0.3">
      <c r="A6112" s="24">
        <v>40990</v>
      </c>
      <c r="B6112" s="66">
        <v>1037.45821</v>
      </c>
      <c r="C6112" s="66">
        <v>1100</v>
      </c>
      <c r="D6112" s="70">
        <v>0</v>
      </c>
      <c r="E6112" s="111">
        <v>133484</v>
      </c>
      <c r="F6112" s="69">
        <v>3.2357021602943584E-2</v>
      </c>
      <c r="G6112" s="69">
        <v>3.1129533678756476E-2</v>
      </c>
    </row>
    <row r="6113" spans="1:7" x14ac:dyDescent="0.3">
      <c r="A6113" s="24">
        <v>40991</v>
      </c>
      <c r="B6113" s="66">
        <v>1037.45821</v>
      </c>
      <c r="C6113" s="66">
        <v>1100</v>
      </c>
      <c r="D6113" s="70">
        <v>0</v>
      </c>
      <c r="E6113" s="111">
        <v>133484</v>
      </c>
      <c r="F6113" s="69">
        <v>3.2357021602943584E-2</v>
      </c>
      <c r="G6113" s="69">
        <v>3.1129533678756476E-2</v>
      </c>
    </row>
    <row r="6114" spans="1:7" x14ac:dyDescent="0.3">
      <c r="A6114" s="24">
        <v>40992</v>
      </c>
      <c r="B6114" s="66">
        <v>1037.45821</v>
      </c>
      <c r="C6114" s="66">
        <v>1100</v>
      </c>
      <c r="D6114" s="70">
        <v>0</v>
      </c>
      <c r="E6114" s="111">
        <v>133484</v>
      </c>
      <c r="F6114" s="69">
        <v>3.2357021602943584E-2</v>
      </c>
      <c r="G6114" s="69">
        <v>3.1129533678756476E-2</v>
      </c>
    </row>
    <row r="6115" spans="1:7" x14ac:dyDescent="0.3">
      <c r="A6115" s="24">
        <v>40993</v>
      </c>
      <c r="B6115" s="66">
        <v>1037.45821</v>
      </c>
      <c r="C6115" s="66">
        <v>1100</v>
      </c>
      <c r="D6115" s="70">
        <v>0</v>
      </c>
      <c r="E6115" s="111">
        <v>133484</v>
      </c>
      <c r="F6115" s="69">
        <v>3.2357021602943584E-2</v>
      </c>
      <c r="G6115" s="69">
        <v>3.1129533678756476E-2</v>
      </c>
    </row>
    <row r="6116" spans="1:7" x14ac:dyDescent="0.3">
      <c r="A6116" s="24">
        <v>40994</v>
      </c>
      <c r="B6116" s="66">
        <v>1037.45821</v>
      </c>
      <c r="C6116" s="66">
        <v>1100</v>
      </c>
      <c r="D6116" s="70">
        <v>0</v>
      </c>
      <c r="E6116" s="111">
        <v>133484</v>
      </c>
      <c r="F6116" s="69">
        <v>3.2357021602943584E-2</v>
      </c>
      <c r="G6116" s="69">
        <v>3.1129533678756476E-2</v>
      </c>
    </row>
    <row r="6117" spans="1:7" x14ac:dyDescent="0.3">
      <c r="A6117" s="24">
        <v>40995</v>
      </c>
      <c r="B6117" s="66">
        <v>1037.45821</v>
      </c>
      <c r="C6117" s="66">
        <v>1100</v>
      </c>
      <c r="D6117" s="70">
        <v>0</v>
      </c>
      <c r="E6117" s="111">
        <v>133484</v>
      </c>
      <c r="F6117" s="69">
        <v>3.2357021602943584E-2</v>
      </c>
      <c r="G6117" s="69">
        <v>3.1129533678756476E-2</v>
      </c>
    </row>
    <row r="6118" spans="1:7" x14ac:dyDescent="0.3">
      <c r="A6118" s="24">
        <v>40996</v>
      </c>
      <c r="B6118" s="66">
        <v>1037.45821</v>
      </c>
      <c r="C6118" s="66">
        <v>1100</v>
      </c>
      <c r="D6118" s="70">
        <v>0</v>
      </c>
      <c r="E6118" s="111">
        <v>133484</v>
      </c>
      <c r="F6118" s="69">
        <v>3.2357021602943584E-2</v>
      </c>
      <c r="G6118" s="69">
        <v>3.1129533678756476E-2</v>
      </c>
    </row>
    <row r="6119" spans="1:7" x14ac:dyDescent="0.3">
      <c r="A6119" s="24">
        <v>40997</v>
      </c>
      <c r="B6119" s="66">
        <v>1037.45821</v>
      </c>
      <c r="C6119" s="66">
        <v>1100</v>
      </c>
      <c r="D6119" s="70">
        <v>0</v>
      </c>
      <c r="E6119" s="111">
        <v>133484</v>
      </c>
      <c r="F6119" s="69">
        <v>3.1171299990557295E-2</v>
      </c>
      <c r="G6119" s="69">
        <v>3.1129533678756476E-2</v>
      </c>
    </row>
    <row r="6120" spans="1:7" x14ac:dyDescent="0.3">
      <c r="A6120" s="24">
        <v>40998</v>
      </c>
      <c r="B6120" s="66">
        <v>1037.45821</v>
      </c>
      <c r="C6120" s="66">
        <v>1110</v>
      </c>
      <c r="D6120" s="70">
        <v>0</v>
      </c>
      <c r="E6120" s="111">
        <v>133484</v>
      </c>
      <c r="F6120" s="69">
        <v>3.1171299990557295E-2</v>
      </c>
      <c r="G6120" s="69">
        <v>3.1129533678756476E-2</v>
      </c>
    </row>
    <row r="6121" spans="1:7" x14ac:dyDescent="0.3">
      <c r="A6121" s="24">
        <v>40999</v>
      </c>
      <c r="B6121" s="66">
        <v>1052.9409900000001</v>
      </c>
      <c r="C6121" s="66">
        <v>1110</v>
      </c>
      <c r="D6121" s="70">
        <v>0</v>
      </c>
      <c r="E6121" s="111">
        <v>133484</v>
      </c>
      <c r="F6121" s="69">
        <v>3.1171299990557295E-2</v>
      </c>
      <c r="G6121" s="69">
        <v>3.1129533678756476E-2</v>
      </c>
    </row>
    <row r="6122" spans="1:7" x14ac:dyDescent="0.3">
      <c r="A6122" s="24">
        <v>41000</v>
      </c>
      <c r="B6122" s="66">
        <v>1052.9409900000001</v>
      </c>
      <c r="C6122" s="66">
        <v>1110</v>
      </c>
      <c r="D6122" s="70">
        <v>0</v>
      </c>
      <c r="E6122" s="111">
        <v>133484</v>
      </c>
      <c r="F6122" s="69">
        <v>3.1171299990557295E-2</v>
      </c>
      <c r="G6122" s="69">
        <v>3.1129533678756476E-2</v>
      </c>
    </row>
    <row r="6123" spans="1:7" x14ac:dyDescent="0.3">
      <c r="A6123" s="24">
        <v>41001</v>
      </c>
      <c r="B6123" s="66">
        <v>1052.9409900000001</v>
      </c>
      <c r="C6123" s="66">
        <v>1110</v>
      </c>
      <c r="D6123" s="70">
        <v>0</v>
      </c>
      <c r="E6123" s="111">
        <v>133484</v>
      </c>
      <c r="F6123" s="69">
        <v>3.1171299990557295E-2</v>
      </c>
      <c r="G6123" s="69">
        <v>3.1129533678756476E-2</v>
      </c>
    </row>
    <row r="6124" spans="1:7" x14ac:dyDescent="0.3">
      <c r="A6124" s="24">
        <v>41002</v>
      </c>
      <c r="B6124" s="66">
        <v>1052.9409900000001</v>
      </c>
      <c r="C6124" s="66">
        <v>1135</v>
      </c>
      <c r="D6124" s="70">
        <v>0</v>
      </c>
      <c r="E6124" s="111">
        <v>133484</v>
      </c>
      <c r="F6124" s="69">
        <v>3.1171299990557295E-2</v>
      </c>
      <c r="G6124" s="69">
        <v>3.1129533678756476E-2</v>
      </c>
    </row>
    <row r="6125" spans="1:7" x14ac:dyDescent="0.3">
      <c r="A6125" s="24">
        <v>41003</v>
      </c>
      <c r="B6125" s="66">
        <v>1052.9409900000001</v>
      </c>
      <c r="C6125" s="66">
        <v>1145</v>
      </c>
      <c r="D6125" s="70">
        <v>0</v>
      </c>
      <c r="E6125" s="111">
        <v>133484</v>
      </c>
      <c r="F6125" s="69">
        <v>3.1171299990557295E-2</v>
      </c>
      <c r="G6125" s="69">
        <v>3.1129533678756476E-2</v>
      </c>
    </row>
    <row r="6126" spans="1:7" x14ac:dyDescent="0.3">
      <c r="A6126" s="24">
        <v>41004</v>
      </c>
      <c r="B6126" s="66">
        <v>1052.9409900000001</v>
      </c>
      <c r="C6126" s="66">
        <v>1142.0999999999999</v>
      </c>
      <c r="D6126" s="70">
        <v>0</v>
      </c>
      <c r="E6126" s="111">
        <v>133484</v>
      </c>
      <c r="F6126" s="69">
        <v>3.1171299990557295E-2</v>
      </c>
      <c r="G6126" s="69">
        <v>3.1129533678756476E-2</v>
      </c>
    </row>
    <row r="6127" spans="1:7" x14ac:dyDescent="0.3">
      <c r="A6127" s="24">
        <v>41005</v>
      </c>
      <c r="B6127" s="66">
        <v>1052.9409900000001</v>
      </c>
      <c r="C6127" s="66">
        <v>1142.0999999999999</v>
      </c>
      <c r="D6127" s="70">
        <v>0</v>
      </c>
      <c r="E6127" s="111">
        <v>133484</v>
      </c>
      <c r="F6127" s="69">
        <v>1.8200547936108188E-2</v>
      </c>
      <c r="G6127" s="69">
        <v>1.8176165803108806E-2</v>
      </c>
    </row>
    <row r="6128" spans="1:7" x14ac:dyDescent="0.3">
      <c r="A6128" s="24">
        <v>41006</v>
      </c>
      <c r="B6128" s="66">
        <v>1052.9409900000001</v>
      </c>
      <c r="C6128" s="66">
        <v>1142.0999999999999</v>
      </c>
      <c r="D6128" s="70">
        <v>0</v>
      </c>
      <c r="E6128" s="111">
        <v>133484</v>
      </c>
      <c r="F6128" s="69">
        <v>1.8200547936108188E-2</v>
      </c>
      <c r="G6128" s="69">
        <v>1.8176165803108806E-2</v>
      </c>
    </row>
    <row r="6129" spans="1:7" x14ac:dyDescent="0.3">
      <c r="A6129" s="24">
        <v>41007</v>
      </c>
      <c r="B6129" s="66">
        <v>1052.9409900000001</v>
      </c>
      <c r="C6129" s="66">
        <v>1142.0999999999999</v>
      </c>
      <c r="D6129" s="70">
        <v>0</v>
      </c>
      <c r="E6129" s="111">
        <v>133484</v>
      </c>
      <c r="F6129" s="69">
        <v>1.8200547936108188E-2</v>
      </c>
      <c r="G6129" s="69">
        <v>1.8176165803108806E-2</v>
      </c>
    </row>
    <row r="6130" spans="1:7" x14ac:dyDescent="0.3">
      <c r="A6130" s="24">
        <v>41008</v>
      </c>
      <c r="B6130" s="66">
        <v>1052.9409900000001</v>
      </c>
      <c r="C6130" s="66">
        <v>1142</v>
      </c>
      <c r="D6130" s="70">
        <v>0</v>
      </c>
      <c r="E6130" s="111">
        <v>133484</v>
      </c>
      <c r="F6130" s="69">
        <v>1.8200547936108188E-2</v>
      </c>
      <c r="G6130" s="69">
        <v>1.8176165803108806E-2</v>
      </c>
    </row>
    <row r="6131" spans="1:7" x14ac:dyDescent="0.3">
      <c r="A6131" s="24">
        <v>41009</v>
      </c>
      <c r="B6131" s="66">
        <v>1052.9409900000001</v>
      </c>
      <c r="C6131" s="66">
        <v>1142</v>
      </c>
      <c r="D6131" s="70">
        <v>0</v>
      </c>
      <c r="E6131" s="111">
        <v>133484</v>
      </c>
      <c r="F6131" s="69">
        <v>1.8200547936108188E-2</v>
      </c>
      <c r="G6131" s="69">
        <v>1.8082474226804122E-2</v>
      </c>
    </row>
    <row r="6132" spans="1:7" x14ac:dyDescent="0.3">
      <c r="A6132" s="24">
        <v>41010</v>
      </c>
      <c r="B6132" s="66">
        <v>1052.9409900000001</v>
      </c>
      <c r="C6132" s="66">
        <v>1160</v>
      </c>
      <c r="D6132" s="70">
        <v>0</v>
      </c>
      <c r="E6132" s="111">
        <v>133484</v>
      </c>
      <c r="F6132" s="69">
        <v>1.8200547936108188E-2</v>
      </c>
      <c r="G6132" s="69">
        <v>1.8176165803108806E-2</v>
      </c>
    </row>
    <row r="6133" spans="1:7" x14ac:dyDescent="0.3">
      <c r="A6133" s="24">
        <v>41011</v>
      </c>
      <c r="B6133" s="66">
        <v>1052.9409900000001</v>
      </c>
      <c r="C6133" s="66">
        <v>1160</v>
      </c>
      <c r="D6133" s="70">
        <v>0</v>
      </c>
      <c r="E6133" s="111">
        <v>133484</v>
      </c>
      <c r="F6133" s="69">
        <v>1.8200547936108188E-2</v>
      </c>
      <c r="G6133" s="69">
        <v>1.817597745101087E-2</v>
      </c>
    </row>
    <row r="6134" spans="1:7" x14ac:dyDescent="0.3">
      <c r="A6134" s="24">
        <v>41012</v>
      </c>
      <c r="B6134" s="66">
        <v>1052.9409900000001</v>
      </c>
      <c r="C6134" s="66">
        <v>1160</v>
      </c>
      <c r="D6134" s="70">
        <v>0</v>
      </c>
      <c r="E6134" s="111">
        <v>133484</v>
      </c>
      <c r="F6134" s="69">
        <v>1.8200547936108188E-2</v>
      </c>
      <c r="G6134" s="69">
        <v>1.8176165803108806E-2</v>
      </c>
    </row>
    <row r="6135" spans="1:7" x14ac:dyDescent="0.3">
      <c r="A6135" s="24">
        <v>41013</v>
      </c>
      <c r="B6135" s="66">
        <v>1052.9409900000001</v>
      </c>
      <c r="C6135" s="66">
        <v>1160</v>
      </c>
      <c r="D6135" s="70">
        <v>0</v>
      </c>
      <c r="E6135" s="111">
        <v>133484</v>
      </c>
      <c r="F6135" s="69">
        <v>1.8200547936108188E-2</v>
      </c>
      <c r="G6135" s="69">
        <v>1.8176165803108806E-2</v>
      </c>
    </row>
    <row r="6136" spans="1:7" x14ac:dyDescent="0.3">
      <c r="A6136" s="24">
        <v>41014</v>
      </c>
      <c r="B6136" s="66">
        <v>1052.9409900000001</v>
      </c>
      <c r="C6136" s="66">
        <v>1160</v>
      </c>
      <c r="D6136" s="70">
        <v>0</v>
      </c>
      <c r="E6136" s="111">
        <v>133484</v>
      </c>
      <c r="F6136" s="69">
        <v>1.8200547936108188E-2</v>
      </c>
      <c r="G6136" s="69">
        <v>1.8176165803108806E-2</v>
      </c>
    </row>
    <row r="6137" spans="1:7" x14ac:dyDescent="0.3">
      <c r="A6137" s="24">
        <v>41015</v>
      </c>
      <c r="B6137" s="66">
        <v>1052.9409900000001</v>
      </c>
      <c r="C6137" s="66">
        <v>1165</v>
      </c>
      <c r="D6137" s="70">
        <v>0</v>
      </c>
      <c r="E6137" s="111">
        <v>133484</v>
      </c>
      <c r="F6137" s="69">
        <v>1.8200547936108188E-2</v>
      </c>
      <c r="G6137" s="69">
        <v>1.8176165803108806E-2</v>
      </c>
    </row>
    <row r="6138" spans="1:7" x14ac:dyDescent="0.3">
      <c r="A6138" s="24">
        <v>41016</v>
      </c>
      <c r="B6138" s="66">
        <v>1052.9409900000001</v>
      </c>
      <c r="C6138" s="66">
        <v>1167</v>
      </c>
      <c r="D6138" s="70">
        <v>0</v>
      </c>
      <c r="E6138" s="111">
        <v>133484</v>
      </c>
      <c r="F6138" s="69">
        <v>1.8200547936108188E-2</v>
      </c>
      <c r="G6138" s="69">
        <v>1.8176165803108806E-2</v>
      </c>
    </row>
    <row r="6139" spans="1:7" x14ac:dyDescent="0.3">
      <c r="A6139" s="24">
        <v>41017</v>
      </c>
      <c r="B6139" s="66">
        <v>1052.9409900000001</v>
      </c>
      <c r="C6139" s="66">
        <v>1166.0999999999999</v>
      </c>
      <c r="D6139" s="70">
        <v>0</v>
      </c>
      <c r="E6139" s="111">
        <v>133484</v>
      </c>
      <c r="F6139" s="69">
        <v>1.8200547936108188E-2</v>
      </c>
      <c r="G6139" s="69">
        <v>1.8080610246366351E-2</v>
      </c>
    </row>
    <row r="6140" spans="1:7" x14ac:dyDescent="0.3">
      <c r="A6140" s="24">
        <v>41018</v>
      </c>
      <c r="B6140" s="66">
        <v>1052.9409900000001</v>
      </c>
      <c r="C6140" s="66">
        <v>1200</v>
      </c>
      <c r="D6140" s="70">
        <v>0</v>
      </c>
      <c r="E6140" s="111">
        <v>133484</v>
      </c>
      <c r="F6140" s="69">
        <v>1.8200547936108188E-2</v>
      </c>
      <c r="G6140" s="69">
        <v>1.8080610246366351E-2</v>
      </c>
    </row>
    <row r="6141" spans="1:7" x14ac:dyDescent="0.3">
      <c r="A6141" s="24">
        <v>41019</v>
      </c>
      <c r="B6141" s="66">
        <v>1052.9409900000001</v>
      </c>
      <c r="C6141" s="66">
        <v>1200</v>
      </c>
      <c r="D6141" s="70">
        <v>0</v>
      </c>
      <c r="E6141" s="111">
        <v>133484</v>
      </c>
      <c r="F6141" s="69">
        <v>1.8200547936108188E-2</v>
      </c>
      <c r="G6141" s="69">
        <v>1.8080610246366351E-2</v>
      </c>
    </row>
    <row r="6142" spans="1:7" x14ac:dyDescent="0.3">
      <c r="A6142" s="24">
        <v>41020</v>
      </c>
      <c r="B6142" s="66">
        <v>1052.9409900000001</v>
      </c>
      <c r="C6142" s="66">
        <v>1200</v>
      </c>
      <c r="D6142" s="70">
        <v>0</v>
      </c>
      <c r="E6142" s="111">
        <v>133484</v>
      </c>
      <c r="F6142" s="69">
        <v>1.8200547936108188E-2</v>
      </c>
      <c r="G6142" s="69">
        <v>1.8080610246366351E-2</v>
      </c>
    </row>
    <row r="6143" spans="1:7" x14ac:dyDescent="0.3">
      <c r="A6143" s="24">
        <v>41021</v>
      </c>
      <c r="B6143" s="66">
        <v>1052.9409900000001</v>
      </c>
      <c r="C6143" s="66">
        <v>1200</v>
      </c>
      <c r="D6143" s="70">
        <v>0</v>
      </c>
      <c r="E6143" s="111">
        <v>133484</v>
      </c>
      <c r="F6143" s="69">
        <v>1.8200547936108188E-2</v>
      </c>
      <c r="G6143" s="69">
        <v>1.8080610246366351E-2</v>
      </c>
    </row>
    <row r="6144" spans="1:7" x14ac:dyDescent="0.3">
      <c r="A6144" s="24">
        <v>41022</v>
      </c>
      <c r="B6144" s="66">
        <v>1052.9409900000001</v>
      </c>
      <c r="C6144" s="66">
        <v>1200</v>
      </c>
      <c r="D6144" s="70">
        <v>0</v>
      </c>
      <c r="E6144" s="111">
        <v>133484</v>
      </c>
      <c r="F6144" s="69">
        <v>1.8200547936108188E-2</v>
      </c>
      <c r="G6144" s="69">
        <v>1.8080610246366351E-2</v>
      </c>
    </row>
    <row r="6145" spans="1:7" x14ac:dyDescent="0.3">
      <c r="A6145" s="24">
        <v>41023</v>
      </c>
      <c r="B6145" s="66">
        <v>1052.9409900000001</v>
      </c>
      <c r="C6145" s="66">
        <v>1200</v>
      </c>
      <c r="D6145" s="70">
        <v>0</v>
      </c>
      <c r="E6145" s="111">
        <v>133484</v>
      </c>
      <c r="F6145" s="69">
        <v>1.8200547936108188E-2</v>
      </c>
      <c r="G6145" s="69">
        <v>1.8080610246366351E-2</v>
      </c>
    </row>
    <row r="6146" spans="1:7" x14ac:dyDescent="0.3">
      <c r="A6146" s="24">
        <v>41024</v>
      </c>
      <c r="B6146" s="66">
        <v>1052.9409900000001</v>
      </c>
      <c r="C6146" s="66">
        <v>1200</v>
      </c>
      <c r="D6146" s="70">
        <v>0</v>
      </c>
      <c r="E6146" s="111">
        <v>133484</v>
      </c>
      <c r="F6146" s="69">
        <v>1.8200547936108188E-2</v>
      </c>
      <c r="G6146" s="69">
        <v>1.8080610246366351E-2</v>
      </c>
    </row>
    <row r="6147" spans="1:7" x14ac:dyDescent="0.3">
      <c r="A6147" s="24">
        <v>41025</v>
      </c>
      <c r="B6147" s="66">
        <v>1052.9409900000001</v>
      </c>
      <c r="C6147" s="66">
        <v>1200.2</v>
      </c>
      <c r="D6147" s="70">
        <v>0</v>
      </c>
      <c r="E6147" s="111">
        <v>133484</v>
      </c>
      <c r="F6147" s="69">
        <v>1.8200547936108188E-2</v>
      </c>
      <c r="G6147" s="69">
        <v>1.8080610246366351E-2</v>
      </c>
    </row>
    <row r="6148" spans="1:7" x14ac:dyDescent="0.3">
      <c r="A6148" s="24">
        <v>41026</v>
      </c>
      <c r="B6148" s="66">
        <v>1052.9409900000001</v>
      </c>
      <c r="C6148" s="66">
        <v>1219.8</v>
      </c>
      <c r="D6148" s="70">
        <v>0</v>
      </c>
      <c r="E6148" s="111">
        <v>133484</v>
      </c>
      <c r="F6148" s="69">
        <v>1.8200547936108188E-2</v>
      </c>
      <c r="G6148" s="69">
        <v>1.8080610246366351E-2</v>
      </c>
    </row>
    <row r="6149" spans="1:7" x14ac:dyDescent="0.3">
      <c r="A6149" s="24">
        <v>41027</v>
      </c>
      <c r="B6149" s="66">
        <v>1052.9409900000001</v>
      </c>
      <c r="C6149" s="66">
        <v>1219.8</v>
      </c>
      <c r="D6149" s="70">
        <v>0</v>
      </c>
      <c r="E6149" s="111">
        <v>133484</v>
      </c>
      <c r="F6149" s="69">
        <v>1.8200547936108188E-2</v>
      </c>
      <c r="G6149" s="69">
        <v>1.8080610246366351E-2</v>
      </c>
    </row>
    <row r="6150" spans="1:7" x14ac:dyDescent="0.3">
      <c r="A6150" s="24">
        <v>41028</v>
      </c>
      <c r="B6150" s="66">
        <v>1052.9409900000001</v>
      </c>
      <c r="C6150" s="66">
        <v>1219.8</v>
      </c>
      <c r="D6150" s="70">
        <v>0</v>
      </c>
      <c r="E6150" s="111">
        <v>133484</v>
      </c>
      <c r="F6150" s="69">
        <v>1.8200547936108188E-2</v>
      </c>
      <c r="G6150" s="69">
        <v>1.8080610246366351E-2</v>
      </c>
    </row>
    <row r="6151" spans="1:7" x14ac:dyDescent="0.3">
      <c r="A6151" s="24">
        <v>41029</v>
      </c>
      <c r="B6151" s="66">
        <v>1052.9409900000001</v>
      </c>
      <c r="C6151" s="66">
        <v>1220</v>
      </c>
      <c r="D6151" s="70">
        <v>0</v>
      </c>
      <c r="E6151" s="111">
        <v>138710</v>
      </c>
      <c r="F6151" s="69">
        <v>1.8200547936108188E-2</v>
      </c>
      <c r="G6151" s="69">
        <v>1.8080610246366351E-2</v>
      </c>
    </row>
    <row r="6152" spans="1:7" x14ac:dyDescent="0.3">
      <c r="A6152" s="24">
        <v>41030</v>
      </c>
      <c r="B6152" s="66">
        <v>1052.9409900000001</v>
      </c>
      <c r="C6152" s="66">
        <v>1220</v>
      </c>
      <c r="D6152" s="70">
        <v>0</v>
      </c>
      <c r="E6152" s="111">
        <f>+E6151</f>
        <v>138710</v>
      </c>
      <c r="F6152" s="69">
        <v>1.8200547936108188E-2</v>
      </c>
      <c r="G6152" s="69">
        <v>1.8080610246366351E-2</v>
      </c>
    </row>
    <row r="6153" spans="1:7" x14ac:dyDescent="0.3">
      <c r="A6153" s="24">
        <v>41031</v>
      </c>
      <c r="B6153" s="66">
        <v>1052.9409900000001</v>
      </c>
      <c r="C6153" s="66">
        <v>1220</v>
      </c>
      <c r="D6153" s="70">
        <v>0</v>
      </c>
      <c r="E6153" s="111">
        <f t="shared" ref="E6153:E6216" si="100">+E6152</f>
        <v>138710</v>
      </c>
      <c r="F6153" s="69">
        <v>1.8200547936108188E-2</v>
      </c>
      <c r="G6153" s="69">
        <v>1.8080610246366351E-2</v>
      </c>
    </row>
    <row r="6154" spans="1:7" x14ac:dyDescent="0.3">
      <c r="A6154" s="24">
        <v>41032</v>
      </c>
      <c r="B6154" s="66">
        <v>1052.9409900000001</v>
      </c>
      <c r="C6154" s="66">
        <v>1229</v>
      </c>
      <c r="D6154" s="70">
        <v>0</v>
      </c>
      <c r="E6154" s="111">
        <f t="shared" si="100"/>
        <v>138710</v>
      </c>
      <c r="F6154" s="69">
        <v>1.8200547936108188E-2</v>
      </c>
      <c r="G6154" s="69">
        <v>1.8080610246366351E-2</v>
      </c>
    </row>
    <row r="6155" spans="1:7" x14ac:dyDescent="0.3">
      <c r="A6155" s="24">
        <v>41033</v>
      </c>
      <c r="B6155" s="66">
        <v>1052.9409900000001</v>
      </c>
      <c r="C6155" s="66">
        <v>1225.0999999999999</v>
      </c>
      <c r="D6155" s="70">
        <v>0</v>
      </c>
      <c r="E6155" s="111">
        <f t="shared" si="100"/>
        <v>138710</v>
      </c>
      <c r="F6155" s="69">
        <v>1.8200547936108188E-2</v>
      </c>
      <c r="G6155" s="69">
        <v>1.8080610246366351E-2</v>
      </c>
    </row>
    <row r="6156" spans="1:7" x14ac:dyDescent="0.3">
      <c r="A6156" s="24">
        <v>41034</v>
      </c>
      <c r="B6156" s="66">
        <v>1052.9409900000001</v>
      </c>
      <c r="C6156" s="66">
        <v>1225.0999999999999</v>
      </c>
      <c r="D6156" s="70">
        <v>0</v>
      </c>
      <c r="E6156" s="111">
        <f t="shared" si="100"/>
        <v>138710</v>
      </c>
      <c r="F6156" s="69">
        <v>1.8200547936108188E-2</v>
      </c>
      <c r="G6156" s="69">
        <v>1.8080610246366351E-2</v>
      </c>
    </row>
    <row r="6157" spans="1:7" x14ac:dyDescent="0.3">
      <c r="A6157" s="24">
        <v>41035</v>
      </c>
      <c r="B6157" s="66">
        <v>1052.9409900000001</v>
      </c>
      <c r="C6157" s="66">
        <v>1225.0999999999999</v>
      </c>
      <c r="D6157" s="70">
        <v>0</v>
      </c>
      <c r="E6157" s="111">
        <f t="shared" si="100"/>
        <v>138710</v>
      </c>
      <c r="F6157" s="69">
        <v>1.8200547936108188E-2</v>
      </c>
      <c r="G6157" s="69">
        <v>1.8080610246366351E-2</v>
      </c>
    </row>
    <row r="6158" spans="1:7" x14ac:dyDescent="0.3">
      <c r="A6158" s="24">
        <v>41036</v>
      </c>
      <c r="B6158" s="66">
        <v>1052.9409900000001</v>
      </c>
      <c r="C6158" s="66">
        <v>1170</v>
      </c>
      <c r="D6158" s="70">
        <v>13.25</v>
      </c>
      <c r="E6158" s="111">
        <f t="shared" si="100"/>
        <v>138710</v>
      </c>
      <c r="F6158" s="69">
        <v>3.1949536542347272E-2</v>
      </c>
      <c r="G6158" s="69">
        <v>3.1738995979795896E-2</v>
      </c>
    </row>
    <row r="6159" spans="1:7" x14ac:dyDescent="0.3">
      <c r="A6159" s="24">
        <v>41037</v>
      </c>
      <c r="B6159" s="66">
        <v>1052.9409900000001</v>
      </c>
      <c r="C6159" s="66">
        <v>1180</v>
      </c>
      <c r="D6159" s="70">
        <v>0</v>
      </c>
      <c r="E6159" s="111">
        <f t="shared" si="100"/>
        <v>138710</v>
      </c>
      <c r="F6159" s="69">
        <v>3.1949536542347272E-2</v>
      </c>
      <c r="G6159" s="69">
        <v>3.1738995979795896E-2</v>
      </c>
    </row>
    <row r="6160" spans="1:7" x14ac:dyDescent="0.3">
      <c r="A6160" s="24">
        <v>41038</v>
      </c>
      <c r="B6160" s="66">
        <v>1052.9409900000001</v>
      </c>
      <c r="C6160" s="66">
        <v>1170</v>
      </c>
      <c r="D6160" s="70">
        <v>0</v>
      </c>
      <c r="E6160" s="111">
        <f t="shared" si="100"/>
        <v>138710</v>
      </c>
      <c r="F6160" s="69">
        <v>3.1949536542347272E-2</v>
      </c>
      <c r="G6160" s="69">
        <v>3.1738995979795896E-2</v>
      </c>
    </row>
    <row r="6161" spans="1:7" x14ac:dyDescent="0.3">
      <c r="A6161" s="24">
        <v>41039</v>
      </c>
      <c r="B6161" s="66">
        <v>1052.9409900000001</v>
      </c>
      <c r="C6161" s="66">
        <v>1170</v>
      </c>
      <c r="D6161" s="70">
        <v>0</v>
      </c>
      <c r="E6161" s="111">
        <f t="shared" si="100"/>
        <v>138710</v>
      </c>
      <c r="F6161" s="69">
        <v>3.1949536542347272E-2</v>
      </c>
      <c r="G6161" s="69">
        <v>3.1738995979795896E-2</v>
      </c>
    </row>
    <row r="6162" spans="1:7" x14ac:dyDescent="0.3">
      <c r="A6162" s="24">
        <v>41040</v>
      </c>
      <c r="B6162" s="66">
        <v>1052.9409900000001</v>
      </c>
      <c r="C6162" s="66">
        <v>1175</v>
      </c>
      <c r="D6162" s="70">
        <v>0</v>
      </c>
      <c r="E6162" s="111">
        <f t="shared" si="100"/>
        <v>138710</v>
      </c>
      <c r="F6162" s="69">
        <v>3.1949536542347272E-2</v>
      </c>
      <c r="G6162" s="69">
        <v>3.1738995979795896E-2</v>
      </c>
    </row>
    <row r="6163" spans="1:7" x14ac:dyDescent="0.3">
      <c r="A6163" s="24">
        <v>41041</v>
      </c>
      <c r="B6163" s="66">
        <v>1052.9409900000001</v>
      </c>
      <c r="C6163" s="66">
        <v>1175</v>
      </c>
      <c r="D6163" s="70">
        <v>0</v>
      </c>
      <c r="E6163" s="111">
        <f t="shared" si="100"/>
        <v>138710</v>
      </c>
      <c r="F6163" s="69">
        <v>3.1949536542347272E-2</v>
      </c>
      <c r="G6163" s="69">
        <v>3.1738995979795896E-2</v>
      </c>
    </row>
    <row r="6164" spans="1:7" x14ac:dyDescent="0.3">
      <c r="A6164" s="24">
        <v>41042</v>
      </c>
      <c r="B6164" s="66">
        <v>1052.9409900000001</v>
      </c>
      <c r="C6164" s="66">
        <v>1175</v>
      </c>
      <c r="D6164" s="70">
        <v>0</v>
      </c>
      <c r="E6164" s="111">
        <f t="shared" si="100"/>
        <v>138710</v>
      </c>
      <c r="F6164" s="69">
        <v>3.1949536542347272E-2</v>
      </c>
      <c r="G6164" s="69">
        <v>3.1738995979795896E-2</v>
      </c>
    </row>
    <row r="6165" spans="1:7" x14ac:dyDescent="0.3">
      <c r="A6165" s="24">
        <v>41043</v>
      </c>
      <c r="B6165" s="66">
        <v>1052.9409900000001</v>
      </c>
      <c r="C6165" s="66">
        <v>1170</v>
      </c>
      <c r="D6165" s="70">
        <v>0</v>
      </c>
      <c r="E6165" s="111">
        <f t="shared" si="100"/>
        <v>138710</v>
      </c>
      <c r="F6165" s="69">
        <v>3.1949536542347272E-2</v>
      </c>
      <c r="G6165" s="69">
        <v>3.1738995979795896E-2</v>
      </c>
    </row>
    <row r="6166" spans="1:7" x14ac:dyDescent="0.3">
      <c r="A6166" s="24">
        <v>41044</v>
      </c>
      <c r="B6166" s="66">
        <v>1052.9409900000001</v>
      </c>
      <c r="C6166" s="66">
        <v>1170</v>
      </c>
      <c r="D6166" s="70">
        <v>0</v>
      </c>
      <c r="E6166" s="111">
        <f t="shared" si="100"/>
        <v>138710</v>
      </c>
      <c r="F6166" s="69">
        <v>3.1949536542347272E-2</v>
      </c>
      <c r="G6166" s="69">
        <v>3.1738995979795896E-2</v>
      </c>
    </row>
    <row r="6167" spans="1:7" x14ac:dyDescent="0.3">
      <c r="A6167" s="24">
        <v>41045</v>
      </c>
      <c r="B6167" s="66">
        <v>1052.9409900000001</v>
      </c>
      <c r="C6167" s="66">
        <v>1170</v>
      </c>
      <c r="D6167" s="70">
        <v>0</v>
      </c>
      <c r="E6167" s="111">
        <f t="shared" si="100"/>
        <v>138710</v>
      </c>
      <c r="F6167" s="69">
        <v>3.1949536542347272E-2</v>
      </c>
      <c r="G6167" s="69">
        <v>3.1738995979795896E-2</v>
      </c>
    </row>
    <row r="6168" spans="1:7" x14ac:dyDescent="0.3">
      <c r="A6168" s="24">
        <v>41046</v>
      </c>
      <c r="B6168" s="66">
        <v>1052.9409900000001</v>
      </c>
      <c r="C6168" s="66">
        <v>1170</v>
      </c>
      <c r="D6168" s="70">
        <v>0</v>
      </c>
      <c r="E6168" s="111">
        <f t="shared" si="100"/>
        <v>138710</v>
      </c>
      <c r="F6168" s="69">
        <v>3.1949536542347272E-2</v>
      </c>
      <c r="G6168" s="69">
        <v>3.1738995979795896E-2</v>
      </c>
    </row>
    <row r="6169" spans="1:7" x14ac:dyDescent="0.3">
      <c r="A6169" s="24">
        <v>41047</v>
      </c>
      <c r="B6169" s="66">
        <v>1052.9409900000001</v>
      </c>
      <c r="C6169" s="66">
        <v>1170</v>
      </c>
      <c r="D6169" s="70">
        <v>0</v>
      </c>
      <c r="E6169" s="111">
        <f t="shared" si="100"/>
        <v>138710</v>
      </c>
      <c r="F6169" s="69">
        <v>3.1949536542347272E-2</v>
      </c>
      <c r="G6169" s="69">
        <v>3.1738995979795896E-2</v>
      </c>
    </row>
    <row r="6170" spans="1:7" x14ac:dyDescent="0.3">
      <c r="A6170" s="24">
        <v>41048</v>
      </c>
      <c r="B6170" s="66">
        <v>1052.9409900000001</v>
      </c>
      <c r="C6170" s="66">
        <v>1170</v>
      </c>
      <c r="D6170" s="70">
        <v>0</v>
      </c>
      <c r="E6170" s="111">
        <f t="shared" si="100"/>
        <v>138710</v>
      </c>
      <c r="F6170" s="69">
        <v>3.1949536542347272E-2</v>
      </c>
      <c r="G6170" s="69">
        <v>3.1738995979795896E-2</v>
      </c>
    </row>
    <row r="6171" spans="1:7" x14ac:dyDescent="0.3">
      <c r="A6171" s="24">
        <v>41049</v>
      </c>
      <c r="B6171" s="66">
        <v>1052.9409900000001</v>
      </c>
      <c r="C6171" s="66">
        <v>1170</v>
      </c>
      <c r="D6171" s="70">
        <v>0</v>
      </c>
      <c r="E6171" s="111">
        <f t="shared" si="100"/>
        <v>138710</v>
      </c>
      <c r="F6171" s="69">
        <v>3.1949536542347272E-2</v>
      </c>
      <c r="G6171" s="69">
        <v>3.1738995979795896E-2</v>
      </c>
    </row>
    <row r="6172" spans="1:7" x14ac:dyDescent="0.3">
      <c r="A6172" s="24">
        <v>41050</v>
      </c>
      <c r="B6172" s="66">
        <v>1052.9409900000001</v>
      </c>
      <c r="C6172" s="66">
        <v>1170</v>
      </c>
      <c r="D6172" s="70">
        <v>0</v>
      </c>
      <c r="E6172" s="111">
        <f t="shared" si="100"/>
        <v>138710</v>
      </c>
      <c r="F6172" s="69">
        <v>3.1949536542347272E-2</v>
      </c>
      <c r="G6172" s="69">
        <v>3.1738995979795896E-2</v>
      </c>
    </row>
    <row r="6173" spans="1:7" x14ac:dyDescent="0.3">
      <c r="A6173" s="24">
        <v>41051</v>
      </c>
      <c r="B6173" s="66">
        <v>1052.9409900000001</v>
      </c>
      <c r="C6173" s="66">
        <v>1169.9000000000001</v>
      </c>
      <c r="D6173" s="70">
        <v>0</v>
      </c>
      <c r="E6173" s="111">
        <f t="shared" si="100"/>
        <v>138710</v>
      </c>
      <c r="F6173" s="69">
        <v>3.1949536542347272E-2</v>
      </c>
      <c r="G6173" s="69">
        <v>3.1738995979795896E-2</v>
      </c>
    </row>
    <row r="6174" spans="1:7" x14ac:dyDescent="0.3">
      <c r="A6174" s="24">
        <v>41052</v>
      </c>
      <c r="B6174" s="66">
        <v>1052.9409900000001</v>
      </c>
      <c r="C6174" s="66">
        <v>1168</v>
      </c>
      <c r="D6174" s="70">
        <v>0</v>
      </c>
      <c r="E6174" s="111">
        <f t="shared" si="100"/>
        <v>138710</v>
      </c>
      <c r="F6174" s="69">
        <v>3.1949536542347272E-2</v>
      </c>
      <c r="G6174" s="69">
        <v>3.1738995979795896E-2</v>
      </c>
    </row>
    <row r="6175" spans="1:7" x14ac:dyDescent="0.3">
      <c r="A6175" s="24">
        <v>41053</v>
      </c>
      <c r="B6175" s="66">
        <v>1052.9409900000001</v>
      </c>
      <c r="C6175" s="66">
        <v>1168</v>
      </c>
      <c r="D6175" s="70">
        <v>0</v>
      </c>
      <c r="E6175" s="111">
        <f t="shared" si="100"/>
        <v>138710</v>
      </c>
      <c r="F6175" s="69">
        <v>3.1949536542347272E-2</v>
      </c>
      <c r="G6175" s="69">
        <v>3.1738995979795896E-2</v>
      </c>
    </row>
    <row r="6176" spans="1:7" x14ac:dyDescent="0.3">
      <c r="A6176" s="24">
        <v>41054</v>
      </c>
      <c r="B6176" s="66">
        <v>1052.9409900000001</v>
      </c>
      <c r="C6176" s="66">
        <v>1165</v>
      </c>
      <c r="D6176" s="70">
        <v>0</v>
      </c>
      <c r="E6176" s="111">
        <f t="shared" si="100"/>
        <v>138710</v>
      </c>
      <c r="F6176" s="69">
        <v>3.1949536542347272E-2</v>
      </c>
      <c r="G6176" s="69">
        <v>3.1738995979795896E-2</v>
      </c>
    </row>
    <row r="6177" spans="1:7" x14ac:dyDescent="0.3">
      <c r="A6177" s="24">
        <v>41055</v>
      </c>
      <c r="B6177" s="66">
        <v>1052.9409900000001</v>
      </c>
      <c r="C6177" s="66">
        <v>1165</v>
      </c>
      <c r="D6177" s="70">
        <v>0</v>
      </c>
      <c r="E6177" s="111">
        <f t="shared" si="100"/>
        <v>138710</v>
      </c>
      <c r="F6177" s="69">
        <v>3.1949536542347272E-2</v>
      </c>
      <c r="G6177" s="69">
        <v>3.1738995979795896E-2</v>
      </c>
    </row>
    <row r="6178" spans="1:7" x14ac:dyDescent="0.3">
      <c r="A6178" s="24">
        <v>41056</v>
      </c>
      <c r="B6178" s="66">
        <v>1052.9409900000001</v>
      </c>
      <c r="C6178" s="66">
        <v>1165</v>
      </c>
      <c r="D6178" s="70">
        <v>0</v>
      </c>
      <c r="E6178" s="111">
        <f t="shared" si="100"/>
        <v>138710</v>
      </c>
      <c r="F6178" s="69">
        <v>3.1949536542347272E-2</v>
      </c>
      <c r="G6178" s="69">
        <v>3.1738995979795896E-2</v>
      </c>
    </row>
    <row r="6179" spans="1:7" x14ac:dyDescent="0.3">
      <c r="A6179" s="24">
        <v>41057</v>
      </c>
      <c r="B6179" s="66">
        <v>1052.9409900000001</v>
      </c>
      <c r="C6179" s="66">
        <v>1167.5</v>
      </c>
      <c r="D6179" s="70">
        <v>0</v>
      </c>
      <c r="E6179" s="111">
        <f t="shared" si="100"/>
        <v>138710</v>
      </c>
      <c r="F6179" s="69">
        <v>3.1949536542347272E-2</v>
      </c>
      <c r="G6179" s="69">
        <v>3.1738995979795896E-2</v>
      </c>
    </row>
    <row r="6180" spans="1:7" x14ac:dyDescent="0.3">
      <c r="A6180" s="24">
        <v>41058</v>
      </c>
      <c r="B6180" s="66">
        <v>1052.9409900000001</v>
      </c>
      <c r="C6180" s="66">
        <v>1160</v>
      </c>
      <c r="D6180" s="70">
        <v>0</v>
      </c>
      <c r="E6180" s="111">
        <f t="shared" si="100"/>
        <v>138710</v>
      </c>
      <c r="F6180" s="69">
        <v>3.1949536542347272E-2</v>
      </c>
      <c r="G6180" s="69">
        <v>3.1738995979795896E-2</v>
      </c>
    </row>
    <row r="6181" spans="1:7" x14ac:dyDescent="0.3">
      <c r="A6181" s="24">
        <v>41059</v>
      </c>
      <c r="B6181" s="66">
        <v>1052.9409900000001</v>
      </c>
      <c r="C6181" s="66">
        <v>1150</v>
      </c>
      <c r="D6181" s="70">
        <v>0</v>
      </c>
      <c r="E6181" s="111">
        <f t="shared" si="100"/>
        <v>138710</v>
      </c>
      <c r="F6181" s="69">
        <v>3.1949536542347272E-2</v>
      </c>
      <c r="G6181" s="69">
        <v>3.1885225614637171E-2</v>
      </c>
    </row>
    <row r="6182" spans="1:7" x14ac:dyDescent="0.3">
      <c r="A6182" s="24">
        <v>41060</v>
      </c>
      <c r="B6182" s="66">
        <v>1052.9409900000001</v>
      </c>
      <c r="C6182" s="66">
        <v>1150</v>
      </c>
      <c r="D6182" s="70">
        <v>0</v>
      </c>
      <c r="E6182" s="111">
        <f t="shared" si="100"/>
        <v>138710</v>
      </c>
      <c r="F6182" s="69">
        <v>3.1949536542347272E-2</v>
      </c>
      <c r="G6182" s="69">
        <v>3.1885225614637171E-2</v>
      </c>
    </row>
    <row r="6183" spans="1:7" x14ac:dyDescent="0.3">
      <c r="A6183" s="24">
        <v>41061</v>
      </c>
      <c r="B6183" s="66">
        <v>1052.9409900000001</v>
      </c>
      <c r="C6183" s="66">
        <v>1150</v>
      </c>
      <c r="D6183" s="70">
        <v>0</v>
      </c>
      <c r="E6183" s="111">
        <f t="shared" si="100"/>
        <v>138710</v>
      </c>
      <c r="F6183" s="69">
        <v>3.1949536542347272E-2</v>
      </c>
      <c r="G6183" s="69">
        <v>3.1885225614637171E-2</v>
      </c>
    </row>
    <row r="6184" spans="1:7" x14ac:dyDescent="0.3">
      <c r="A6184" s="24">
        <v>41062</v>
      </c>
      <c r="B6184" s="66">
        <v>1052.9409900000001</v>
      </c>
      <c r="C6184" s="66">
        <v>1150</v>
      </c>
      <c r="D6184" s="70">
        <v>0</v>
      </c>
      <c r="E6184" s="111">
        <f t="shared" si="100"/>
        <v>138710</v>
      </c>
      <c r="F6184" s="69">
        <v>3.1949536542347272E-2</v>
      </c>
      <c r="G6184" s="69">
        <v>3.1885225614637171E-2</v>
      </c>
    </row>
    <row r="6185" spans="1:7" x14ac:dyDescent="0.3">
      <c r="A6185" s="24">
        <v>41063</v>
      </c>
      <c r="B6185" s="66">
        <v>1052.9409900000001</v>
      </c>
      <c r="C6185" s="66">
        <v>1150</v>
      </c>
      <c r="D6185" s="70">
        <v>0</v>
      </c>
      <c r="E6185" s="111">
        <f t="shared" si="100"/>
        <v>138710</v>
      </c>
      <c r="F6185" s="69">
        <v>3.1949536542347272E-2</v>
      </c>
      <c r="G6185" s="69">
        <v>3.1885225614637171E-2</v>
      </c>
    </row>
    <row r="6186" spans="1:7" x14ac:dyDescent="0.3">
      <c r="A6186" s="24">
        <v>41064</v>
      </c>
      <c r="B6186" s="66">
        <v>1052.9409900000001</v>
      </c>
      <c r="C6186" s="66">
        <v>1100</v>
      </c>
      <c r="D6186" s="70">
        <v>0</v>
      </c>
      <c r="E6186" s="111">
        <f t="shared" si="100"/>
        <v>138710</v>
      </c>
      <c r="F6186" s="69">
        <v>3.1949536542347272E-2</v>
      </c>
      <c r="G6186" s="69">
        <v>3.1885225614637171E-2</v>
      </c>
    </row>
    <row r="6187" spans="1:7" x14ac:dyDescent="0.3">
      <c r="A6187" s="24">
        <v>41065</v>
      </c>
      <c r="B6187" s="66">
        <v>1052.9409900000001</v>
      </c>
      <c r="C6187" s="66">
        <v>1100</v>
      </c>
      <c r="D6187" s="70">
        <v>0</v>
      </c>
      <c r="E6187" s="111">
        <f t="shared" si="100"/>
        <v>138710</v>
      </c>
      <c r="F6187" s="69">
        <v>3.1949536542347272E-2</v>
      </c>
      <c r="G6187" s="69">
        <v>3.1418367346938772E-2</v>
      </c>
    </row>
    <row r="6188" spans="1:7" x14ac:dyDescent="0.3">
      <c r="A6188" s="24">
        <v>41066</v>
      </c>
      <c r="B6188" s="66">
        <v>1052.9409900000001</v>
      </c>
      <c r="C6188" s="66">
        <v>1100</v>
      </c>
      <c r="D6188" s="70">
        <v>0</v>
      </c>
      <c r="E6188" s="111">
        <f t="shared" si="100"/>
        <v>138710</v>
      </c>
      <c r="F6188" s="69">
        <v>3.1949536542347272E-2</v>
      </c>
      <c r="G6188" s="69">
        <v>3.1418367346938772E-2</v>
      </c>
    </row>
    <row r="6189" spans="1:7" x14ac:dyDescent="0.3">
      <c r="A6189" s="24">
        <v>41067</v>
      </c>
      <c r="B6189" s="66">
        <v>1052.9409900000001</v>
      </c>
      <c r="C6189" s="66">
        <v>1100</v>
      </c>
      <c r="D6189" s="70">
        <v>0</v>
      </c>
      <c r="E6189" s="111">
        <f t="shared" si="100"/>
        <v>138710</v>
      </c>
      <c r="F6189" s="69">
        <v>3.1949536542347272E-2</v>
      </c>
      <c r="G6189" s="69">
        <v>3.1418367346938772E-2</v>
      </c>
    </row>
    <row r="6190" spans="1:7" x14ac:dyDescent="0.3">
      <c r="A6190" s="24">
        <v>41068</v>
      </c>
      <c r="B6190" s="66">
        <v>1052.9409900000001</v>
      </c>
      <c r="C6190" s="66">
        <v>1109.9000000000001</v>
      </c>
      <c r="D6190" s="70">
        <v>0</v>
      </c>
      <c r="E6190" s="111">
        <f t="shared" si="100"/>
        <v>138710</v>
      </c>
      <c r="F6190" s="69">
        <v>3.1949536542347272E-2</v>
      </c>
      <c r="G6190" s="69">
        <v>3.1418367346938772E-2</v>
      </c>
    </row>
    <row r="6191" spans="1:7" x14ac:dyDescent="0.3">
      <c r="A6191" s="24">
        <v>41069</v>
      </c>
      <c r="B6191" s="66">
        <v>1052.9409900000001</v>
      </c>
      <c r="C6191" s="66">
        <v>1109.9000000000001</v>
      </c>
      <c r="D6191" s="70">
        <v>0</v>
      </c>
      <c r="E6191" s="111">
        <f t="shared" si="100"/>
        <v>138710</v>
      </c>
      <c r="F6191" s="69">
        <v>3.1949536542347272E-2</v>
      </c>
      <c r="G6191" s="69">
        <v>3.1418367346938772E-2</v>
      </c>
    </row>
    <row r="6192" spans="1:7" x14ac:dyDescent="0.3">
      <c r="A6192" s="24">
        <v>41070</v>
      </c>
      <c r="B6192" s="66">
        <v>1052.9409900000001</v>
      </c>
      <c r="C6192" s="66">
        <v>1109.9000000000001</v>
      </c>
      <c r="D6192" s="70">
        <v>0</v>
      </c>
      <c r="E6192" s="111">
        <f t="shared" si="100"/>
        <v>138710</v>
      </c>
      <c r="F6192" s="69">
        <v>3.1949536542347272E-2</v>
      </c>
      <c r="G6192" s="69">
        <v>3.1418367346938772E-2</v>
      </c>
    </row>
    <row r="6193" spans="1:7" x14ac:dyDescent="0.3">
      <c r="A6193" s="24">
        <v>41071</v>
      </c>
      <c r="B6193" s="66">
        <v>1052.9409900000001</v>
      </c>
      <c r="C6193" s="66">
        <v>1100</v>
      </c>
      <c r="D6193" s="70">
        <v>0</v>
      </c>
      <c r="E6193" s="111">
        <f t="shared" si="100"/>
        <v>138710</v>
      </c>
      <c r="F6193" s="69">
        <v>3.1949536542347272E-2</v>
      </c>
      <c r="G6193" s="69">
        <v>3.1738995979795896E-2</v>
      </c>
    </row>
    <row r="6194" spans="1:7" x14ac:dyDescent="0.3">
      <c r="A6194" s="24">
        <v>41072</v>
      </c>
      <c r="B6194" s="66">
        <v>1052.9409900000001</v>
      </c>
      <c r="C6194" s="66">
        <v>1100</v>
      </c>
      <c r="D6194" s="70">
        <v>0</v>
      </c>
      <c r="E6194" s="111">
        <f t="shared" si="100"/>
        <v>138710</v>
      </c>
      <c r="F6194" s="69">
        <v>3.1949536542347272E-2</v>
      </c>
      <c r="G6194" s="69">
        <v>3.1738995979795896E-2</v>
      </c>
    </row>
    <row r="6195" spans="1:7" x14ac:dyDescent="0.3">
      <c r="A6195" s="24">
        <v>41073</v>
      </c>
      <c r="B6195" s="66">
        <v>1052.9409900000001</v>
      </c>
      <c r="C6195" s="66">
        <v>1095</v>
      </c>
      <c r="D6195" s="70">
        <v>0</v>
      </c>
      <c r="E6195" s="111">
        <f t="shared" si="100"/>
        <v>138710</v>
      </c>
      <c r="F6195" s="69">
        <v>3.1949536542347272E-2</v>
      </c>
      <c r="G6195" s="69">
        <v>3.1418367346938772E-2</v>
      </c>
    </row>
    <row r="6196" spans="1:7" x14ac:dyDescent="0.3">
      <c r="A6196" s="24">
        <v>41074</v>
      </c>
      <c r="B6196" s="66">
        <v>1052.9409900000001</v>
      </c>
      <c r="C6196" s="66">
        <v>1119.9000000000001</v>
      </c>
      <c r="D6196" s="70">
        <v>0</v>
      </c>
      <c r="E6196" s="111">
        <f t="shared" si="100"/>
        <v>138710</v>
      </c>
      <c r="F6196" s="69">
        <v>3.1949536542347272E-2</v>
      </c>
      <c r="G6196" s="69">
        <v>3.1418367346938772E-2</v>
      </c>
    </row>
    <row r="6197" spans="1:7" x14ac:dyDescent="0.3">
      <c r="A6197" s="24">
        <v>41075</v>
      </c>
      <c r="B6197" s="66">
        <v>1052.9409900000001</v>
      </c>
      <c r="C6197" s="66">
        <v>1119.9000000000001</v>
      </c>
      <c r="D6197" s="70">
        <v>0</v>
      </c>
      <c r="E6197" s="111">
        <f t="shared" si="100"/>
        <v>138710</v>
      </c>
      <c r="F6197" s="69">
        <v>3.1949536542347272E-2</v>
      </c>
      <c r="G6197" s="69">
        <v>3.1418367346938772E-2</v>
      </c>
    </row>
    <row r="6198" spans="1:7" x14ac:dyDescent="0.3">
      <c r="A6198" s="24">
        <v>41076</v>
      </c>
      <c r="B6198" s="66">
        <v>1052.9409900000001</v>
      </c>
      <c r="C6198" s="66">
        <v>1119.9000000000001</v>
      </c>
      <c r="D6198" s="70">
        <v>0</v>
      </c>
      <c r="E6198" s="111">
        <f t="shared" si="100"/>
        <v>138710</v>
      </c>
      <c r="F6198" s="69">
        <v>3.1949536542347272E-2</v>
      </c>
      <c r="G6198" s="69">
        <v>3.1418367346938772E-2</v>
      </c>
    </row>
    <row r="6199" spans="1:7" x14ac:dyDescent="0.3">
      <c r="A6199" s="24">
        <v>41077</v>
      </c>
      <c r="B6199" s="66">
        <v>1052.9409900000001</v>
      </c>
      <c r="C6199" s="66">
        <v>1119.9000000000001</v>
      </c>
      <c r="D6199" s="70">
        <v>0</v>
      </c>
      <c r="E6199" s="111">
        <f t="shared" si="100"/>
        <v>138710</v>
      </c>
      <c r="F6199" s="69">
        <v>3.1949536542347272E-2</v>
      </c>
      <c r="G6199" s="69">
        <v>3.1418367346938772E-2</v>
      </c>
    </row>
    <row r="6200" spans="1:7" x14ac:dyDescent="0.3">
      <c r="A6200" s="24">
        <v>41078</v>
      </c>
      <c r="B6200" s="66">
        <v>1052.9409900000001</v>
      </c>
      <c r="C6200" s="66">
        <v>1120</v>
      </c>
      <c r="D6200" s="70">
        <v>0</v>
      </c>
      <c r="E6200" s="111">
        <f t="shared" si="100"/>
        <v>138710</v>
      </c>
      <c r="F6200" s="69">
        <v>3.1949536542347272E-2</v>
      </c>
      <c r="G6200" s="69">
        <v>3.1738995979795896E-2</v>
      </c>
    </row>
    <row r="6201" spans="1:7" x14ac:dyDescent="0.3">
      <c r="A6201" s="24">
        <v>41079</v>
      </c>
      <c r="B6201" s="66">
        <v>1052.9409900000001</v>
      </c>
      <c r="C6201" s="66">
        <v>1120</v>
      </c>
      <c r="D6201" s="70">
        <v>0</v>
      </c>
      <c r="E6201" s="111">
        <f t="shared" si="100"/>
        <v>138710</v>
      </c>
      <c r="F6201" s="69">
        <v>3.1949536542347272E-2</v>
      </c>
      <c r="G6201" s="69">
        <v>3.1738995979795896E-2</v>
      </c>
    </row>
    <row r="6202" spans="1:7" x14ac:dyDescent="0.3">
      <c r="A6202" s="24">
        <v>41080</v>
      </c>
      <c r="B6202" s="66">
        <v>1052.9409900000001</v>
      </c>
      <c r="C6202" s="66">
        <v>1100</v>
      </c>
      <c r="D6202" s="70">
        <v>0</v>
      </c>
      <c r="E6202" s="111">
        <f t="shared" si="100"/>
        <v>138710</v>
      </c>
      <c r="F6202" s="69">
        <v>3.1949536542347272E-2</v>
      </c>
      <c r="G6202" s="69">
        <v>3.1576248589888216E-2</v>
      </c>
    </row>
    <row r="6203" spans="1:7" x14ac:dyDescent="0.3">
      <c r="A6203" s="24">
        <v>41081</v>
      </c>
      <c r="B6203" s="66">
        <v>1052.9409900000001</v>
      </c>
      <c r="C6203" s="66">
        <v>1100</v>
      </c>
      <c r="D6203" s="70">
        <v>0</v>
      </c>
      <c r="E6203" s="111">
        <f t="shared" si="100"/>
        <v>138710</v>
      </c>
      <c r="F6203" s="69">
        <v>3.1949536542347272E-2</v>
      </c>
      <c r="G6203" s="69">
        <v>3.1576248589888216E-2</v>
      </c>
    </row>
    <row r="6204" spans="1:7" x14ac:dyDescent="0.3">
      <c r="A6204" s="24">
        <v>41082</v>
      </c>
      <c r="B6204" s="66">
        <v>1052.9409900000001</v>
      </c>
      <c r="C6204" s="66">
        <v>1100.0999999999999</v>
      </c>
      <c r="D6204" s="70">
        <v>0</v>
      </c>
      <c r="E6204" s="111">
        <f t="shared" si="100"/>
        <v>138710</v>
      </c>
      <c r="F6204" s="69">
        <v>3.1949536542347272E-2</v>
      </c>
      <c r="G6204" s="69">
        <v>3.1576248589888216E-2</v>
      </c>
    </row>
    <row r="6205" spans="1:7" x14ac:dyDescent="0.3">
      <c r="A6205" s="24">
        <v>41083</v>
      </c>
      <c r="B6205" s="66">
        <v>1052.9409900000001</v>
      </c>
      <c r="C6205" s="66">
        <v>1100.0999999999999</v>
      </c>
      <c r="D6205" s="70">
        <v>0</v>
      </c>
      <c r="E6205" s="111">
        <f t="shared" si="100"/>
        <v>138710</v>
      </c>
      <c r="F6205" s="69">
        <v>3.1949536542347272E-2</v>
      </c>
      <c r="G6205" s="69">
        <v>3.1576248589888216E-2</v>
      </c>
    </row>
    <row r="6206" spans="1:7" x14ac:dyDescent="0.3">
      <c r="A6206" s="24">
        <v>41084</v>
      </c>
      <c r="B6206" s="66">
        <v>1052.9409900000001</v>
      </c>
      <c r="C6206" s="66">
        <v>1100.0999999999999</v>
      </c>
      <c r="D6206" s="70">
        <v>0</v>
      </c>
      <c r="E6206" s="111">
        <f t="shared" si="100"/>
        <v>138710</v>
      </c>
      <c r="F6206" s="69">
        <v>3.1949536542347272E-2</v>
      </c>
      <c r="G6206" s="69">
        <v>3.1576248589888216E-2</v>
      </c>
    </row>
    <row r="6207" spans="1:7" x14ac:dyDescent="0.3">
      <c r="A6207" s="24">
        <v>41085</v>
      </c>
      <c r="B6207" s="66">
        <v>1052.9409900000001</v>
      </c>
      <c r="C6207" s="66">
        <v>1120</v>
      </c>
      <c r="D6207" s="70">
        <v>0</v>
      </c>
      <c r="E6207" s="111">
        <f t="shared" si="100"/>
        <v>138710</v>
      </c>
      <c r="F6207" s="69">
        <v>3.1949536542347272E-2</v>
      </c>
      <c r="G6207" s="69">
        <v>3.1576248589888216E-2</v>
      </c>
    </row>
    <row r="6208" spans="1:7" x14ac:dyDescent="0.3">
      <c r="A6208" s="24">
        <v>41086</v>
      </c>
      <c r="B6208" s="66">
        <v>1052.9409900000001</v>
      </c>
      <c r="C6208" s="66">
        <v>1123</v>
      </c>
      <c r="D6208" s="70">
        <v>0</v>
      </c>
      <c r="E6208" s="111">
        <f t="shared" si="100"/>
        <v>138710</v>
      </c>
      <c r="F6208" s="69">
        <v>3.1949536542347272E-2</v>
      </c>
      <c r="G6208" s="69">
        <v>3.1576248589888216E-2</v>
      </c>
    </row>
    <row r="6209" spans="1:7" x14ac:dyDescent="0.3">
      <c r="A6209" s="24">
        <v>41087</v>
      </c>
      <c r="B6209" s="66">
        <v>1052.9409900000001</v>
      </c>
      <c r="C6209" s="66">
        <v>1123</v>
      </c>
      <c r="D6209" s="70">
        <v>0</v>
      </c>
      <c r="E6209" s="111">
        <f t="shared" si="100"/>
        <v>138710</v>
      </c>
      <c r="F6209" s="69">
        <v>3.1949536542347272E-2</v>
      </c>
      <c r="G6209" s="69">
        <v>3.1576248589888216E-2</v>
      </c>
    </row>
    <row r="6210" spans="1:7" x14ac:dyDescent="0.3">
      <c r="A6210" s="24">
        <v>41088</v>
      </c>
      <c r="B6210" s="66">
        <v>1052.9409900000001</v>
      </c>
      <c r="C6210" s="66">
        <v>1120</v>
      </c>
      <c r="D6210" s="70">
        <v>0</v>
      </c>
      <c r="E6210" s="111">
        <f t="shared" si="100"/>
        <v>138710</v>
      </c>
      <c r="F6210" s="69">
        <v>2.5995012005796195E-2</v>
      </c>
      <c r="G6210" s="69">
        <v>2.5993231463439646E-2</v>
      </c>
    </row>
    <row r="6211" spans="1:7" x14ac:dyDescent="0.3">
      <c r="A6211" s="24">
        <v>41089</v>
      </c>
      <c r="B6211" s="66">
        <v>1052.9409900000001</v>
      </c>
      <c r="C6211" s="66">
        <v>1119.5</v>
      </c>
      <c r="D6211" s="70">
        <v>5.5</v>
      </c>
      <c r="E6211" s="111">
        <f t="shared" si="100"/>
        <v>138710</v>
      </c>
      <c r="F6211" s="69">
        <v>3.1635845511354434E-2</v>
      </c>
      <c r="G6211" s="69">
        <v>3.1475510204081632E-2</v>
      </c>
    </row>
    <row r="6212" spans="1:7" x14ac:dyDescent="0.3">
      <c r="A6212" s="24">
        <v>41090</v>
      </c>
      <c r="B6212" s="66">
        <v>1062.73867</v>
      </c>
      <c r="C6212" s="66">
        <v>1119.5</v>
      </c>
      <c r="D6212" s="70">
        <v>0</v>
      </c>
      <c r="E6212" s="111">
        <f t="shared" si="100"/>
        <v>138710</v>
      </c>
      <c r="F6212" s="69">
        <v>3.1635845511354434E-2</v>
      </c>
      <c r="G6212" s="69">
        <v>3.1475510204081632E-2</v>
      </c>
    </row>
    <row r="6213" spans="1:7" x14ac:dyDescent="0.3">
      <c r="A6213" s="24">
        <v>41091</v>
      </c>
      <c r="B6213" s="66">
        <v>1062.73867</v>
      </c>
      <c r="C6213" s="66">
        <v>1119.5</v>
      </c>
      <c r="D6213" s="70">
        <v>0</v>
      </c>
      <c r="E6213" s="111">
        <f t="shared" si="100"/>
        <v>138710</v>
      </c>
      <c r="F6213" s="69">
        <v>3.1635845511354434E-2</v>
      </c>
      <c r="G6213" s="69">
        <v>3.1475510204081632E-2</v>
      </c>
    </row>
    <row r="6214" spans="1:7" x14ac:dyDescent="0.3">
      <c r="A6214" s="24">
        <v>41092</v>
      </c>
      <c r="B6214" s="66">
        <v>1062.73867</v>
      </c>
      <c r="C6214" s="66">
        <v>1119.5</v>
      </c>
      <c r="D6214" s="70">
        <v>0</v>
      </c>
      <c r="E6214" s="111">
        <f t="shared" si="100"/>
        <v>138710</v>
      </c>
      <c r="F6214" s="69">
        <v>3.1635845511354434E-2</v>
      </c>
      <c r="G6214" s="69">
        <v>3.1475510204081632E-2</v>
      </c>
    </row>
    <row r="6215" spans="1:7" x14ac:dyDescent="0.3">
      <c r="A6215" s="24">
        <v>41093</v>
      </c>
      <c r="B6215" s="66">
        <v>1062.73867</v>
      </c>
      <c r="C6215" s="66">
        <v>1119.5</v>
      </c>
      <c r="D6215" s="70">
        <v>0</v>
      </c>
      <c r="E6215" s="111">
        <f t="shared" si="100"/>
        <v>138710</v>
      </c>
      <c r="F6215" s="69">
        <v>3.1635845511354434E-2</v>
      </c>
      <c r="G6215" s="69">
        <v>3.1475510204081632E-2</v>
      </c>
    </row>
    <row r="6216" spans="1:7" x14ac:dyDescent="0.3">
      <c r="A6216" s="24">
        <v>41094</v>
      </c>
      <c r="B6216" s="66">
        <v>1062.73867</v>
      </c>
      <c r="C6216" s="66">
        <v>1115</v>
      </c>
      <c r="D6216" s="70">
        <v>0</v>
      </c>
      <c r="E6216" s="111">
        <f t="shared" si="100"/>
        <v>138710</v>
      </c>
      <c r="F6216" s="69">
        <v>3.1635845511354434E-2</v>
      </c>
      <c r="G6216" s="69">
        <v>3.1475510204081632E-2</v>
      </c>
    </row>
    <row r="6217" spans="1:7" x14ac:dyDescent="0.3">
      <c r="A6217" s="24">
        <v>41095</v>
      </c>
      <c r="B6217" s="66">
        <v>1062.73867</v>
      </c>
      <c r="C6217" s="66">
        <v>1119.5</v>
      </c>
      <c r="D6217" s="70">
        <v>0</v>
      </c>
      <c r="E6217" s="111">
        <f t="shared" ref="E6217:E6280" si="101">+E6216</f>
        <v>138710</v>
      </c>
      <c r="F6217" s="69">
        <v>3.1635845511354434E-2</v>
      </c>
      <c r="G6217" s="69">
        <v>3.1475510204081632E-2</v>
      </c>
    </row>
    <row r="6218" spans="1:7" x14ac:dyDescent="0.3">
      <c r="A6218" s="24">
        <v>41096</v>
      </c>
      <c r="B6218" s="66">
        <v>1062.73867</v>
      </c>
      <c r="C6218" s="66">
        <v>1119.5</v>
      </c>
      <c r="D6218" s="70">
        <v>0</v>
      </c>
      <c r="E6218" s="111">
        <f t="shared" si="101"/>
        <v>138710</v>
      </c>
      <c r="F6218" s="69">
        <v>3.1635845511354434E-2</v>
      </c>
      <c r="G6218" s="69">
        <v>3.1475510204081632E-2</v>
      </c>
    </row>
    <row r="6219" spans="1:7" x14ac:dyDescent="0.3">
      <c r="A6219" s="24">
        <v>41097</v>
      </c>
      <c r="B6219" s="66">
        <v>1062.73867</v>
      </c>
      <c r="C6219" s="66">
        <v>1119.5</v>
      </c>
      <c r="D6219" s="70">
        <v>0</v>
      </c>
      <c r="E6219" s="111">
        <f t="shared" si="101"/>
        <v>138710</v>
      </c>
      <c r="F6219" s="69">
        <v>3.1635845511354434E-2</v>
      </c>
      <c r="G6219" s="69">
        <v>3.1475510204081632E-2</v>
      </c>
    </row>
    <row r="6220" spans="1:7" x14ac:dyDescent="0.3">
      <c r="A6220" s="24">
        <v>41098</v>
      </c>
      <c r="B6220" s="66">
        <v>1062.73867</v>
      </c>
      <c r="C6220" s="66">
        <v>1119.5</v>
      </c>
      <c r="D6220" s="70">
        <v>0</v>
      </c>
      <c r="E6220" s="111">
        <f t="shared" si="101"/>
        <v>138710</v>
      </c>
      <c r="F6220" s="69">
        <v>3.1635845511354434E-2</v>
      </c>
      <c r="G6220" s="69">
        <v>3.1475510204081632E-2</v>
      </c>
    </row>
    <row r="6221" spans="1:7" x14ac:dyDescent="0.3">
      <c r="A6221" s="24">
        <v>41099</v>
      </c>
      <c r="B6221" s="66">
        <v>1062.73867</v>
      </c>
      <c r="C6221" s="66">
        <v>1119.5</v>
      </c>
      <c r="D6221" s="70">
        <v>0</v>
      </c>
      <c r="E6221" s="111">
        <f t="shared" si="101"/>
        <v>138710</v>
      </c>
      <c r="F6221" s="69">
        <v>3.1635845511354434E-2</v>
      </c>
      <c r="G6221" s="69">
        <v>3.1475510204081632E-2</v>
      </c>
    </row>
    <row r="6222" spans="1:7" x14ac:dyDescent="0.3">
      <c r="A6222" s="24">
        <v>41100</v>
      </c>
      <c r="B6222" s="66">
        <v>1062.73867</v>
      </c>
      <c r="C6222" s="66">
        <v>1120</v>
      </c>
      <c r="D6222" s="70">
        <v>0</v>
      </c>
      <c r="E6222" s="111">
        <f t="shared" si="101"/>
        <v>138710</v>
      </c>
      <c r="F6222" s="69">
        <v>3.1635845511354434E-2</v>
      </c>
      <c r="G6222" s="69">
        <v>3.1157575757575759E-2</v>
      </c>
    </row>
    <row r="6223" spans="1:7" x14ac:dyDescent="0.3">
      <c r="A6223" s="24">
        <v>41101</v>
      </c>
      <c r="B6223" s="66">
        <v>1062.73867</v>
      </c>
      <c r="C6223" s="66">
        <v>1115</v>
      </c>
      <c r="D6223" s="70">
        <v>0</v>
      </c>
      <c r="E6223" s="111">
        <f t="shared" si="101"/>
        <v>138710</v>
      </c>
      <c r="F6223" s="69">
        <v>3.1635845511354434E-2</v>
      </c>
      <c r="G6223" s="69">
        <v>3.1475510204081632E-2</v>
      </c>
    </row>
    <row r="6224" spans="1:7" x14ac:dyDescent="0.3">
      <c r="A6224" s="24">
        <v>41102</v>
      </c>
      <c r="B6224" s="66">
        <v>1062.73867</v>
      </c>
      <c r="C6224" s="66">
        <v>1115</v>
      </c>
      <c r="D6224" s="70">
        <v>0</v>
      </c>
      <c r="E6224" s="111">
        <f t="shared" si="101"/>
        <v>138710</v>
      </c>
      <c r="F6224" s="69">
        <v>3.1635845511354434E-2</v>
      </c>
      <c r="G6224" s="69">
        <v>3.1001005025125629E-2</v>
      </c>
    </row>
    <row r="6225" spans="1:7" x14ac:dyDescent="0.3">
      <c r="A6225" s="24">
        <v>41103</v>
      </c>
      <c r="B6225" s="66">
        <v>1062.73867</v>
      </c>
      <c r="C6225" s="66">
        <v>1115</v>
      </c>
      <c r="D6225" s="70">
        <v>0</v>
      </c>
      <c r="E6225" s="111">
        <f t="shared" si="101"/>
        <v>138710</v>
      </c>
      <c r="F6225" s="69">
        <v>3.1635845511354434E-2</v>
      </c>
      <c r="G6225" s="69">
        <v>3.1001005025125629E-2</v>
      </c>
    </row>
    <row r="6226" spans="1:7" x14ac:dyDescent="0.3">
      <c r="A6226" s="24">
        <v>41104</v>
      </c>
      <c r="B6226" s="66">
        <v>1062.73867</v>
      </c>
      <c r="C6226" s="66">
        <v>1115</v>
      </c>
      <c r="D6226" s="70">
        <v>0</v>
      </c>
      <c r="E6226" s="111">
        <f t="shared" si="101"/>
        <v>138710</v>
      </c>
      <c r="F6226" s="69">
        <v>3.1635845511354434E-2</v>
      </c>
      <c r="G6226" s="69">
        <v>3.1001005025125629E-2</v>
      </c>
    </row>
    <row r="6227" spans="1:7" x14ac:dyDescent="0.3">
      <c r="A6227" s="24">
        <v>41105</v>
      </c>
      <c r="B6227" s="66">
        <v>1062.73867</v>
      </c>
      <c r="C6227" s="66">
        <v>1115</v>
      </c>
      <c r="D6227" s="70">
        <v>0</v>
      </c>
      <c r="E6227" s="111">
        <f t="shared" si="101"/>
        <v>138710</v>
      </c>
      <c r="F6227" s="69">
        <v>3.1635845511354434E-2</v>
      </c>
      <c r="G6227" s="69">
        <v>3.1001005025125629E-2</v>
      </c>
    </row>
    <row r="6228" spans="1:7" x14ac:dyDescent="0.3">
      <c r="A6228" s="24">
        <v>41106</v>
      </c>
      <c r="B6228" s="66">
        <v>1062.73867</v>
      </c>
      <c r="C6228" s="66">
        <v>1115</v>
      </c>
      <c r="D6228" s="70">
        <v>0</v>
      </c>
      <c r="E6228" s="111">
        <f t="shared" si="101"/>
        <v>138710</v>
      </c>
      <c r="F6228" s="69">
        <v>3.1635845511354434E-2</v>
      </c>
      <c r="G6228" s="69">
        <v>3.1475510204081632E-2</v>
      </c>
    </row>
    <row r="6229" spans="1:7" x14ac:dyDescent="0.3">
      <c r="A6229" s="24">
        <v>41107</v>
      </c>
      <c r="B6229" s="66">
        <v>1062.73867</v>
      </c>
      <c r="C6229" s="66">
        <v>1114.8</v>
      </c>
      <c r="D6229" s="70">
        <v>0</v>
      </c>
      <c r="E6229" s="111">
        <f t="shared" si="101"/>
        <v>138710</v>
      </c>
      <c r="F6229" s="69">
        <v>3.1635845511354434E-2</v>
      </c>
      <c r="G6229" s="69">
        <v>3.1475510204081632E-2</v>
      </c>
    </row>
    <row r="6230" spans="1:7" x14ac:dyDescent="0.3">
      <c r="A6230" s="24">
        <v>41108</v>
      </c>
      <c r="B6230" s="66">
        <v>1062.73867</v>
      </c>
      <c r="C6230" s="66">
        <v>1115</v>
      </c>
      <c r="D6230" s="70">
        <v>0</v>
      </c>
      <c r="E6230" s="111">
        <f t="shared" si="101"/>
        <v>138710</v>
      </c>
      <c r="F6230" s="69">
        <v>3.1635845511354434E-2</v>
      </c>
      <c r="G6230" s="69">
        <v>3.1475510204081632E-2</v>
      </c>
    </row>
    <row r="6231" spans="1:7" x14ac:dyDescent="0.3">
      <c r="A6231" s="24">
        <v>41109</v>
      </c>
      <c r="B6231" s="66">
        <v>1062.73867</v>
      </c>
      <c r="C6231" s="66">
        <v>1115</v>
      </c>
      <c r="D6231" s="70">
        <v>0</v>
      </c>
      <c r="E6231" s="111">
        <f t="shared" si="101"/>
        <v>138710</v>
      </c>
      <c r="F6231" s="69">
        <v>3.1635845511354434E-2</v>
      </c>
      <c r="G6231" s="69">
        <v>3.1475510204081632E-2</v>
      </c>
    </row>
    <row r="6232" spans="1:7" x14ac:dyDescent="0.3">
      <c r="A6232" s="24">
        <v>41110</v>
      </c>
      <c r="B6232" s="66">
        <v>1062.73867</v>
      </c>
      <c r="C6232" s="66">
        <v>1115</v>
      </c>
      <c r="D6232" s="70">
        <v>0</v>
      </c>
      <c r="E6232" s="111">
        <f t="shared" si="101"/>
        <v>138710</v>
      </c>
      <c r="F6232" s="69">
        <v>3.1635845511354434E-2</v>
      </c>
      <c r="G6232" s="69">
        <v>3.1283975659229211E-2</v>
      </c>
    </row>
    <row r="6233" spans="1:7" x14ac:dyDescent="0.3">
      <c r="A6233" s="24">
        <v>41111</v>
      </c>
      <c r="B6233" s="66">
        <v>1062.73867</v>
      </c>
      <c r="C6233" s="66">
        <v>1115</v>
      </c>
      <c r="D6233" s="70">
        <v>0</v>
      </c>
      <c r="E6233" s="111">
        <f t="shared" si="101"/>
        <v>138710</v>
      </c>
      <c r="F6233" s="69">
        <v>3.1635845511354434E-2</v>
      </c>
      <c r="G6233" s="69">
        <v>3.1283975659229211E-2</v>
      </c>
    </row>
    <row r="6234" spans="1:7" x14ac:dyDescent="0.3">
      <c r="A6234" s="24">
        <v>41112</v>
      </c>
      <c r="B6234" s="66">
        <v>1062.73867</v>
      </c>
      <c r="C6234" s="66">
        <v>1115</v>
      </c>
      <c r="D6234" s="70">
        <v>0</v>
      </c>
      <c r="E6234" s="111">
        <f t="shared" si="101"/>
        <v>138710</v>
      </c>
      <c r="F6234" s="69">
        <v>3.1635845511354434E-2</v>
      </c>
      <c r="G6234" s="69">
        <v>3.1283975659229211E-2</v>
      </c>
    </row>
    <row r="6235" spans="1:7" x14ac:dyDescent="0.3">
      <c r="A6235" s="24">
        <v>41113</v>
      </c>
      <c r="B6235" s="66">
        <v>1062.73867</v>
      </c>
      <c r="C6235" s="66">
        <v>1110</v>
      </c>
      <c r="D6235" s="70">
        <v>0</v>
      </c>
      <c r="E6235" s="111">
        <f t="shared" si="101"/>
        <v>138710</v>
      </c>
      <c r="F6235" s="69">
        <v>3.1635845511354434E-2</v>
      </c>
      <c r="G6235" s="69">
        <v>3.1283975659229211E-2</v>
      </c>
    </row>
    <row r="6236" spans="1:7" x14ac:dyDescent="0.3">
      <c r="A6236" s="24">
        <v>41114</v>
      </c>
      <c r="B6236" s="66">
        <v>1062.73867</v>
      </c>
      <c r="C6236" s="66">
        <v>1115</v>
      </c>
      <c r="D6236" s="70">
        <v>0</v>
      </c>
      <c r="E6236" s="111">
        <f t="shared" si="101"/>
        <v>138710</v>
      </c>
      <c r="F6236" s="69">
        <v>3.1635845511354434E-2</v>
      </c>
      <c r="G6236" s="69">
        <v>3.1283975659229211E-2</v>
      </c>
    </row>
    <row r="6237" spans="1:7" x14ac:dyDescent="0.3">
      <c r="A6237" s="24">
        <v>41115</v>
      </c>
      <c r="B6237" s="66">
        <v>1062.73867</v>
      </c>
      <c r="C6237" s="66">
        <v>1115</v>
      </c>
      <c r="D6237" s="70">
        <v>0</v>
      </c>
      <c r="E6237" s="111">
        <f t="shared" si="101"/>
        <v>138710</v>
      </c>
      <c r="F6237" s="69">
        <v>3.1635845511354434E-2</v>
      </c>
      <c r="G6237" s="69">
        <v>3.1283975659229211E-2</v>
      </c>
    </row>
    <row r="6238" spans="1:7" x14ac:dyDescent="0.3">
      <c r="A6238" s="24">
        <v>41116</v>
      </c>
      <c r="B6238" s="66">
        <v>1062.73867</v>
      </c>
      <c r="C6238" s="66">
        <v>1114.9000000000001</v>
      </c>
      <c r="D6238" s="70">
        <v>0</v>
      </c>
      <c r="E6238" s="111">
        <f t="shared" si="101"/>
        <v>138710</v>
      </c>
      <c r="F6238" s="69">
        <v>3.1635845511354434E-2</v>
      </c>
      <c r="G6238" s="69">
        <v>3.1001005025125629E-2</v>
      </c>
    </row>
    <row r="6239" spans="1:7" x14ac:dyDescent="0.3">
      <c r="A6239" s="24">
        <v>41117</v>
      </c>
      <c r="B6239" s="66">
        <v>1062.73867</v>
      </c>
      <c r="C6239" s="66">
        <v>1115</v>
      </c>
      <c r="D6239" s="70">
        <v>0</v>
      </c>
      <c r="E6239" s="111">
        <f t="shared" si="101"/>
        <v>138710</v>
      </c>
      <c r="F6239" s="69">
        <v>3.1635845511354434E-2</v>
      </c>
      <c r="G6239" s="69">
        <v>3.1001005025125629E-2</v>
      </c>
    </row>
    <row r="6240" spans="1:7" x14ac:dyDescent="0.3">
      <c r="A6240" s="24">
        <v>41118</v>
      </c>
      <c r="B6240" s="66">
        <v>1062.73867</v>
      </c>
      <c r="C6240" s="66">
        <v>1115</v>
      </c>
      <c r="D6240" s="70">
        <v>0</v>
      </c>
      <c r="E6240" s="111">
        <f t="shared" si="101"/>
        <v>138710</v>
      </c>
      <c r="F6240" s="69">
        <v>3.1635845511354434E-2</v>
      </c>
      <c r="G6240" s="69">
        <v>3.1001005025125629E-2</v>
      </c>
    </row>
    <row r="6241" spans="1:7" x14ac:dyDescent="0.3">
      <c r="A6241" s="24">
        <v>41119</v>
      </c>
      <c r="B6241" s="66">
        <v>1062.73867</v>
      </c>
      <c r="C6241" s="66">
        <v>1115</v>
      </c>
      <c r="D6241" s="70">
        <v>0</v>
      </c>
      <c r="E6241" s="111">
        <f t="shared" si="101"/>
        <v>138710</v>
      </c>
      <c r="F6241" s="69">
        <v>3.1635845511354434E-2</v>
      </c>
      <c r="G6241" s="69">
        <v>3.1001005025125629E-2</v>
      </c>
    </row>
    <row r="6242" spans="1:7" x14ac:dyDescent="0.3">
      <c r="A6242" s="24">
        <v>41120</v>
      </c>
      <c r="B6242" s="66">
        <v>1062.73867</v>
      </c>
      <c r="C6242" s="66">
        <v>1115</v>
      </c>
      <c r="D6242" s="70">
        <v>0</v>
      </c>
      <c r="E6242" s="111">
        <f t="shared" si="101"/>
        <v>138710</v>
      </c>
      <c r="F6242" s="69">
        <v>3.1635845511354434E-2</v>
      </c>
      <c r="G6242" s="69">
        <v>3.1001005025125629E-2</v>
      </c>
    </row>
    <row r="6243" spans="1:7" x14ac:dyDescent="0.3">
      <c r="A6243" s="24">
        <v>41121</v>
      </c>
      <c r="B6243" s="66">
        <v>1062.73867</v>
      </c>
      <c r="C6243" s="66">
        <v>1115</v>
      </c>
      <c r="D6243" s="70">
        <v>0</v>
      </c>
      <c r="E6243" s="111">
        <f t="shared" si="101"/>
        <v>138710</v>
      </c>
      <c r="F6243" s="69">
        <v>3.1635845511354434E-2</v>
      </c>
      <c r="G6243" s="69">
        <v>3.1001005025125629E-2</v>
      </c>
    </row>
    <row r="6244" spans="1:7" x14ac:dyDescent="0.3">
      <c r="A6244" s="24">
        <v>41122</v>
      </c>
      <c r="B6244" s="66">
        <v>1062.73867</v>
      </c>
      <c r="C6244" s="66">
        <v>1115</v>
      </c>
      <c r="D6244" s="70">
        <v>0</v>
      </c>
      <c r="E6244" s="111">
        <f t="shared" si="101"/>
        <v>138710</v>
      </c>
      <c r="F6244" s="69">
        <v>3.1635845511354434E-2</v>
      </c>
      <c r="G6244" s="69">
        <v>3.1001005025125629E-2</v>
      </c>
    </row>
    <row r="6245" spans="1:7" x14ac:dyDescent="0.3">
      <c r="A6245" s="24">
        <v>41123</v>
      </c>
      <c r="B6245" s="66">
        <v>1062.73867</v>
      </c>
      <c r="C6245" s="66">
        <v>1115</v>
      </c>
      <c r="D6245" s="70">
        <v>0</v>
      </c>
      <c r="E6245" s="111">
        <f t="shared" si="101"/>
        <v>138710</v>
      </c>
      <c r="F6245" s="69">
        <v>3.1635845511354434E-2</v>
      </c>
      <c r="G6245" s="69">
        <v>3.1001005025125629E-2</v>
      </c>
    </row>
    <row r="6246" spans="1:7" x14ac:dyDescent="0.3">
      <c r="A6246" s="24">
        <v>41124</v>
      </c>
      <c r="B6246" s="66">
        <v>1062.73867</v>
      </c>
      <c r="C6246" s="66">
        <v>1115.0999999999999</v>
      </c>
      <c r="D6246" s="70">
        <v>0</v>
      </c>
      <c r="E6246" s="111">
        <f t="shared" si="101"/>
        <v>138710</v>
      </c>
      <c r="F6246" s="69">
        <v>3.1635845511354434E-2</v>
      </c>
      <c r="G6246" s="69">
        <v>3.1001005025125629E-2</v>
      </c>
    </row>
    <row r="6247" spans="1:7" x14ac:dyDescent="0.3">
      <c r="A6247" s="24">
        <v>41125</v>
      </c>
      <c r="B6247" s="66">
        <v>1062.73867</v>
      </c>
      <c r="C6247" s="66">
        <v>1115.0999999999999</v>
      </c>
      <c r="D6247" s="70">
        <v>0</v>
      </c>
      <c r="E6247" s="111">
        <f t="shared" si="101"/>
        <v>138710</v>
      </c>
      <c r="F6247" s="69">
        <v>3.1635845511354434E-2</v>
      </c>
      <c r="G6247" s="69">
        <v>3.1001005025125629E-2</v>
      </c>
    </row>
    <row r="6248" spans="1:7" x14ac:dyDescent="0.3">
      <c r="A6248" s="24">
        <v>41126</v>
      </c>
      <c r="B6248" s="66">
        <v>1062.73867</v>
      </c>
      <c r="C6248" s="66">
        <v>1115.0999999999999</v>
      </c>
      <c r="D6248" s="70">
        <v>0</v>
      </c>
      <c r="E6248" s="111">
        <f t="shared" si="101"/>
        <v>138710</v>
      </c>
      <c r="F6248" s="69">
        <v>3.1635845511354434E-2</v>
      </c>
      <c r="G6248" s="69">
        <v>3.1001005025125629E-2</v>
      </c>
    </row>
    <row r="6249" spans="1:7" x14ac:dyDescent="0.3">
      <c r="A6249" s="24">
        <v>41127</v>
      </c>
      <c r="B6249" s="66">
        <v>1062.73867</v>
      </c>
      <c r="C6249" s="66">
        <v>1115</v>
      </c>
      <c r="D6249" s="70">
        <v>0</v>
      </c>
      <c r="E6249" s="111">
        <f t="shared" si="101"/>
        <v>138710</v>
      </c>
      <c r="F6249" s="69">
        <v>3.1635845511354434E-2</v>
      </c>
      <c r="G6249" s="69">
        <v>3.1001005025125629E-2</v>
      </c>
    </row>
    <row r="6250" spans="1:7" x14ac:dyDescent="0.3">
      <c r="A6250" s="24">
        <v>41128</v>
      </c>
      <c r="B6250" s="66">
        <v>1062.73867</v>
      </c>
      <c r="C6250" s="66">
        <v>1114.9000000000001</v>
      </c>
      <c r="D6250" s="70">
        <v>0</v>
      </c>
      <c r="E6250" s="111">
        <f t="shared" si="101"/>
        <v>138710</v>
      </c>
      <c r="F6250" s="69">
        <v>3.1635845511354434E-2</v>
      </c>
      <c r="G6250" s="69">
        <v>3.1001005025125629E-2</v>
      </c>
    </row>
    <row r="6251" spans="1:7" x14ac:dyDescent="0.3">
      <c r="A6251" s="24">
        <v>41129</v>
      </c>
      <c r="B6251" s="66">
        <v>1062.73867</v>
      </c>
      <c r="C6251" s="66">
        <v>1115</v>
      </c>
      <c r="D6251" s="70">
        <v>0</v>
      </c>
      <c r="E6251" s="111">
        <f t="shared" si="101"/>
        <v>138710</v>
      </c>
      <c r="F6251" s="69">
        <v>3.1635845511354434E-2</v>
      </c>
      <c r="G6251" s="69">
        <v>3.1001005025125629E-2</v>
      </c>
    </row>
    <row r="6252" spans="1:7" x14ac:dyDescent="0.3">
      <c r="A6252" s="24">
        <v>41130</v>
      </c>
      <c r="B6252" s="66">
        <v>1062.73867</v>
      </c>
      <c r="C6252" s="66">
        <v>1115</v>
      </c>
      <c r="D6252" s="70">
        <v>0</v>
      </c>
      <c r="E6252" s="111">
        <f t="shared" si="101"/>
        <v>138710</v>
      </c>
      <c r="F6252" s="69">
        <v>3.1635845511354434E-2</v>
      </c>
      <c r="G6252" s="69">
        <v>3.1001005025125629E-2</v>
      </c>
    </row>
    <row r="6253" spans="1:7" x14ac:dyDescent="0.3">
      <c r="A6253" s="24">
        <v>41131</v>
      </c>
      <c r="B6253" s="66">
        <v>1062.73867</v>
      </c>
      <c r="C6253" s="66">
        <v>1114.9000000000001</v>
      </c>
      <c r="D6253" s="70">
        <v>0</v>
      </c>
      <c r="E6253" s="111">
        <f t="shared" si="101"/>
        <v>138710</v>
      </c>
      <c r="F6253" s="69">
        <v>3.1635845511354434E-2</v>
      </c>
      <c r="G6253" s="69">
        <v>3.1001005025125629E-2</v>
      </c>
    </row>
    <row r="6254" spans="1:7" x14ac:dyDescent="0.3">
      <c r="A6254" s="24">
        <v>41132</v>
      </c>
      <c r="B6254" s="66">
        <v>1062.73867</v>
      </c>
      <c r="C6254" s="66">
        <v>1114.9000000000001</v>
      </c>
      <c r="D6254" s="70">
        <v>0</v>
      </c>
      <c r="E6254" s="111">
        <f t="shared" si="101"/>
        <v>138710</v>
      </c>
      <c r="F6254" s="69">
        <v>3.1635845511354434E-2</v>
      </c>
      <c r="G6254" s="69">
        <v>3.1001005025125629E-2</v>
      </c>
    </row>
    <row r="6255" spans="1:7" x14ac:dyDescent="0.3">
      <c r="A6255" s="24">
        <v>41133</v>
      </c>
      <c r="B6255" s="66">
        <v>1062.73867</v>
      </c>
      <c r="C6255" s="66">
        <v>1114.9000000000001</v>
      </c>
      <c r="D6255" s="70">
        <v>0</v>
      </c>
      <c r="E6255" s="111">
        <f t="shared" si="101"/>
        <v>138710</v>
      </c>
      <c r="F6255" s="69">
        <v>3.1635845511354434E-2</v>
      </c>
      <c r="G6255" s="69">
        <v>3.1001005025125629E-2</v>
      </c>
    </row>
    <row r="6256" spans="1:7" x14ac:dyDescent="0.3">
      <c r="A6256" s="24">
        <v>41134</v>
      </c>
      <c r="B6256" s="66">
        <v>1062.73867</v>
      </c>
      <c r="C6256" s="66">
        <v>1115</v>
      </c>
      <c r="D6256" s="70">
        <v>0</v>
      </c>
      <c r="E6256" s="111">
        <f t="shared" si="101"/>
        <v>138710</v>
      </c>
      <c r="F6256" s="69">
        <v>3.1635845511354434E-2</v>
      </c>
      <c r="G6256" s="69">
        <v>3.1001005025125629E-2</v>
      </c>
    </row>
    <row r="6257" spans="1:7" x14ac:dyDescent="0.3">
      <c r="A6257" s="24">
        <v>41135</v>
      </c>
      <c r="B6257" s="66">
        <v>1062.73867</v>
      </c>
      <c r="C6257" s="66">
        <v>1115</v>
      </c>
      <c r="D6257" s="70">
        <v>0</v>
      </c>
      <c r="E6257" s="111">
        <f t="shared" si="101"/>
        <v>138710</v>
      </c>
      <c r="F6257" s="69">
        <v>3.1635845511354434E-2</v>
      </c>
      <c r="G6257" s="69">
        <v>3.1032193158953721E-2</v>
      </c>
    </row>
    <row r="6258" spans="1:7" x14ac:dyDescent="0.3">
      <c r="A6258" s="24">
        <v>41136</v>
      </c>
      <c r="B6258" s="66">
        <v>1062.73867</v>
      </c>
      <c r="C6258" s="66">
        <v>1115</v>
      </c>
      <c r="D6258" s="70">
        <v>0</v>
      </c>
      <c r="E6258" s="111">
        <f t="shared" si="101"/>
        <v>138710</v>
      </c>
      <c r="F6258" s="69">
        <v>3.1635845511354434E-2</v>
      </c>
      <c r="G6258" s="69">
        <v>3.1032193158953721E-2</v>
      </c>
    </row>
    <row r="6259" spans="1:7" x14ac:dyDescent="0.3">
      <c r="A6259" s="24">
        <v>41137</v>
      </c>
      <c r="B6259" s="66">
        <v>1062.73867</v>
      </c>
      <c r="C6259" s="66">
        <v>1114.9000000000001</v>
      </c>
      <c r="D6259" s="70">
        <v>0</v>
      </c>
      <c r="E6259" s="111">
        <f t="shared" si="101"/>
        <v>138710</v>
      </c>
      <c r="F6259" s="69">
        <v>3.1635845511354434E-2</v>
      </c>
      <c r="G6259" s="69">
        <v>3.1032193158953721E-2</v>
      </c>
    </row>
    <row r="6260" spans="1:7" x14ac:dyDescent="0.3">
      <c r="A6260" s="24">
        <v>41138</v>
      </c>
      <c r="B6260" s="66">
        <v>1062.73867</v>
      </c>
      <c r="C6260" s="66">
        <v>1114.8</v>
      </c>
      <c r="D6260" s="70">
        <v>0</v>
      </c>
      <c r="E6260" s="111">
        <f t="shared" si="101"/>
        <v>138710</v>
      </c>
      <c r="F6260" s="69">
        <v>3.1635845511354434E-2</v>
      </c>
      <c r="G6260" s="69">
        <v>3.1032193158953721E-2</v>
      </c>
    </row>
    <row r="6261" spans="1:7" x14ac:dyDescent="0.3">
      <c r="A6261" s="24">
        <v>41139</v>
      </c>
      <c r="B6261" s="66">
        <v>1062.73867</v>
      </c>
      <c r="C6261" s="66">
        <v>1114.8</v>
      </c>
      <c r="D6261" s="70">
        <v>0</v>
      </c>
      <c r="E6261" s="111">
        <f t="shared" si="101"/>
        <v>138710</v>
      </c>
      <c r="F6261" s="69">
        <v>3.1635845511354434E-2</v>
      </c>
      <c r="G6261" s="69">
        <v>3.1032193158953721E-2</v>
      </c>
    </row>
    <row r="6262" spans="1:7" x14ac:dyDescent="0.3">
      <c r="A6262" s="24">
        <v>41140</v>
      </c>
      <c r="B6262" s="66">
        <v>1062.73867</v>
      </c>
      <c r="C6262" s="66">
        <v>1114.8</v>
      </c>
      <c r="D6262" s="70">
        <v>0</v>
      </c>
      <c r="E6262" s="111">
        <f t="shared" si="101"/>
        <v>138710</v>
      </c>
      <c r="F6262" s="69">
        <v>3.1635845511354434E-2</v>
      </c>
      <c r="G6262" s="69">
        <v>3.1032193158953721E-2</v>
      </c>
    </row>
    <row r="6263" spans="1:7" x14ac:dyDescent="0.3">
      <c r="A6263" s="24">
        <v>41141</v>
      </c>
      <c r="B6263" s="66">
        <v>1062.73867</v>
      </c>
      <c r="C6263" s="66">
        <v>1114.9000000000001</v>
      </c>
      <c r="D6263" s="70">
        <v>0</v>
      </c>
      <c r="E6263" s="111">
        <f t="shared" si="101"/>
        <v>138710</v>
      </c>
      <c r="F6263" s="69">
        <v>3.1635845511354434E-2</v>
      </c>
      <c r="G6263" s="69">
        <v>3.1032193158953721E-2</v>
      </c>
    </row>
    <row r="6264" spans="1:7" x14ac:dyDescent="0.3">
      <c r="A6264" s="24">
        <v>41142</v>
      </c>
      <c r="B6264" s="66">
        <v>1062.73867</v>
      </c>
      <c r="C6264" s="66">
        <v>1105.2</v>
      </c>
      <c r="D6264" s="70">
        <v>0</v>
      </c>
      <c r="E6264" s="111">
        <f t="shared" si="101"/>
        <v>138710</v>
      </c>
      <c r="F6264" s="69">
        <v>3.1635845511354434E-2</v>
      </c>
      <c r="G6264" s="69">
        <v>3.1032193158953721E-2</v>
      </c>
    </row>
    <row r="6265" spans="1:7" x14ac:dyDescent="0.3">
      <c r="A6265" s="24">
        <v>41143</v>
      </c>
      <c r="B6265" s="66">
        <v>1062.73867</v>
      </c>
      <c r="C6265" s="66">
        <v>1115</v>
      </c>
      <c r="D6265" s="70">
        <v>0</v>
      </c>
      <c r="E6265" s="111">
        <f t="shared" si="101"/>
        <v>138710</v>
      </c>
      <c r="F6265" s="69">
        <v>3.1635845511354434E-2</v>
      </c>
      <c r="G6265" s="69">
        <v>3.1032193158953721E-2</v>
      </c>
    </row>
    <row r="6266" spans="1:7" x14ac:dyDescent="0.3">
      <c r="A6266" s="24">
        <v>41144</v>
      </c>
      <c r="B6266" s="66">
        <v>1062.73867</v>
      </c>
      <c r="C6266" s="66">
        <v>1115</v>
      </c>
      <c r="D6266" s="70">
        <v>0</v>
      </c>
      <c r="E6266" s="111">
        <f t="shared" si="101"/>
        <v>138710</v>
      </c>
      <c r="F6266" s="69">
        <v>3.1635845511354434E-2</v>
      </c>
      <c r="G6266" s="69">
        <v>3.1032193158953721E-2</v>
      </c>
    </row>
    <row r="6267" spans="1:7" x14ac:dyDescent="0.3">
      <c r="A6267" s="24">
        <v>41145</v>
      </c>
      <c r="B6267" s="66">
        <v>1062.73867</v>
      </c>
      <c r="C6267" s="66">
        <v>1114.9000000000001</v>
      </c>
      <c r="D6267" s="70">
        <v>0</v>
      </c>
      <c r="E6267" s="111">
        <f t="shared" si="101"/>
        <v>138710</v>
      </c>
      <c r="F6267" s="69">
        <v>3.1635845511354434E-2</v>
      </c>
      <c r="G6267" s="69">
        <v>3.1032193158953721E-2</v>
      </c>
    </row>
    <row r="6268" spans="1:7" x14ac:dyDescent="0.3">
      <c r="A6268" s="24">
        <v>41146</v>
      </c>
      <c r="B6268" s="66">
        <v>1062.73867</v>
      </c>
      <c r="C6268" s="66">
        <v>1114.9000000000001</v>
      </c>
      <c r="D6268" s="70">
        <v>0</v>
      </c>
      <c r="E6268" s="111">
        <f t="shared" si="101"/>
        <v>138710</v>
      </c>
      <c r="F6268" s="69">
        <v>3.1635845511354434E-2</v>
      </c>
      <c r="G6268" s="69">
        <v>3.1032193158953721E-2</v>
      </c>
    </row>
    <row r="6269" spans="1:7" x14ac:dyDescent="0.3">
      <c r="A6269" s="24">
        <v>41147</v>
      </c>
      <c r="B6269" s="66">
        <v>1062.73867</v>
      </c>
      <c r="C6269" s="66">
        <v>1114.9000000000001</v>
      </c>
      <c r="D6269" s="70">
        <v>0</v>
      </c>
      <c r="E6269" s="111">
        <f t="shared" si="101"/>
        <v>138710</v>
      </c>
      <c r="F6269" s="69">
        <v>3.1635845511354434E-2</v>
      </c>
      <c r="G6269" s="69">
        <v>3.1032193158953721E-2</v>
      </c>
    </row>
    <row r="6270" spans="1:7" x14ac:dyDescent="0.3">
      <c r="A6270" s="24">
        <v>41148</v>
      </c>
      <c r="B6270" s="66">
        <v>1062.73867</v>
      </c>
      <c r="C6270" s="66">
        <v>1114.9000000000001</v>
      </c>
      <c r="D6270" s="70">
        <v>0</v>
      </c>
      <c r="E6270" s="111">
        <f t="shared" si="101"/>
        <v>138710</v>
      </c>
      <c r="F6270" s="69">
        <v>3.1635845511354434E-2</v>
      </c>
      <c r="G6270" s="69">
        <v>3.0969879518072289E-2</v>
      </c>
    </row>
    <row r="6271" spans="1:7" x14ac:dyDescent="0.3">
      <c r="A6271" s="24">
        <v>41149</v>
      </c>
      <c r="B6271" s="66">
        <v>1062.73867</v>
      </c>
      <c r="C6271" s="66">
        <v>1100</v>
      </c>
      <c r="D6271" s="70">
        <v>0</v>
      </c>
      <c r="E6271" s="111">
        <f t="shared" si="101"/>
        <v>138710</v>
      </c>
      <c r="F6271" s="69">
        <v>3.1635845511354434E-2</v>
      </c>
      <c r="G6271" s="69">
        <v>3.0969879518072289E-2</v>
      </c>
    </row>
    <row r="6272" spans="1:7" x14ac:dyDescent="0.3">
      <c r="A6272" s="24">
        <v>41150</v>
      </c>
      <c r="B6272" s="66">
        <v>1062.73867</v>
      </c>
      <c r="C6272" s="66">
        <v>1100</v>
      </c>
      <c r="D6272" s="70">
        <v>0</v>
      </c>
      <c r="E6272" s="111">
        <f t="shared" si="101"/>
        <v>138710</v>
      </c>
      <c r="F6272" s="69">
        <v>3.1635845511354434E-2</v>
      </c>
      <c r="G6272" s="69">
        <v>3.0969879518072289E-2</v>
      </c>
    </row>
    <row r="6273" spans="1:7" x14ac:dyDescent="0.3">
      <c r="A6273" s="24">
        <v>41151</v>
      </c>
      <c r="B6273" s="66">
        <v>1062.73867</v>
      </c>
      <c r="C6273" s="66">
        <v>1100</v>
      </c>
      <c r="D6273" s="70">
        <v>0</v>
      </c>
      <c r="E6273" s="111">
        <f t="shared" si="101"/>
        <v>138710</v>
      </c>
      <c r="F6273" s="69">
        <v>3.1635845511354434E-2</v>
      </c>
      <c r="G6273" s="69">
        <v>3.0969879518072289E-2</v>
      </c>
    </row>
    <row r="6274" spans="1:7" x14ac:dyDescent="0.3">
      <c r="A6274" s="24">
        <v>41152</v>
      </c>
      <c r="B6274" s="66">
        <v>1062.73867</v>
      </c>
      <c r="C6274" s="66">
        <v>1099.9000000000001</v>
      </c>
      <c r="D6274" s="70">
        <v>0</v>
      </c>
      <c r="E6274" s="111">
        <f t="shared" si="101"/>
        <v>138710</v>
      </c>
      <c r="F6274" s="69">
        <v>3.1635845511354434E-2</v>
      </c>
      <c r="G6274" s="69">
        <v>3.0907815631262527E-2</v>
      </c>
    </row>
    <row r="6275" spans="1:7" x14ac:dyDescent="0.3">
      <c r="A6275" s="24">
        <v>41153</v>
      </c>
      <c r="B6275" s="66">
        <v>1062.73867</v>
      </c>
      <c r="C6275" s="66">
        <v>1099.9000000000001</v>
      </c>
      <c r="D6275" s="70">
        <v>0</v>
      </c>
      <c r="E6275" s="111">
        <f t="shared" si="101"/>
        <v>138710</v>
      </c>
      <c r="F6275" s="69">
        <v>3.1635845511354434E-2</v>
      </c>
      <c r="G6275" s="69">
        <v>3.0907815631262527E-2</v>
      </c>
    </row>
    <row r="6276" spans="1:7" x14ac:dyDescent="0.3">
      <c r="A6276" s="24">
        <v>41154</v>
      </c>
      <c r="B6276" s="66">
        <v>1062.73867</v>
      </c>
      <c r="C6276" s="66">
        <v>1099.9000000000001</v>
      </c>
      <c r="D6276" s="70">
        <v>0</v>
      </c>
      <c r="E6276" s="111">
        <f t="shared" si="101"/>
        <v>138710</v>
      </c>
      <c r="F6276" s="69">
        <v>3.1635845511354434E-2</v>
      </c>
      <c r="G6276" s="69">
        <v>3.0907815631262527E-2</v>
      </c>
    </row>
    <row r="6277" spans="1:7" x14ac:dyDescent="0.3">
      <c r="A6277" s="24">
        <v>41155</v>
      </c>
      <c r="B6277" s="66">
        <v>1062.73867</v>
      </c>
      <c r="C6277" s="66">
        <v>1060</v>
      </c>
      <c r="D6277" s="70">
        <v>0</v>
      </c>
      <c r="E6277" s="111">
        <f t="shared" si="101"/>
        <v>138710</v>
      </c>
      <c r="F6277" s="69">
        <v>3.1635845511354434E-2</v>
      </c>
      <c r="G6277" s="69">
        <v>3.0907815631262527E-2</v>
      </c>
    </row>
    <row r="6278" spans="1:7" x14ac:dyDescent="0.3">
      <c r="A6278" s="24">
        <v>41156</v>
      </c>
      <c r="B6278" s="66">
        <v>1062.73867</v>
      </c>
      <c r="C6278" s="66">
        <v>1099.9000000000001</v>
      </c>
      <c r="D6278" s="70">
        <v>0</v>
      </c>
      <c r="E6278" s="111">
        <f t="shared" si="101"/>
        <v>138710</v>
      </c>
      <c r="F6278" s="69">
        <v>3.1635845511354434E-2</v>
      </c>
      <c r="G6278" s="69">
        <v>3.0907815631262527E-2</v>
      </c>
    </row>
    <row r="6279" spans="1:7" x14ac:dyDescent="0.3">
      <c r="A6279" s="24">
        <v>41157</v>
      </c>
      <c r="B6279" s="66">
        <v>1062.73867</v>
      </c>
      <c r="C6279" s="66">
        <v>1099.9000000000001</v>
      </c>
      <c r="D6279" s="70">
        <v>0</v>
      </c>
      <c r="E6279" s="111">
        <f t="shared" si="101"/>
        <v>138710</v>
      </c>
      <c r="F6279" s="69">
        <v>3.1635845511354434E-2</v>
      </c>
      <c r="G6279" s="69">
        <v>3.0907815631262527E-2</v>
      </c>
    </row>
    <row r="6280" spans="1:7" x14ac:dyDescent="0.3">
      <c r="A6280" s="24">
        <v>41158</v>
      </c>
      <c r="B6280" s="66">
        <v>1062.73867</v>
      </c>
      <c r="C6280" s="66">
        <v>1100</v>
      </c>
      <c r="D6280" s="70">
        <v>0</v>
      </c>
      <c r="E6280" s="111">
        <f t="shared" si="101"/>
        <v>138710</v>
      </c>
      <c r="F6280" s="69">
        <v>3.1635845511354434E-2</v>
      </c>
      <c r="G6280" s="69">
        <v>3.0907815631262527E-2</v>
      </c>
    </row>
    <row r="6281" spans="1:7" x14ac:dyDescent="0.3">
      <c r="A6281" s="24">
        <v>41159</v>
      </c>
      <c r="B6281" s="66">
        <v>1062.73867</v>
      </c>
      <c r="C6281" s="66">
        <v>1100</v>
      </c>
      <c r="D6281" s="70">
        <v>0</v>
      </c>
      <c r="E6281" s="111">
        <f t="shared" ref="E6281:E6344" si="102">+E6280</f>
        <v>138710</v>
      </c>
      <c r="F6281" s="69">
        <v>3.1635845511354434E-2</v>
      </c>
      <c r="G6281" s="69">
        <v>3.0892338507761644E-2</v>
      </c>
    </row>
    <row r="6282" spans="1:7" x14ac:dyDescent="0.3">
      <c r="A6282" s="24">
        <v>41160</v>
      </c>
      <c r="B6282" s="66">
        <v>1062.73867</v>
      </c>
      <c r="C6282" s="66">
        <v>1100</v>
      </c>
      <c r="D6282" s="70">
        <v>0</v>
      </c>
      <c r="E6282" s="111">
        <f t="shared" si="102"/>
        <v>138710</v>
      </c>
      <c r="F6282" s="69">
        <v>3.1635845511354434E-2</v>
      </c>
      <c r="G6282" s="69">
        <v>3.0892338507761644E-2</v>
      </c>
    </row>
    <row r="6283" spans="1:7" x14ac:dyDescent="0.3">
      <c r="A6283" s="24">
        <v>41161</v>
      </c>
      <c r="B6283" s="66">
        <v>1062.73867</v>
      </c>
      <c r="C6283" s="66">
        <v>1100</v>
      </c>
      <c r="D6283" s="70">
        <v>0</v>
      </c>
      <c r="E6283" s="111">
        <f t="shared" si="102"/>
        <v>138710</v>
      </c>
      <c r="F6283" s="69">
        <v>3.1635845511354434E-2</v>
      </c>
      <c r="G6283" s="69">
        <v>3.0892338507761644E-2</v>
      </c>
    </row>
    <row r="6284" spans="1:7" x14ac:dyDescent="0.3">
      <c r="A6284" s="24">
        <v>41162</v>
      </c>
      <c r="B6284" s="66">
        <v>1062.73867</v>
      </c>
      <c r="C6284" s="66">
        <v>1090</v>
      </c>
      <c r="D6284" s="70">
        <v>0</v>
      </c>
      <c r="E6284" s="111">
        <f t="shared" si="102"/>
        <v>138710</v>
      </c>
      <c r="F6284" s="69">
        <v>3.1635845511354434E-2</v>
      </c>
      <c r="G6284" s="69">
        <v>3.0892338507761644E-2</v>
      </c>
    </row>
    <row r="6285" spans="1:7" x14ac:dyDescent="0.3">
      <c r="A6285" s="24">
        <v>41163</v>
      </c>
      <c r="B6285" s="66">
        <v>1062.73867</v>
      </c>
      <c r="C6285" s="66">
        <v>1100</v>
      </c>
      <c r="D6285" s="70">
        <v>0</v>
      </c>
      <c r="E6285" s="111">
        <f t="shared" si="102"/>
        <v>138710</v>
      </c>
      <c r="F6285" s="69">
        <v>3.1635845511354434E-2</v>
      </c>
      <c r="G6285" s="69">
        <v>3.0892338507761644E-2</v>
      </c>
    </row>
    <row r="6286" spans="1:7" x14ac:dyDescent="0.3">
      <c r="A6286" s="24">
        <v>41164</v>
      </c>
      <c r="B6286" s="66">
        <v>1062.73867</v>
      </c>
      <c r="C6286" s="66">
        <v>1100</v>
      </c>
      <c r="D6286" s="70">
        <v>0</v>
      </c>
      <c r="E6286" s="111">
        <f t="shared" si="102"/>
        <v>138710</v>
      </c>
      <c r="F6286" s="69">
        <v>3.1635845511354434E-2</v>
      </c>
      <c r="G6286" s="69">
        <v>3.0892338507761644E-2</v>
      </c>
    </row>
    <row r="6287" spans="1:7" x14ac:dyDescent="0.3">
      <c r="A6287" s="24">
        <v>41165</v>
      </c>
      <c r="B6287" s="66">
        <v>1062.73867</v>
      </c>
      <c r="C6287" s="66">
        <v>1100</v>
      </c>
      <c r="D6287" s="70">
        <v>0</v>
      </c>
      <c r="E6287" s="111">
        <f t="shared" si="102"/>
        <v>138710</v>
      </c>
      <c r="F6287" s="69">
        <v>3.1635845511354434E-2</v>
      </c>
      <c r="G6287" s="69">
        <v>3.0892338507761644E-2</v>
      </c>
    </row>
    <row r="6288" spans="1:7" x14ac:dyDescent="0.3">
      <c r="A6288" s="24">
        <v>41166</v>
      </c>
      <c r="B6288" s="66">
        <v>1062.73867</v>
      </c>
      <c r="C6288" s="66">
        <v>1100</v>
      </c>
      <c r="D6288" s="70">
        <v>0</v>
      </c>
      <c r="E6288" s="111">
        <f t="shared" si="102"/>
        <v>138710</v>
      </c>
      <c r="F6288" s="69">
        <v>3.1635845511354434E-2</v>
      </c>
      <c r="G6288" s="69">
        <v>3.0815184815184814E-2</v>
      </c>
    </row>
    <row r="6289" spans="1:7" x14ac:dyDescent="0.3">
      <c r="A6289" s="24">
        <v>41167</v>
      </c>
      <c r="B6289" s="66">
        <v>1062.73867</v>
      </c>
      <c r="C6289" s="66">
        <v>1100</v>
      </c>
      <c r="D6289" s="70">
        <v>0</v>
      </c>
      <c r="E6289" s="111">
        <f t="shared" si="102"/>
        <v>138710</v>
      </c>
      <c r="F6289" s="69">
        <v>3.1635845511354434E-2</v>
      </c>
      <c r="G6289" s="69">
        <v>3.0815184815184814E-2</v>
      </c>
    </row>
    <row r="6290" spans="1:7" x14ac:dyDescent="0.3">
      <c r="A6290" s="24">
        <v>41168</v>
      </c>
      <c r="B6290" s="66">
        <v>1062.73867</v>
      </c>
      <c r="C6290" s="66">
        <v>1100</v>
      </c>
      <c r="D6290" s="70">
        <v>0</v>
      </c>
      <c r="E6290" s="111">
        <f t="shared" si="102"/>
        <v>138710</v>
      </c>
      <c r="F6290" s="69">
        <v>3.1635845511354434E-2</v>
      </c>
      <c r="G6290" s="69">
        <v>3.0815184815184814E-2</v>
      </c>
    </row>
    <row r="6291" spans="1:7" x14ac:dyDescent="0.3">
      <c r="A6291" s="24">
        <v>41169</v>
      </c>
      <c r="B6291" s="66">
        <v>1062.73867</v>
      </c>
      <c r="C6291" s="66">
        <v>1100</v>
      </c>
      <c r="D6291" s="70">
        <v>0</v>
      </c>
      <c r="E6291" s="111">
        <f t="shared" si="102"/>
        <v>138710</v>
      </c>
      <c r="F6291" s="69">
        <v>3.1635845511354434E-2</v>
      </c>
      <c r="G6291" s="69">
        <v>3.0815184815184814E-2</v>
      </c>
    </row>
    <row r="6292" spans="1:7" x14ac:dyDescent="0.3">
      <c r="A6292" s="24">
        <v>41170</v>
      </c>
      <c r="B6292" s="66">
        <v>1062.73867</v>
      </c>
      <c r="C6292" s="66">
        <v>1100</v>
      </c>
      <c r="D6292" s="70">
        <v>0</v>
      </c>
      <c r="E6292" s="111">
        <f t="shared" si="102"/>
        <v>138710</v>
      </c>
      <c r="F6292" s="69">
        <v>3.1635845511354434E-2</v>
      </c>
      <c r="G6292" s="69">
        <v>3.0815184815184814E-2</v>
      </c>
    </row>
    <row r="6293" spans="1:7" x14ac:dyDescent="0.3">
      <c r="A6293" s="24">
        <v>41171</v>
      </c>
      <c r="B6293" s="66">
        <v>1062.73867</v>
      </c>
      <c r="C6293" s="66">
        <v>1100</v>
      </c>
      <c r="D6293" s="70">
        <v>0</v>
      </c>
      <c r="E6293" s="111">
        <f t="shared" si="102"/>
        <v>138710</v>
      </c>
      <c r="F6293" s="69">
        <v>3.1635845511354434E-2</v>
      </c>
      <c r="G6293" s="69">
        <v>3.0815184815184814E-2</v>
      </c>
    </row>
    <row r="6294" spans="1:7" x14ac:dyDescent="0.3">
      <c r="A6294" s="24">
        <v>41172</v>
      </c>
      <c r="B6294" s="66">
        <v>1062.73867</v>
      </c>
      <c r="C6294" s="66">
        <v>1090</v>
      </c>
      <c r="D6294" s="70">
        <v>0</v>
      </c>
      <c r="E6294" s="111">
        <f t="shared" si="102"/>
        <v>138710</v>
      </c>
      <c r="F6294" s="69">
        <v>3.1635845511354434E-2</v>
      </c>
      <c r="G6294" s="69">
        <v>3.0815184815184814E-2</v>
      </c>
    </row>
    <row r="6295" spans="1:7" x14ac:dyDescent="0.3">
      <c r="A6295" s="24">
        <v>41173</v>
      </c>
      <c r="B6295" s="66">
        <v>1062.73867</v>
      </c>
      <c r="C6295" s="66">
        <v>1090</v>
      </c>
      <c r="D6295" s="70">
        <v>0</v>
      </c>
      <c r="E6295" s="111">
        <f t="shared" si="102"/>
        <v>138710</v>
      </c>
      <c r="F6295" s="69">
        <v>3.1635845511354434E-2</v>
      </c>
      <c r="G6295" s="69">
        <v>3.0815184815184814E-2</v>
      </c>
    </row>
    <row r="6296" spans="1:7" x14ac:dyDescent="0.3">
      <c r="A6296" s="24">
        <v>41174</v>
      </c>
      <c r="B6296" s="66">
        <v>1062.73867</v>
      </c>
      <c r="C6296" s="66">
        <v>1090</v>
      </c>
      <c r="D6296" s="70">
        <v>0</v>
      </c>
      <c r="E6296" s="111">
        <f t="shared" si="102"/>
        <v>138710</v>
      </c>
      <c r="F6296" s="69">
        <v>3.1635845511354434E-2</v>
      </c>
      <c r="G6296" s="69">
        <v>3.0815184815184814E-2</v>
      </c>
    </row>
    <row r="6297" spans="1:7" x14ac:dyDescent="0.3">
      <c r="A6297" s="24">
        <v>41175</v>
      </c>
      <c r="B6297" s="66">
        <v>1062.73867</v>
      </c>
      <c r="C6297" s="66">
        <v>1090</v>
      </c>
      <c r="D6297" s="70">
        <v>0</v>
      </c>
      <c r="E6297" s="111">
        <f t="shared" si="102"/>
        <v>138710</v>
      </c>
      <c r="F6297" s="69">
        <v>3.1635845511354434E-2</v>
      </c>
      <c r="G6297" s="69">
        <v>3.0815184815184814E-2</v>
      </c>
    </row>
    <row r="6298" spans="1:7" x14ac:dyDescent="0.3">
      <c r="A6298" s="24">
        <v>41176</v>
      </c>
      <c r="B6298" s="66">
        <v>1062.73867</v>
      </c>
      <c r="C6298" s="66">
        <v>1090</v>
      </c>
      <c r="D6298" s="70">
        <v>0</v>
      </c>
      <c r="E6298" s="111">
        <f t="shared" si="102"/>
        <v>138710</v>
      </c>
      <c r="F6298" s="69">
        <v>3.1635845511354434E-2</v>
      </c>
      <c r="G6298" s="69">
        <v>3.0815184815184814E-2</v>
      </c>
    </row>
    <row r="6299" spans="1:7" x14ac:dyDescent="0.3">
      <c r="A6299" s="24">
        <v>41177</v>
      </c>
      <c r="B6299" s="66">
        <v>1062.73867</v>
      </c>
      <c r="C6299" s="66">
        <v>1090</v>
      </c>
      <c r="D6299" s="70">
        <v>0</v>
      </c>
      <c r="E6299" s="111">
        <f t="shared" si="102"/>
        <v>138710</v>
      </c>
      <c r="F6299" s="69">
        <v>3.1635845511354434E-2</v>
      </c>
      <c r="G6299" s="69">
        <v>3.0815184815184814E-2</v>
      </c>
    </row>
    <row r="6300" spans="1:7" x14ac:dyDescent="0.3">
      <c r="A6300" s="24">
        <v>41178</v>
      </c>
      <c r="B6300" s="66">
        <v>1062.73867</v>
      </c>
      <c r="C6300" s="66">
        <v>1089.9000000000001</v>
      </c>
      <c r="D6300" s="70">
        <v>0</v>
      </c>
      <c r="E6300" s="111">
        <f t="shared" si="102"/>
        <v>138710</v>
      </c>
      <c r="F6300" s="69">
        <v>3.1635845511354434E-2</v>
      </c>
      <c r="G6300" s="69">
        <v>3.0815184815184814E-2</v>
      </c>
    </row>
    <row r="6301" spans="1:7" x14ac:dyDescent="0.3">
      <c r="A6301" s="24">
        <v>41179</v>
      </c>
      <c r="B6301" s="66">
        <v>1062.73867</v>
      </c>
      <c r="C6301" s="66">
        <v>1089.5</v>
      </c>
      <c r="D6301" s="70">
        <v>0</v>
      </c>
      <c r="E6301" s="111">
        <f t="shared" si="102"/>
        <v>138710</v>
      </c>
      <c r="F6301" s="69">
        <v>3.1635845511354434E-2</v>
      </c>
      <c r="G6301" s="69">
        <v>2.9377142857142859E-2</v>
      </c>
    </row>
    <row r="6302" spans="1:7" x14ac:dyDescent="0.3">
      <c r="A6302" s="24">
        <v>41180</v>
      </c>
      <c r="B6302" s="66">
        <v>1062.73867</v>
      </c>
      <c r="C6302" s="66">
        <v>1090</v>
      </c>
      <c r="D6302" s="70">
        <v>6</v>
      </c>
      <c r="E6302" s="111">
        <f t="shared" si="102"/>
        <v>138710</v>
      </c>
      <c r="F6302" s="69">
        <v>3.0817137294243385E-2</v>
      </c>
      <c r="G6302" s="69">
        <v>3.0315686274509805E-2</v>
      </c>
    </row>
    <row r="6303" spans="1:7" x14ac:dyDescent="0.3">
      <c r="A6303" s="24">
        <v>41181</v>
      </c>
      <c r="B6303" s="66">
        <v>1062.73867</v>
      </c>
      <c r="C6303" s="66">
        <v>1090</v>
      </c>
      <c r="D6303" s="70">
        <v>0</v>
      </c>
      <c r="E6303" s="111">
        <f t="shared" si="102"/>
        <v>138710</v>
      </c>
      <c r="F6303" s="69">
        <v>3.0817137294243385E-2</v>
      </c>
      <c r="G6303" s="69">
        <v>3.0315686274509805E-2</v>
      </c>
    </row>
    <row r="6304" spans="1:7" x14ac:dyDescent="0.3">
      <c r="A6304" s="24">
        <v>41182</v>
      </c>
      <c r="B6304" s="66">
        <v>1068.91299</v>
      </c>
      <c r="C6304" s="66">
        <v>1090</v>
      </c>
      <c r="D6304" s="70">
        <v>0</v>
      </c>
      <c r="E6304" s="111">
        <f t="shared" si="102"/>
        <v>138710</v>
      </c>
      <c r="F6304" s="69">
        <v>3.0817137294243385E-2</v>
      </c>
      <c r="G6304" s="69">
        <v>3.0315686274509805E-2</v>
      </c>
    </row>
    <row r="6305" spans="1:7" x14ac:dyDescent="0.3">
      <c r="A6305" s="24">
        <v>41183</v>
      </c>
      <c r="B6305" s="66">
        <v>1068.91299</v>
      </c>
      <c r="C6305" s="66">
        <v>1070</v>
      </c>
      <c r="D6305" s="70">
        <v>0</v>
      </c>
      <c r="E6305" s="111">
        <f t="shared" si="102"/>
        <v>138710</v>
      </c>
      <c r="F6305" s="69">
        <v>3.0817137294243385E-2</v>
      </c>
      <c r="G6305" s="69">
        <v>3.0661378284581063E-2</v>
      </c>
    </row>
    <row r="6306" spans="1:7" x14ac:dyDescent="0.3">
      <c r="A6306" s="24">
        <v>41184</v>
      </c>
      <c r="B6306" s="66">
        <v>1068.91299</v>
      </c>
      <c r="C6306" s="66">
        <v>1080</v>
      </c>
      <c r="D6306" s="70">
        <v>0</v>
      </c>
      <c r="E6306" s="111">
        <f t="shared" si="102"/>
        <v>138710</v>
      </c>
      <c r="F6306" s="69">
        <v>3.0817137294243385E-2</v>
      </c>
      <c r="G6306" s="69">
        <v>3.0661378284581063E-2</v>
      </c>
    </row>
    <row r="6307" spans="1:7" x14ac:dyDescent="0.3">
      <c r="A6307" s="24">
        <v>41185</v>
      </c>
      <c r="B6307" s="66">
        <v>1068.91299</v>
      </c>
      <c r="C6307" s="66">
        <v>1091</v>
      </c>
      <c r="D6307" s="70">
        <v>0</v>
      </c>
      <c r="E6307" s="111">
        <f t="shared" si="102"/>
        <v>138710</v>
      </c>
      <c r="F6307" s="69">
        <v>3.0817137294243385E-2</v>
      </c>
      <c r="G6307" s="69">
        <v>3.0661378284581063E-2</v>
      </c>
    </row>
    <row r="6308" spans="1:7" x14ac:dyDescent="0.3">
      <c r="A6308" s="24">
        <v>41186</v>
      </c>
      <c r="B6308" s="66">
        <v>1068.91299</v>
      </c>
      <c r="C6308" s="66">
        <v>1087.9000000000001</v>
      </c>
      <c r="D6308" s="70">
        <v>0</v>
      </c>
      <c r="E6308" s="111">
        <f t="shared" si="102"/>
        <v>138710</v>
      </c>
      <c r="F6308" s="69">
        <v>3.0817137294243385E-2</v>
      </c>
      <c r="G6308" s="69">
        <v>3.0661378284581063E-2</v>
      </c>
    </row>
    <row r="6309" spans="1:7" x14ac:dyDescent="0.3">
      <c r="A6309" s="24">
        <v>41187</v>
      </c>
      <c r="B6309" s="66">
        <v>1068.91299</v>
      </c>
      <c r="C6309" s="66">
        <v>1088</v>
      </c>
      <c r="D6309" s="70">
        <v>0</v>
      </c>
      <c r="E6309" s="111">
        <f t="shared" si="102"/>
        <v>138710</v>
      </c>
      <c r="F6309" s="69">
        <v>3.0817137294243385E-2</v>
      </c>
      <c r="G6309" s="69">
        <v>3.0573462527190034E-2</v>
      </c>
    </row>
    <row r="6310" spans="1:7" x14ac:dyDescent="0.3">
      <c r="A6310" s="24">
        <v>41188</v>
      </c>
      <c r="B6310" s="66">
        <v>1068.91299</v>
      </c>
      <c r="C6310" s="66">
        <v>1088</v>
      </c>
      <c r="D6310" s="70">
        <v>0</v>
      </c>
      <c r="E6310" s="111">
        <f t="shared" si="102"/>
        <v>138710</v>
      </c>
      <c r="F6310" s="69">
        <v>3.0817137294243385E-2</v>
      </c>
      <c r="G6310" s="69">
        <v>3.0573462527190034E-2</v>
      </c>
    </row>
    <row r="6311" spans="1:7" x14ac:dyDescent="0.3">
      <c r="A6311" s="24">
        <v>41189</v>
      </c>
      <c r="B6311" s="66">
        <v>1068.91299</v>
      </c>
      <c r="C6311" s="66">
        <v>1088</v>
      </c>
      <c r="D6311" s="70">
        <v>0</v>
      </c>
      <c r="E6311" s="111">
        <f t="shared" si="102"/>
        <v>138710</v>
      </c>
      <c r="F6311" s="69">
        <v>3.0817137294243385E-2</v>
      </c>
      <c r="G6311" s="69">
        <v>3.0573462527190034E-2</v>
      </c>
    </row>
    <row r="6312" spans="1:7" x14ac:dyDescent="0.3">
      <c r="A6312" s="24">
        <v>41190</v>
      </c>
      <c r="B6312" s="66">
        <v>1068.91299</v>
      </c>
      <c r="C6312" s="66">
        <v>1087.9000000000001</v>
      </c>
      <c r="D6312" s="70">
        <v>0</v>
      </c>
      <c r="E6312" s="111">
        <f t="shared" si="102"/>
        <v>138710</v>
      </c>
      <c r="F6312" s="69">
        <v>3.0817137294243385E-2</v>
      </c>
      <c r="G6312" s="69">
        <v>3.0573462527190034E-2</v>
      </c>
    </row>
    <row r="6313" spans="1:7" x14ac:dyDescent="0.3">
      <c r="A6313" s="24">
        <v>41191</v>
      </c>
      <c r="B6313" s="66">
        <v>1068.91299</v>
      </c>
      <c r="C6313" s="66">
        <v>1088</v>
      </c>
      <c r="D6313" s="70">
        <v>0</v>
      </c>
      <c r="E6313" s="111">
        <f t="shared" si="102"/>
        <v>138710</v>
      </c>
      <c r="F6313" s="69">
        <v>3.0817137294243385E-2</v>
      </c>
      <c r="G6313" s="69">
        <v>3.0573462527190034E-2</v>
      </c>
    </row>
    <row r="6314" spans="1:7" x14ac:dyDescent="0.3">
      <c r="A6314" s="24">
        <v>41192</v>
      </c>
      <c r="B6314" s="66">
        <v>1068.91299</v>
      </c>
      <c r="C6314" s="66">
        <v>1087.8</v>
      </c>
      <c r="D6314" s="70">
        <v>0</v>
      </c>
      <c r="E6314" s="111">
        <f t="shared" si="102"/>
        <v>138710</v>
      </c>
      <c r="F6314" s="69">
        <v>3.0817137294243385E-2</v>
      </c>
      <c r="G6314" s="69">
        <v>3.0573462527190034E-2</v>
      </c>
    </row>
    <row r="6315" spans="1:7" x14ac:dyDescent="0.3">
      <c r="A6315" s="24">
        <v>41193</v>
      </c>
      <c r="B6315" s="66">
        <v>1068.91299</v>
      </c>
      <c r="C6315" s="66">
        <v>1087.8</v>
      </c>
      <c r="D6315" s="70">
        <v>0</v>
      </c>
      <c r="E6315" s="111">
        <f t="shared" si="102"/>
        <v>138710</v>
      </c>
      <c r="F6315" s="69">
        <v>3.0817137294243385E-2</v>
      </c>
      <c r="G6315" s="69">
        <v>3.0573462527190034E-2</v>
      </c>
    </row>
    <row r="6316" spans="1:7" x14ac:dyDescent="0.3">
      <c r="A6316" s="24">
        <v>41194</v>
      </c>
      <c r="B6316" s="66">
        <v>1068.91299</v>
      </c>
      <c r="C6316" s="66">
        <v>1087.8</v>
      </c>
      <c r="D6316" s="70">
        <v>0</v>
      </c>
      <c r="E6316" s="111">
        <f t="shared" si="102"/>
        <v>138710</v>
      </c>
      <c r="F6316" s="69">
        <v>3.0817137294243385E-2</v>
      </c>
      <c r="G6316" s="69">
        <v>3.0558355568732088E-2</v>
      </c>
    </row>
    <row r="6317" spans="1:7" x14ac:dyDescent="0.3">
      <c r="A6317" s="24">
        <v>41195</v>
      </c>
      <c r="B6317" s="66">
        <v>1068.91299</v>
      </c>
      <c r="C6317" s="66">
        <v>1087.8</v>
      </c>
      <c r="D6317" s="70">
        <v>0</v>
      </c>
      <c r="E6317" s="111">
        <f t="shared" si="102"/>
        <v>138710</v>
      </c>
      <c r="F6317" s="69">
        <v>3.0817137294243385E-2</v>
      </c>
      <c r="G6317" s="69">
        <v>3.0558355568732088E-2</v>
      </c>
    </row>
    <row r="6318" spans="1:7" x14ac:dyDescent="0.3">
      <c r="A6318" s="24">
        <v>41196</v>
      </c>
      <c r="B6318" s="66">
        <v>1068.91299</v>
      </c>
      <c r="C6318" s="66">
        <v>1087.8</v>
      </c>
      <c r="D6318" s="70">
        <v>0</v>
      </c>
      <c r="E6318" s="111">
        <f t="shared" si="102"/>
        <v>138710</v>
      </c>
      <c r="F6318" s="69">
        <v>3.0817137294243385E-2</v>
      </c>
      <c r="G6318" s="69">
        <v>3.0558355568732088E-2</v>
      </c>
    </row>
    <row r="6319" spans="1:7" x14ac:dyDescent="0.3">
      <c r="A6319" s="24">
        <v>41197</v>
      </c>
      <c r="B6319" s="66">
        <v>1068.91299</v>
      </c>
      <c r="C6319" s="66">
        <v>1087.8</v>
      </c>
      <c r="D6319" s="70">
        <v>0</v>
      </c>
      <c r="E6319" s="111">
        <f t="shared" si="102"/>
        <v>138710</v>
      </c>
      <c r="F6319" s="69">
        <v>3.0817137294243385E-2</v>
      </c>
      <c r="G6319" s="69">
        <v>3.0585558852621167E-2</v>
      </c>
    </row>
    <row r="6320" spans="1:7" x14ac:dyDescent="0.3">
      <c r="A6320" s="24">
        <v>41198</v>
      </c>
      <c r="B6320" s="66">
        <v>1068.91299</v>
      </c>
      <c r="C6320" s="66">
        <v>1070</v>
      </c>
      <c r="D6320" s="70">
        <v>0</v>
      </c>
      <c r="E6320" s="111">
        <f t="shared" si="102"/>
        <v>138710</v>
      </c>
      <c r="F6320" s="69">
        <v>3.0817137294243385E-2</v>
      </c>
      <c r="G6320" s="69">
        <v>3.0588584429716095E-2</v>
      </c>
    </row>
    <row r="6321" spans="1:7" x14ac:dyDescent="0.3">
      <c r="A6321" s="24">
        <v>41199</v>
      </c>
      <c r="B6321" s="66">
        <v>1068.91299</v>
      </c>
      <c r="C6321" s="66">
        <v>1070</v>
      </c>
      <c r="D6321" s="70">
        <v>0</v>
      </c>
      <c r="E6321" s="111">
        <f t="shared" si="102"/>
        <v>138710</v>
      </c>
      <c r="F6321" s="69">
        <v>3.0817137294243385E-2</v>
      </c>
      <c r="G6321" s="69">
        <v>3.0588584429716095E-2</v>
      </c>
    </row>
    <row r="6322" spans="1:7" x14ac:dyDescent="0.3">
      <c r="A6322" s="24">
        <v>41200</v>
      </c>
      <c r="B6322" s="66">
        <v>1068.91299</v>
      </c>
      <c r="C6322" s="66">
        <v>1069.9000000000001</v>
      </c>
      <c r="D6322" s="70">
        <v>0</v>
      </c>
      <c r="E6322" s="111">
        <f t="shared" si="102"/>
        <v>138710</v>
      </c>
      <c r="F6322" s="69">
        <v>3.0817137294243385E-2</v>
      </c>
      <c r="G6322" s="69">
        <v>3.0588584429716095E-2</v>
      </c>
    </row>
    <row r="6323" spans="1:7" x14ac:dyDescent="0.3">
      <c r="A6323" s="24">
        <v>41201</v>
      </c>
      <c r="B6323" s="66">
        <v>1068.91299</v>
      </c>
      <c r="C6323" s="66">
        <v>1069.9000000000001</v>
      </c>
      <c r="D6323" s="70">
        <v>0</v>
      </c>
      <c r="E6323" s="111">
        <f t="shared" si="102"/>
        <v>138710</v>
      </c>
      <c r="F6323" s="69">
        <v>3.0817137294243385E-2</v>
      </c>
      <c r="G6323" s="69">
        <v>3.0615841584158417E-2</v>
      </c>
    </row>
    <row r="6324" spans="1:7" x14ac:dyDescent="0.3">
      <c r="A6324" s="24">
        <v>41202</v>
      </c>
      <c r="B6324" s="66">
        <v>1068.91299</v>
      </c>
      <c r="C6324" s="66">
        <v>1069.9000000000001</v>
      </c>
      <c r="D6324" s="70">
        <v>0</v>
      </c>
      <c r="E6324" s="111">
        <f t="shared" si="102"/>
        <v>138710</v>
      </c>
      <c r="F6324" s="69">
        <v>3.0817137294243385E-2</v>
      </c>
      <c r="G6324" s="69">
        <v>3.0615841584158417E-2</v>
      </c>
    </row>
    <row r="6325" spans="1:7" x14ac:dyDescent="0.3">
      <c r="A6325" s="24">
        <v>41203</v>
      </c>
      <c r="B6325" s="66">
        <v>1068.91299</v>
      </c>
      <c r="C6325" s="66">
        <v>1069.9000000000001</v>
      </c>
      <c r="D6325" s="70">
        <v>0</v>
      </c>
      <c r="E6325" s="111">
        <f t="shared" si="102"/>
        <v>138710</v>
      </c>
      <c r="F6325" s="69">
        <v>3.0817137294243385E-2</v>
      </c>
      <c r="G6325" s="69">
        <v>3.0615841584158417E-2</v>
      </c>
    </row>
    <row r="6326" spans="1:7" x14ac:dyDescent="0.3">
      <c r="A6326" s="24">
        <v>41204</v>
      </c>
      <c r="B6326" s="66">
        <v>1068.91299</v>
      </c>
      <c r="C6326" s="66">
        <v>1068</v>
      </c>
      <c r="D6326" s="70">
        <v>0</v>
      </c>
      <c r="E6326" s="111">
        <f t="shared" si="102"/>
        <v>138710</v>
      </c>
      <c r="F6326" s="69">
        <v>3.0817137294243385E-2</v>
      </c>
      <c r="G6326" s="69">
        <v>3.0615841584158417E-2</v>
      </c>
    </row>
    <row r="6327" spans="1:7" x14ac:dyDescent="0.3">
      <c r="A6327" s="24">
        <v>41205</v>
      </c>
      <c r="B6327" s="66">
        <v>1068.91299</v>
      </c>
      <c r="C6327" s="66">
        <v>1066</v>
      </c>
      <c r="D6327" s="70">
        <v>0</v>
      </c>
      <c r="E6327" s="111">
        <f t="shared" si="102"/>
        <v>138710</v>
      </c>
      <c r="F6327" s="69">
        <v>3.0817137294243385E-2</v>
      </c>
      <c r="G6327" s="69">
        <v>3.0615841584158417E-2</v>
      </c>
    </row>
    <row r="6328" spans="1:7" x14ac:dyDescent="0.3">
      <c r="A6328" s="24">
        <v>41206</v>
      </c>
      <c r="B6328" s="66">
        <v>1068.91299</v>
      </c>
      <c r="C6328" s="66">
        <v>1065</v>
      </c>
      <c r="D6328" s="70">
        <v>0</v>
      </c>
      <c r="E6328" s="111">
        <f t="shared" si="102"/>
        <v>138710</v>
      </c>
      <c r="F6328" s="69">
        <v>3.0817137294243385E-2</v>
      </c>
      <c r="G6328" s="69">
        <v>3.0525172754195459E-2</v>
      </c>
    </row>
    <row r="6329" spans="1:7" x14ac:dyDescent="0.3">
      <c r="A6329" s="24">
        <v>41207</v>
      </c>
      <c r="B6329" s="66">
        <v>1068.91299</v>
      </c>
      <c r="C6329" s="66">
        <v>1063</v>
      </c>
      <c r="D6329" s="70">
        <v>0</v>
      </c>
      <c r="E6329" s="111">
        <f t="shared" si="102"/>
        <v>138710</v>
      </c>
      <c r="F6329" s="69">
        <v>3.0817137294243385E-2</v>
      </c>
      <c r="G6329" s="69">
        <v>3.0525172754195459E-2</v>
      </c>
    </row>
    <row r="6330" spans="1:7" x14ac:dyDescent="0.3">
      <c r="A6330" s="24">
        <v>41208</v>
      </c>
      <c r="B6330" s="66">
        <v>1068.91299</v>
      </c>
      <c r="C6330" s="66">
        <v>1061</v>
      </c>
      <c r="D6330" s="70">
        <v>0</v>
      </c>
      <c r="E6330" s="111">
        <f t="shared" si="102"/>
        <v>138710</v>
      </c>
      <c r="F6330" s="69">
        <v>3.0817137294243385E-2</v>
      </c>
      <c r="G6330" s="69">
        <v>3.0465024630541872E-2</v>
      </c>
    </row>
    <row r="6331" spans="1:7" x14ac:dyDescent="0.3">
      <c r="A6331" s="24">
        <v>41209</v>
      </c>
      <c r="B6331" s="66">
        <v>1068.91299</v>
      </c>
      <c r="C6331" s="66">
        <v>1061</v>
      </c>
      <c r="D6331" s="70">
        <v>0</v>
      </c>
      <c r="E6331" s="111">
        <f t="shared" si="102"/>
        <v>138710</v>
      </c>
      <c r="F6331" s="69">
        <v>3.0817137294243385E-2</v>
      </c>
      <c r="G6331" s="69">
        <v>3.0465024630541872E-2</v>
      </c>
    </row>
    <row r="6332" spans="1:7" x14ac:dyDescent="0.3">
      <c r="A6332" s="24">
        <v>41210</v>
      </c>
      <c r="B6332" s="66">
        <v>1068.91299</v>
      </c>
      <c r="C6332" s="66">
        <v>1061</v>
      </c>
      <c r="D6332" s="70">
        <v>0</v>
      </c>
      <c r="E6332" s="111">
        <f t="shared" si="102"/>
        <v>138710</v>
      </c>
      <c r="F6332" s="69">
        <v>3.0817137294243385E-2</v>
      </c>
      <c r="G6332" s="69">
        <v>3.0465024630541872E-2</v>
      </c>
    </row>
    <row r="6333" spans="1:7" x14ac:dyDescent="0.3">
      <c r="A6333" s="24">
        <v>41211</v>
      </c>
      <c r="B6333" s="66">
        <v>1068.91299</v>
      </c>
      <c r="C6333" s="66">
        <v>1060</v>
      </c>
      <c r="D6333" s="70">
        <v>0</v>
      </c>
      <c r="E6333" s="111">
        <f t="shared" si="102"/>
        <v>138710</v>
      </c>
      <c r="F6333" s="69">
        <v>3.0817137294243385E-2</v>
      </c>
      <c r="G6333" s="69">
        <v>3.0465024630541872E-2</v>
      </c>
    </row>
    <row r="6334" spans="1:7" x14ac:dyDescent="0.3">
      <c r="A6334" s="24">
        <v>41212</v>
      </c>
      <c r="B6334" s="66">
        <v>1068.91299</v>
      </c>
      <c r="C6334" s="66">
        <v>1060</v>
      </c>
      <c r="D6334" s="70">
        <v>0</v>
      </c>
      <c r="E6334" s="111">
        <f t="shared" si="102"/>
        <v>138710</v>
      </c>
      <c r="F6334" s="69">
        <v>3.0817137294243385E-2</v>
      </c>
      <c r="G6334" s="69">
        <v>3.0465024630541872E-2</v>
      </c>
    </row>
    <row r="6335" spans="1:7" x14ac:dyDescent="0.3">
      <c r="A6335" s="24">
        <v>41213</v>
      </c>
      <c r="B6335" s="66">
        <v>1068.91299</v>
      </c>
      <c r="C6335" s="66">
        <v>1060</v>
      </c>
      <c r="D6335" s="70">
        <v>0</v>
      </c>
      <c r="E6335" s="111">
        <f t="shared" si="102"/>
        <v>138710</v>
      </c>
      <c r="F6335" s="69">
        <v>3.0817137294243385E-2</v>
      </c>
      <c r="G6335" s="69">
        <v>3.0465024630541872E-2</v>
      </c>
    </row>
    <row r="6336" spans="1:7" x14ac:dyDescent="0.3">
      <c r="A6336" s="24">
        <v>41214</v>
      </c>
      <c r="B6336" s="66">
        <v>1068.91299</v>
      </c>
      <c r="C6336" s="66">
        <v>1060</v>
      </c>
      <c r="D6336" s="70">
        <v>0</v>
      </c>
      <c r="E6336" s="111">
        <f t="shared" si="102"/>
        <v>138710</v>
      </c>
      <c r="F6336" s="69">
        <v>3.0817137294243385E-2</v>
      </c>
      <c r="G6336" s="69">
        <v>3.0465024630541872E-2</v>
      </c>
    </row>
    <row r="6337" spans="1:7" x14ac:dyDescent="0.3">
      <c r="A6337" s="24">
        <v>41215</v>
      </c>
      <c r="B6337" s="66">
        <v>1068.91299</v>
      </c>
      <c r="C6337" s="66">
        <v>1060</v>
      </c>
      <c r="D6337" s="70">
        <v>0</v>
      </c>
      <c r="E6337" s="111">
        <f t="shared" si="102"/>
        <v>138710</v>
      </c>
      <c r="F6337" s="69">
        <v>3.0817137294243385E-2</v>
      </c>
      <c r="G6337" s="69">
        <v>3.0405113077679451E-2</v>
      </c>
    </row>
    <row r="6338" spans="1:7" x14ac:dyDescent="0.3">
      <c r="A6338" s="24">
        <v>41216</v>
      </c>
      <c r="B6338" s="66">
        <v>1068.91299</v>
      </c>
      <c r="C6338" s="66">
        <v>1060</v>
      </c>
      <c r="D6338" s="70">
        <v>0</v>
      </c>
      <c r="E6338" s="111">
        <f t="shared" si="102"/>
        <v>138710</v>
      </c>
      <c r="F6338" s="69">
        <v>3.0817137294243385E-2</v>
      </c>
      <c r="G6338" s="69">
        <v>3.0405113077679451E-2</v>
      </c>
    </row>
    <row r="6339" spans="1:7" x14ac:dyDescent="0.3">
      <c r="A6339" s="24">
        <v>41217</v>
      </c>
      <c r="B6339" s="66">
        <v>1068.91299</v>
      </c>
      <c r="C6339" s="66">
        <v>1060</v>
      </c>
      <c r="D6339" s="70">
        <v>0</v>
      </c>
      <c r="E6339" s="111">
        <f t="shared" si="102"/>
        <v>138710</v>
      </c>
      <c r="F6339" s="69">
        <v>3.0817137294243385E-2</v>
      </c>
      <c r="G6339" s="69">
        <v>3.0405113077679451E-2</v>
      </c>
    </row>
    <row r="6340" spans="1:7" x14ac:dyDescent="0.3">
      <c r="A6340" s="24">
        <v>41218</v>
      </c>
      <c r="B6340" s="66">
        <v>1068.91299</v>
      </c>
      <c r="C6340" s="66">
        <v>1059.9000000000001</v>
      </c>
      <c r="D6340" s="70">
        <v>0</v>
      </c>
      <c r="E6340" s="111">
        <f t="shared" si="102"/>
        <v>138710</v>
      </c>
      <c r="F6340" s="69">
        <v>3.0817137294243385E-2</v>
      </c>
      <c r="G6340" s="69">
        <v>3.0405113077679451E-2</v>
      </c>
    </row>
    <row r="6341" spans="1:7" x14ac:dyDescent="0.3">
      <c r="A6341" s="24">
        <v>41219</v>
      </c>
      <c r="B6341" s="66">
        <v>1068.91299</v>
      </c>
      <c r="C6341" s="66">
        <v>1059</v>
      </c>
      <c r="D6341" s="70">
        <v>0</v>
      </c>
      <c r="E6341" s="111">
        <f t="shared" si="102"/>
        <v>138710</v>
      </c>
      <c r="F6341" s="69">
        <v>3.0817137294243385E-2</v>
      </c>
      <c r="G6341" s="69">
        <v>3.0375245579567781E-2</v>
      </c>
    </row>
    <row r="6342" spans="1:7" x14ac:dyDescent="0.3">
      <c r="A6342" s="24">
        <v>41220</v>
      </c>
      <c r="B6342" s="66">
        <v>1068.91299</v>
      </c>
      <c r="C6342" s="66">
        <v>1055</v>
      </c>
      <c r="D6342" s="70">
        <v>0</v>
      </c>
      <c r="E6342" s="111">
        <f t="shared" si="102"/>
        <v>138710</v>
      </c>
      <c r="F6342" s="69">
        <v>3.0817137294243385E-2</v>
      </c>
      <c r="G6342" s="69">
        <v>3.0375245579567781E-2</v>
      </c>
    </row>
    <row r="6343" spans="1:7" x14ac:dyDescent="0.3">
      <c r="A6343" s="24">
        <v>41221</v>
      </c>
      <c r="B6343" s="66">
        <v>1068.91299</v>
      </c>
      <c r="C6343" s="66">
        <v>1054.5999999999999</v>
      </c>
      <c r="D6343" s="70">
        <v>0</v>
      </c>
      <c r="E6343" s="111">
        <f t="shared" si="102"/>
        <v>138710</v>
      </c>
      <c r="F6343" s="69">
        <v>3.0817137294243385E-2</v>
      </c>
      <c r="G6343" s="69">
        <v>3.0405113077679451E-2</v>
      </c>
    </row>
    <row r="6344" spans="1:7" x14ac:dyDescent="0.3">
      <c r="A6344" s="24">
        <v>41222</v>
      </c>
      <c r="B6344" s="66">
        <v>1068.91299</v>
      </c>
      <c r="C6344" s="66">
        <v>1054.5999999999999</v>
      </c>
      <c r="D6344" s="70">
        <v>0</v>
      </c>
      <c r="E6344" s="111">
        <f t="shared" si="102"/>
        <v>138710</v>
      </c>
      <c r="F6344" s="69">
        <v>3.0817137294243385E-2</v>
      </c>
      <c r="G6344" s="69">
        <v>3.0330554193231978E-2</v>
      </c>
    </row>
    <row r="6345" spans="1:7" x14ac:dyDescent="0.3">
      <c r="A6345" s="24">
        <v>41223</v>
      </c>
      <c r="B6345" s="66">
        <v>1068.91299</v>
      </c>
      <c r="C6345" s="66">
        <v>1054.5999999999999</v>
      </c>
      <c r="D6345" s="70">
        <v>0</v>
      </c>
      <c r="E6345" s="111">
        <f t="shared" ref="E6345:E6408" si="103">+E6344</f>
        <v>138710</v>
      </c>
      <c r="F6345" s="69">
        <v>3.0817137294243385E-2</v>
      </c>
      <c r="G6345" s="69">
        <v>3.0330554193231978E-2</v>
      </c>
    </row>
    <row r="6346" spans="1:7" x14ac:dyDescent="0.3">
      <c r="A6346" s="24">
        <v>41224</v>
      </c>
      <c r="B6346" s="66">
        <v>1068.91299</v>
      </c>
      <c r="C6346" s="66">
        <v>1054.5999999999999</v>
      </c>
      <c r="D6346" s="70">
        <v>0</v>
      </c>
      <c r="E6346" s="111">
        <f t="shared" si="103"/>
        <v>138710</v>
      </c>
      <c r="F6346" s="69">
        <v>3.0817137294243385E-2</v>
      </c>
      <c r="G6346" s="69">
        <v>3.0330554193231978E-2</v>
      </c>
    </row>
    <row r="6347" spans="1:7" x14ac:dyDescent="0.3">
      <c r="A6347" s="24">
        <v>41225</v>
      </c>
      <c r="B6347" s="66">
        <v>1068.91299</v>
      </c>
      <c r="C6347" s="66">
        <v>1049.5</v>
      </c>
      <c r="D6347" s="70">
        <v>0</v>
      </c>
      <c r="E6347" s="111">
        <f t="shared" si="103"/>
        <v>138710</v>
      </c>
      <c r="F6347" s="69">
        <v>3.0817137294243385E-2</v>
      </c>
      <c r="G6347" s="69">
        <v>3.0315686274509805E-2</v>
      </c>
    </row>
    <row r="6348" spans="1:7" x14ac:dyDescent="0.3">
      <c r="A6348" s="24">
        <v>41226</v>
      </c>
      <c r="B6348" s="66">
        <v>1068.91299</v>
      </c>
      <c r="C6348" s="66">
        <v>1040</v>
      </c>
      <c r="D6348" s="70">
        <v>0</v>
      </c>
      <c r="E6348" s="111">
        <f t="shared" si="103"/>
        <v>138710</v>
      </c>
      <c r="F6348" s="69">
        <v>3.0817137294243385E-2</v>
      </c>
      <c r="G6348" s="69">
        <v>3.0330554193231978E-2</v>
      </c>
    </row>
    <row r="6349" spans="1:7" x14ac:dyDescent="0.3">
      <c r="A6349" s="24">
        <v>41227</v>
      </c>
      <c r="B6349" s="66">
        <v>1068.91299</v>
      </c>
      <c r="C6349" s="66">
        <v>1042</v>
      </c>
      <c r="D6349" s="70">
        <v>0</v>
      </c>
      <c r="E6349" s="111">
        <f t="shared" si="103"/>
        <v>138710</v>
      </c>
      <c r="F6349" s="69">
        <v>3.0817137294243385E-2</v>
      </c>
      <c r="G6349" s="69">
        <v>3.0330554193231978E-2</v>
      </c>
    </row>
    <row r="6350" spans="1:7" x14ac:dyDescent="0.3">
      <c r="A6350" s="24">
        <v>41228</v>
      </c>
      <c r="B6350" s="66">
        <v>1068.91299</v>
      </c>
      <c r="C6350" s="66">
        <v>1050</v>
      </c>
      <c r="D6350" s="70">
        <v>0</v>
      </c>
      <c r="E6350" s="111">
        <f t="shared" si="103"/>
        <v>138710</v>
      </c>
      <c r="F6350" s="69">
        <v>3.0817137294243385E-2</v>
      </c>
      <c r="G6350" s="69">
        <v>3.0330554193231978E-2</v>
      </c>
    </row>
    <row r="6351" spans="1:7" x14ac:dyDescent="0.3">
      <c r="A6351" s="24">
        <v>41229</v>
      </c>
      <c r="B6351" s="66">
        <v>1068.91299</v>
      </c>
      <c r="C6351" s="66">
        <v>1060</v>
      </c>
      <c r="D6351" s="70">
        <v>0</v>
      </c>
      <c r="E6351" s="111">
        <f t="shared" si="103"/>
        <v>138710</v>
      </c>
      <c r="F6351" s="69">
        <v>3.0817137294243385E-2</v>
      </c>
      <c r="G6351" s="69">
        <v>3.0241564792176039E-2</v>
      </c>
    </row>
    <row r="6352" spans="1:7" x14ac:dyDescent="0.3">
      <c r="A6352" s="24">
        <v>41230</v>
      </c>
      <c r="B6352" s="66">
        <v>1068.91299</v>
      </c>
      <c r="C6352" s="66">
        <v>1060</v>
      </c>
      <c r="D6352" s="70">
        <v>0</v>
      </c>
      <c r="E6352" s="111">
        <f t="shared" si="103"/>
        <v>138710</v>
      </c>
      <c r="F6352" s="69">
        <v>3.0817137294243385E-2</v>
      </c>
      <c r="G6352" s="69">
        <v>3.0241564792176039E-2</v>
      </c>
    </row>
    <row r="6353" spans="1:7" x14ac:dyDescent="0.3">
      <c r="A6353" s="24">
        <v>41231</v>
      </c>
      <c r="B6353" s="66">
        <v>1068.91299</v>
      </c>
      <c r="C6353" s="66">
        <v>1060</v>
      </c>
      <c r="D6353" s="70">
        <v>0</v>
      </c>
      <c r="E6353" s="111">
        <f t="shared" si="103"/>
        <v>138710</v>
      </c>
      <c r="F6353" s="69">
        <v>3.0817137294243385E-2</v>
      </c>
      <c r="G6353" s="69">
        <v>3.0241564792176039E-2</v>
      </c>
    </row>
    <row r="6354" spans="1:7" x14ac:dyDescent="0.3">
      <c r="A6354" s="24">
        <v>41232</v>
      </c>
      <c r="B6354" s="66">
        <v>1068.91299</v>
      </c>
      <c r="C6354" s="66">
        <v>1065</v>
      </c>
      <c r="D6354" s="70">
        <v>0</v>
      </c>
      <c r="E6354" s="111">
        <f t="shared" si="103"/>
        <v>138710</v>
      </c>
      <c r="F6354" s="69">
        <v>3.0817137294243385E-2</v>
      </c>
      <c r="G6354" s="69">
        <v>3.0241564792176039E-2</v>
      </c>
    </row>
    <row r="6355" spans="1:7" x14ac:dyDescent="0.3">
      <c r="A6355" s="24">
        <v>41233</v>
      </c>
      <c r="B6355" s="66">
        <v>1068.91299</v>
      </c>
      <c r="C6355" s="66">
        <v>1075</v>
      </c>
      <c r="D6355" s="70">
        <v>0</v>
      </c>
      <c r="E6355" s="111">
        <f t="shared" si="103"/>
        <v>138710</v>
      </c>
      <c r="F6355" s="69">
        <v>3.0817137294243385E-2</v>
      </c>
      <c r="G6355" s="69">
        <v>3.0226783968719452E-2</v>
      </c>
    </row>
    <row r="6356" spans="1:7" x14ac:dyDescent="0.3">
      <c r="A6356" s="24">
        <v>41234</v>
      </c>
      <c r="B6356" s="66">
        <v>1068.91299</v>
      </c>
      <c r="C6356" s="66">
        <v>1070</v>
      </c>
      <c r="D6356" s="70">
        <v>0</v>
      </c>
      <c r="E6356" s="111">
        <f t="shared" si="103"/>
        <v>138710</v>
      </c>
      <c r="F6356" s="69">
        <v>3.0817137294243385E-2</v>
      </c>
      <c r="G6356" s="69">
        <v>3.0226783968719452E-2</v>
      </c>
    </row>
    <row r="6357" spans="1:7" x14ac:dyDescent="0.3">
      <c r="A6357" s="24">
        <v>41235</v>
      </c>
      <c r="B6357" s="66">
        <v>1068.91299</v>
      </c>
      <c r="C6357" s="66">
        <v>1075</v>
      </c>
      <c r="D6357" s="70">
        <v>0</v>
      </c>
      <c r="E6357" s="111">
        <f t="shared" si="103"/>
        <v>138710</v>
      </c>
      <c r="F6357" s="69">
        <v>3.0817137294243385E-2</v>
      </c>
      <c r="G6357" s="69">
        <v>3.0226783968719452E-2</v>
      </c>
    </row>
    <row r="6358" spans="1:7" x14ac:dyDescent="0.3">
      <c r="A6358" s="24">
        <v>41236</v>
      </c>
      <c r="B6358" s="66">
        <v>1068.91299</v>
      </c>
      <c r="C6358" s="66">
        <v>1075</v>
      </c>
      <c r="D6358" s="70">
        <v>0</v>
      </c>
      <c r="E6358" s="111">
        <f t="shared" si="103"/>
        <v>138710</v>
      </c>
      <c r="F6358" s="69">
        <v>3.0817137294243385E-2</v>
      </c>
      <c r="G6358" s="69">
        <v>3.013840155945419E-2</v>
      </c>
    </row>
    <row r="6359" spans="1:7" x14ac:dyDescent="0.3">
      <c r="A6359" s="24">
        <v>41237</v>
      </c>
      <c r="B6359" s="66">
        <v>1068.91299</v>
      </c>
      <c r="C6359" s="66">
        <v>1075</v>
      </c>
      <c r="D6359" s="70">
        <v>0</v>
      </c>
      <c r="E6359" s="111">
        <f t="shared" si="103"/>
        <v>138710</v>
      </c>
      <c r="F6359" s="69">
        <v>3.0817137294243385E-2</v>
      </c>
      <c r="G6359" s="69">
        <v>3.013840155945419E-2</v>
      </c>
    </row>
    <row r="6360" spans="1:7" x14ac:dyDescent="0.3">
      <c r="A6360" s="24">
        <v>41238</v>
      </c>
      <c r="B6360" s="66">
        <v>1068.91299</v>
      </c>
      <c r="C6360" s="66">
        <v>1075</v>
      </c>
      <c r="D6360" s="70">
        <v>0</v>
      </c>
      <c r="E6360" s="111">
        <f t="shared" si="103"/>
        <v>138710</v>
      </c>
      <c r="F6360" s="69">
        <v>3.0817137294243385E-2</v>
      </c>
      <c r="G6360" s="69">
        <v>3.013840155945419E-2</v>
      </c>
    </row>
    <row r="6361" spans="1:7" x14ac:dyDescent="0.3">
      <c r="A6361" s="24">
        <v>41239</v>
      </c>
      <c r="B6361" s="66">
        <v>1068.91299</v>
      </c>
      <c r="C6361" s="66">
        <v>1075</v>
      </c>
      <c r="D6361" s="70">
        <v>0</v>
      </c>
      <c r="E6361" s="111">
        <f t="shared" si="103"/>
        <v>138710</v>
      </c>
      <c r="F6361" s="69">
        <v>3.0817137294243385E-2</v>
      </c>
      <c r="G6361" s="69">
        <v>3.013840155945419E-2</v>
      </c>
    </row>
    <row r="6362" spans="1:7" x14ac:dyDescent="0.3">
      <c r="A6362" s="24">
        <v>41240</v>
      </c>
      <c r="B6362" s="66">
        <v>1068.91299</v>
      </c>
      <c r="C6362" s="66">
        <v>1075</v>
      </c>
      <c r="D6362" s="70">
        <v>0</v>
      </c>
      <c r="E6362" s="111">
        <f t="shared" si="103"/>
        <v>138710</v>
      </c>
      <c r="F6362" s="69">
        <v>3.0817137294243385E-2</v>
      </c>
      <c r="G6362" s="69">
        <v>3.013840155945419E-2</v>
      </c>
    </row>
    <row r="6363" spans="1:7" x14ac:dyDescent="0.3">
      <c r="A6363" s="24">
        <v>41241</v>
      </c>
      <c r="B6363" s="66">
        <v>1068.91299</v>
      </c>
      <c r="C6363" s="66">
        <v>1075</v>
      </c>
      <c r="D6363" s="70">
        <v>0</v>
      </c>
      <c r="E6363" s="111">
        <f t="shared" si="103"/>
        <v>138710</v>
      </c>
      <c r="F6363" s="69">
        <v>3.0817137294243385E-2</v>
      </c>
      <c r="G6363" s="69">
        <v>3.013840155945419E-2</v>
      </c>
    </row>
    <row r="6364" spans="1:7" x14ac:dyDescent="0.3">
      <c r="A6364" s="24">
        <v>41242</v>
      </c>
      <c r="B6364" s="66">
        <v>1068.91299</v>
      </c>
      <c r="C6364" s="66">
        <v>1076</v>
      </c>
      <c r="D6364" s="70">
        <v>0</v>
      </c>
      <c r="E6364" s="111">
        <f t="shared" si="103"/>
        <v>138710</v>
      </c>
      <c r="F6364" s="69">
        <v>3.0817137294243385E-2</v>
      </c>
      <c r="G6364" s="69">
        <v>3.013840155945419E-2</v>
      </c>
    </row>
    <row r="6365" spans="1:7" x14ac:dyDescent="0.3">
      <c r="A6365" s="24">
        <v>41243</v>
      </c>
      <c r="B6365" s="66">
        <v>1068.91299</v>
      </c>
      <c r="C6365" s="66">
        <v>1076</v>
      </c>
      <c r="D6365" s="70">
        <v>0</v>
      </c>
      <c r="E6365" s="111">
        <f t="shared" si="103"/>
        <v>138710</v>
      </c>
      <c r="F6365" s="69">
        <v>3.0817137294243385E-2</v>
      </c>
      <c r="G6365" s="69">
        <v>3.013840155945419E-2</v>
      </c>
    </row>
    <row r="6366" spans="1:7" x14ac:dyDescent="0.3">
      <c r="A6366" s="24">
        <v>41244</v>
      </c>
      <c r="B6366" s="66">
        <v>1068.91299</v>
      </c>
      <c r="C6366" s="66">
        <v>1076</v>
      </c>
      <c r="D6366" s="70">
        <v>0</v>
      </c>
      <c r="E6366" s="111">
        <f t="shared" si="103"/>
        <v>138710</v>
      </c>
      <c r="F6366" s="69">
        <v>3.0817137294243385E-2</v>
      </c>
      <c r="G6366" s="69">
        <v>3.013840155945419E-2</v>
      </c>
    </row>
    <row r="6367" spans="1:7" x14ac:dyDescent="0.3">
      <c r="A6367" s="24">
        <v>41245</v>
      </c>
      <c r="B6367" s="66">
        <v>1068.91299</v>
      </c>
      <c r="C6367" s="66">
        <v>1076</v>
      </c>
      <c r="D6367" s="70">
        <v>0</v>
      </c>
      <c r="E6367" s="111">
        <f t="shared" si="103"/>
        <v>138710</v>
      </c>
      <c r="F6367" s="69">
        <v>3.0817137294243385E-2</v>
      </c>
      <c r="G6367" s="69">
        <v>3.013840155945419E-2</v>
      </c>
    </row>
    <row r="6368" spans="1:7" x14ac:dyDescent="0.3">
      <c r="A6368" s="24">
        <v>41246</v>
      </c>
      <c r="B6368" s="66">
        <v>1068.91299</v>
      </c>
      <c r="C6368" s="66">
        <v>1076</v>
      </c>
      <c r="D6368" s="70">
        <v>0</v>
      </c>
      <c r="E6368" s="111">
        <f t="shared" si="103"/>
        <v>138710</v>
      </c>
      <c r="F6368" s="69">
        <v>3.0817137294243385E-2</v>
      </c>
      <c r="G6368" s="69">
        <v>3.0109055501460567E-2</v>
      </c>
    </row>
    <row r="6369" spans="1:7" x14ac:dyDescent="0.3">
      <c r="A6369" s="24">
        <v>41247</v>
      </c>
      <c r="B6369" s="66">
        <v>1068.91299</v>
      </c>
      <c r="C6369" s="66">
        <v>1075.8</v>
      </c>
      <c r="D6369" s="70">
        <v>0</v>
      </c>
      <c r="E6369" s="111">
        <f t="shared" si="103"/>
        <v>138710</v>
      </c>
      <c r="F6369" s="69">
        <v>3.0817137294243385E-2</v>
      </c>
      <c r="G6369" s="69">
        <v>3.0109055501460567E-2</v>
      </c>
    </row>
    <row r="6370" spans="1:7" x14ac:dyDescent="0.3">
      <c r="A6370" s="24">
        <v>41248</v>
      </c>
      <c r="B6370" s="66">
        <v>1068.91299</v>
      </c>
      <c r="C6370" s="66">
        <v>1070</v>
      </c>
      <c r="D6370" s="70">
        <v>0</v>
      </c>
      <c r="E6370" s="111">
        <f t="shared" si="103"/>
        <v>138710</v>
      </c>
      <c r="F6370" s="69">
        <v>3.0817137294243385E-2</v>
      </c>
      <c r="G6370" s="69">
        <v>3.0109055501460567E-2</v>
      </c>
    </row>
    <row r="6371" spans="1:7" x14ac:dyDescent="0.3">
      <c r="A6371" s="24">
        <v>41249</v>
      </c>
      <c r="B6371" s="66">
        <v>1068.91299</v>
      </c>
      <c r="C6371" s="66">
        <v>1069.5</v>
      </c>
      <c r="D6371" s="70">
        <v>0</v>
      </c>
      <c r="E6371" s="111">
        <f t="shared" si="103"/>
        <v>138710</v>
      </c>
      <c r="F6371" s="69">
        <v>3.0817137294243385E-2</v>
      </c>
      <c r="G6371" s="69">
        <v>3.0109055501460567E-2</v>
      </c>
    </row>
    <row r="6372" spans="1:7" x14ac:dyDescent="0.3">
      <c r="A6372" s="24">
        <v>41250</v>
      </c>
      <c r="B6372" s="66">
        <v>1068.91299</v>
      </c>
      <c r="C6372" s="66">
        <v>1068</v>
      </c>
      <c r="D6372" s="70">
        <v>0</v>
      </c>
      <c r="E6372" s="111">
        <f t="shared" si="103"/>
        <v>138710</v>
      </c>
      <c r="F6372" s="69">
        <v>3.0817137294243385E-2</v>
      </c>
      <c r="G6372" s="69">
        <v>3.0109055501460567E-2</v>
      </c>
    </row>
    <row r="6373" spans="1:7" x14ac:dyDescent="0.3">
      <c r="A6373" s="24">
        <v>41251</v>
      </c>
      <c r="B6373" s="66">
        <v>1068.91299</v>
      </c>
      <c r="C6373" s="66">
        <v>1068</v>
      </c>
      <c r="D6373" s="70">
        <v>0</v>
      </c>
      <c r="E6373" s="111">
        <f t="shared" si="103"/>
        <v>138710</v>
      </c>
      <c r="F6373" s="69">
        <v>3.0817137294243385E-2</v>
      </c>
      <c r="G6373" s="69">
        <v>3.0109055501460567E-2</v>
      </c>
    </row>
    <row r="6374" spans="1:7" x14ac:dyDescent="0.3">
      <c r="A6374" s="24">
        <v>41252</v>
      </c>
      <c r="B6374" s="66">
        <v>1068.91299</v>
      </c>
      <c r="C6374" s="66">
        <v>1068</v>
      </c>
      <c r="D6374" s="70">
        <v>0</v>
      </c>
      <c r="E6374" s="111">
        <f t="shared" si="103"/>
        <v>138710</v>
      </c>
      <c r="F6374" s="69">
        <v>3.0817137294243385E-2</v>
      </c>
      <c r="G6374" s="69">
        <v>3.0109055501460567E-2</v>
      </c>
    </row>
    <row r="6375" spans="1:7" x14ac:dyDescent="0.3">
      <c r="A6375" s="24">
        <v>41253</v>
      </c>
      <c r="B6375" s="66">
        <v>1068.91299</v>
      </c>
      <c r="C6375" s="66">
        <v>1068</v>
      </c>
      <c r="D6375" s="70">
        <v>0</v>
      </c>
      <c r="E6375" s="111">
        <f t="shared" si="103"/>
        <v>138710</v>
      </c>
      <c r="F6375" s="69">
        <v>3.0817137294243385E-2</v>
      </c>
      <c r="G6375" s="69">
        <v>3.0106124038555157E-2</v>
      </c>
    </row>
    <row r="6376" spans="1:7" x14ac:dyDescent="0.3">
      <c r="A6376" s="24">
        <v>41254</v>
      </c>
      <c r="B6376" s="66">
        <v>1068.91299</v>
      </c>
      <c r="C6376" s="66">
        <v>1060</v>
      </c>
      <c r="D6376" s="70">
        <v>0</v>
      </c>
      <c r="E6376" s="111">
        <f t="shared" si="103"/>
        <v>138710</v>
      </c>
      <c r="F6376" s="69">
        <v>3.0817137294243385E-2</v>
      </c>
      <c r="G6376" s="69">
        <v>3.0106124038555157E-2</v>
      </c>
    </row>
    <row r="6377" spans="1:7" x14ac:dyDescent="0.3">
      <c r="A6377" s="24">
        <v>41255</v>
      </c>
      <c r="B6377" s="66">
        <v>1068.91299</v>
      </c>
      <c r="C6377" s="66">
        <v>1058</v>
      </c>
      <c r="D6377" s="70">
        <v>0</v>
      </c>
      <c r="E6377" s="111">
        <f t="shared" si="103"/>
        <v>138710</v>
      </c>
      <c r="F6377" s="69">
        <v>3.0817137294243385E-2</v>
      </c>
      <c r="G6377" s="69">
        <v>3.0106124038555157E-2</v>
      </c>
    </row>
    <row r="6378" spans="1:7" x14ac:dyDescent="0.3">
      <c r="A6378" s="24">
        <v>41256</v>
      </c>
      <c r="B6378" s="66">
        <v>1068.91299</v>
      </c>
      <c r="C6378" s="66">
        <v>1055</v>
      </c>
      <c r="D6378" s="70">
        <v>0</v>
      </c>
      <c r="E6378" s="111">
        <f t="shared" si="103"/>
        <v>138710</v>
      </c>
      <c r="F6378" s="69">
        <v>3.0817137294243385E-2</v>
      </c>
      <c r="G6378" s="69">
        <v>3.0106124038555157E-2</v>
      </c>
    </row>
    <row r="6379" spans="1:7" x14ac:dyDescent="0.3">
      <c r="A6379" s="24">
        <v>41257</v>
      </c>
      <c r="B6379" s="66">
        <v>1068.91299</v>
      </c>
      <c r="C6379" s="66">
        <v>1065</v>
      </c>
      <c r="D6379" s="70">
        <v>0</v>
      </c>
      <c r="E6379" s="111">
        <f t="shared" si="103"/>
        <v>138710</v>
      </c>
      <c r="F6379" s="69">
        <v>3.0817137294243385E-2</v>
      </c>
      <c r="G6379" s="69">
        <v>3.0106124038555157E-2</v>
      </c>
    </row>
    <row r="6380" spans="1:7" x14ac:dyDescent="0.3">
      <c r="A6380" s="24">
        <v>41258</v>
      </c>
      <c r="B6380" s="66">
        <v>1068.91299</v>
      </c>
      <c r="C6380" s="66">
        <v>1065</v>
      </c>
      <c r="D6380" s="70">
        <v>0</v>
      </c>
      <c r="E6380" s="111">
        <f t="shared" si="103"/>
        <v>138710</v>
      </c>
      <c r="F6380" s="69">
        <v>3.0817137294243385E-2</v>
      </c>
      <c r="G6380" s="69">
        <v>3.0106124038555157E-2</v>
      </c>
    </row>
    <row r="6381" spans="1:7" x14ac:dyDescent="0.3">
      <c r="A6381" s="24">
        <v>41259</v>
      </c>
      <c r="B6381" s="66">
        <v>1068.91299</v>
      </c>
      <c r="C6381" s="66">
        <v>1065</v>
      </c>
      <c r="D6381" s="70">
        <v>0</v>
      </c>
      <c r="E6381" s="111">
        <f t="shared" si="103"/>
        <v>138710</v>
      </c>
      <c r="F6381" s="69">
        <v>3.0817137294243385E-2</v>
      </c>
      <c r="G6381" s="69">
        <v>3.0106124038555157E-2</v>
      </c>
    </row>
    <row r="6382" spans="1:7" x14ac:dyDescent="0.3">
      <c r="A6382" s="24">
        <v>41260</v>
      </c>
      <c r="B6382" s="66">
        <v>1068.91299</v>
      </c>
      <c r="C6382" s="66">
        <v>1059.5</v>
      </c>
      <c r="D6382" s="70">
        <v>0</v>
      </c>
      <c r="E6382" s="111">
        <f t="shared" si="103"/>
        <v>138710</v>
      </c>
      <c r="F6382" s="69">
        <v>3.0817137294243385E-2</v>
      </c>
      <c r="G6382" s="69">
        <v>3.0106124038555157E-2</v>
      </c>
    </row>
    <row r="6383" spans="1:7" x14ac:dyDescent="0.3">
      <c r="A6383" s="24">
        <v>41261</v>
      </c>
      <c r="B6383" s="66">
        <v>1068.91299</v>
      </c>
      <c r="C6383" s="66">
        <v>1059.9000000000001</v>
      </c>
      <c r="D6383" s="70">
        <v>0</v>
      </c>
      <c r="E6383" s="111">
        <f t="shared" si="103"/>
        <v>138710</v>
      </c>
      <c r="F6383" s="69">
        <v>3.0817137294243385E-2</v>
      </c>
      <c r="G6383" s="69">
        <v>2.9830214161682425E-2</v>
      </c>
    </row>
    <row r="6384" spans="1:7" x14ac:dyDescent="0.3">
      <c r="A6384" s="24">
        <v>41262</v>
      </c>
      <c r="B6384" s="66">
        <v>1068.91299</v>
      </c>
      <c r="C6384" s="66">
        <v>1055</v>
      </c>
      <c r="D6384" s="70">
        <v>0</v>
      </c>
      <c r="E6384" s="111">
        <f t="shared" si="103"/>
        <v>138710</v>
      </c>
      <c r="F6384" s="69">
        <v>3.0817137294243385E-2</v>
      </c>
      <c r="G6384" s="69">
        <v>2.9830214161682425E-2</v>
      </c>
    </row>
    <row r="6385" spans="1:7" x14ac:dyDescent="0.3">
      <c r="A6385" s="24">
        <v>41263</v>
      </c>
      <c r="B6385" s="66">
        <v>1068.91299</v>
      </c>
      <c r="C6385" s="66">
        <v>1050</v>
      </c>
      <c r="D6385" s="70">
        <v>0</v>
      </c>
      <c r="E6385" s="111">
        <f t="shared" si="103"/>
        <v>138710</v>
      </c>
      <c r="F6385" s="69">
        <v>3.0817137294243385E-2</v>
      </c>
      <c r="G6385" s="69">
        <v>2.9830214161682425E-2</v>
      </c>
    </row>
    <row r="6386" spans="1:7" x14ac:dyDescent="0.3">
      <c r="A6386" s="24">
        <v>41264</v>
      </c>
      <c r="B6386" s="66">
        <v>1068.91299</v>
      </c>
      <c r="C6386" s="66">
        <v>1040</v>
      </c>
      <c r="D6386" s="70">
        <v>0</v>
      </c>
      <c r="E6386" s="111">
        <f t="shared" si="103"/>
        <v>138710</v>
      </c>
      <c r="F6386" s="69">
        <v>3.0817137294243385E-2</v>
      </c>
      <c r="G6386" s="69">
        <v>2.9830214161682425E-2</v>
      </c>
    </row>
    <row r="6387" spans="1:7" x14ac:dyDescent="0.3">
      <c r="A6387" s="24">
        <v>41265</v>
      </c>
      <c r="B6387" s="66">
        <v>1068.91299</v>
      </c>
      <c r="C6387" s="66">
        <v>1040</v>
      </c>
      <c r="D6387" s="70">
        <v>0</v>
      </c>
      <c r="E6387" s="111">
        <f t="shared" si="103"/>
        <v>138710</v>
      </c>
      <c r="F6387" s="69">
        <v>2.4666067784506945E-2</v>
      </c>
      <c r="G6387" s="69">
        <v>2.3876133513409226E-2</v>
      </c>
    </row>
    <row r="6388" spans="1:7" x14ac:dyDescent="0.3">
      <c r="A6388" s="24">
        <v>41266</v>
      </c>
      <c r="B6388" s="66">
        <v>1068.91299</v>
      </c>
      <c r="C6388" s="66">
        <v>1040</v>
      </c>
      <c r="D6388" s="70">
        <v>0</v>
      </c>
      <c r="E6388" s="111">
        <f t="shared" si="103"/>
        <v>138710</v>
      </c>
      <c r="F6388" s="69">
        <v>2.4666067784506945E-2</v>
      </c>
      <c r="G6388" s="69">
        <v>2.3876133513409226E-2</v>
      </c>
    </row>
    <row r="6389" spans="1:7" x14ac:dyDescent="0.3">
      <c r="A6389" s="24">
        <v>41267</v>
      </c>
      <c r="B6389" s="66">
        <v>1068.91299</v>
      </c>
      <c r="C6389" s="66">
        <v>1040</v>
      </c>
      <c r="D6389" s="70">
        <v>0</v>
      </c>
      <c r="E6389" s="111">
        <f t="shared" si="103"/>
        <v>138710</v>
      </c>
      <c r="F6389" s="69">
        <v>2.4666067784506945E-2</v>
      </c>
      <c r="G6389" s="69">
        <v>2.3876133513409226E-2</v>
      </c>
    </row>
    <row r="6390" spans="1:7" x14ac:dyDescent="0.3">
      <c r="A6390" s="24">
        <v>41268</v>
      </c>
      <c r="B6390" s="66">
        <v>1068.91299</v>
      </c>
      <c r="C6390" s="66">
        <v>1040</v>
      </c>
      <c r="D6390" s="70">
        <v>0</v>
      </c>
      <c r="E6390" s="111">
        <f t="shared" si="103"/>
        <v>138710</v>
      </c>
      <c r="F6390" s="69">
        <v>2.4666067784506945E-2</v>
      </c>
      <c r="G6390" s="69">
        <v>2.3876133513409226E-2</v>
      </c>
    </row>
    <row r="6391" spans="1:7" x14ac:dyDescent="0.3">
      <c r="A6391" s="24">
        <v>41269</v>
      </c>
      <c r="B6391" s="66">
        <v>1068.91299</v>
      </c>
      <c r="C6391" s="66">
        <v>1040</v>
      </c>
      <c r="D6391" s="70">
        <v>0</v>
      </c>
      <c r="E6391" s="111">
        <f t="shared" si="103"/>
        <v>138710</v>
      </c>
      <c r="F6391" s="69">
        <v>2.4666067784506945E-2</v>
      </c>
      <c r="G6391" s="69">
        <v>2.3876133513409226E-2</v>
      </c>
    </row>
    <row r="6392" spans="1:7" x14ac:dyDescent="0.3">
      <c r="A6392" s="24">
        <v>41270</v>
      </c>
      <c r="B6392" s="66">
        <v>1068.91299</v>
      </c>
      <c r="C6392" s="66">
        <v>1040</v>
      </c>
      <c r="D6392" s="70">
        <v>7.5</v>
      </c>
      <c r="E6392" s="111">
        <f t="shared" si="103"/>
        <v>138710</v>
      </c>
      <c r="F6392" s="69">
        <v>3.2140633779812078E-2</v>
      </c>
      <c r="G6392" s="69">
        <v>3.1111325487169595E-2</v>
      </c>
    </row>
    <row r="6393" spans="1:7" x14ac:dyDescent="0.3">
      <c r="A6393" s="24">
        <v>41271</v>
      </c>
      <c r="B6393" s="66">
        <v>1068.91299</v>
      </c>
      <c r="C6393" s="66">
        <v>1040</v>
      </c>
      <c r="D6393" s="70">
        <v>0</v>
      </c>
      <c r="E6393" s="111">
        <f t="shared" si="103"/>
        <v>138710</v>
      </c>
      <c r="F6393" s="69">
        <v>3.2140633779812078E-2</v>
      </c>
      <c r="G6393" s="69">
        <v>3.1111325487169595E-2</v>
      </c>
    </row>
    <row r="6394" spans="1:7" x14ac:dyDescent="0.3">
      <c r="A6394" s="24">
        <v>41272</v>
      </c>
      <c r="B6394" s="66">
        <v>1068.91299</v>
      </c>
      <c r="C6394" s="66">
        <v>1040</v>
      </c>
      <c r="D6394" s="70">
        <v>0</v>
      </c>
      <c r="E6394" s="111">
        <f t="shared" si="103"/>
        <v>138710</v>
      </c>
      <c r="F6394" s="69">
        <v>3.1085589461960109E-2</v>
      </c>
      <c r="G6394" s="69">
        <v>3.1111325487169595E-2</v>
      </c>
    </row>
    <row r="6395" spans="1:7" x14ac:dyDescent="0.3">
      <c r="A6395" s="24">
        <v>41273</v>
      </c>
      <c r="B6395" s="66">
        <v>1068.91299</v>
      </c>
      <c r="C6395" s="66">
        <v>1040</v>
      </c>
      <c r="D6395" s="70">
        <v>0</v>
      </c>
      <c r="E6395" s="111">
        <f t="shared" si="103"/>
        <v>138710</v>
      </c>
      <c r="F6395" s="69">
        <v>3.1085589461960109E-2</v>
      </c>
      <c r="G6395" s="69">
        <v>3.1111325487169595E-2</v>
      </c>
    </row>
    <row r="6396" spans="1:7" x14ac:dyDescent="0.3">
      <c r="A6396" s="24">
        <v>41274</v>
      </c>
      <c r="B6396" s="66">
        <v>1099.08995</v>
      </c>
      <c r="C6396" s="66">
        <v>1040</v>
      </c>
      <c r="D6396" s="70">
        <v>0</v>
      </c>
      <c r="E6396" s="111">
        <f t="shared" si="103"/>
        <v>138710</v>
      </c>
      <c r="F6396" s="69">
        <v>3.1085589461960109E-2</v>
      </c>
      <c r="G6396" s="69">
        <v>3.1111325487169595E-2</v>
      </c>
    </row>
    <row r="6397" spans="1:7" x14ac:dyDescent="0.3">
      <c r="A6397" s="24">
        <v>41275</v>
      </c>
      <c r="B6397" s="66">
        <v>1099.08995</v>
      </c>
      <c r="C6397" s="66">
        <v>1040</v>
      </c>
      <c r="D6397" s="70">
        <v>0</v>
      </c>
      <c r="E6397" s="111">
        <f t="shared" si="103"/>
        <v>138710</v>
      </c>
      <c r="F6397" s="69">
        <v>3.1085589461960109E-2</v>
      </c>
      <c r="G6397" s="69">
        <v>3.1111325487169595E-2</v>
      </c>
    </row>
    <row r="6398" spans="1:7" x14ac:dyDescent="0.3">
      <c r="A6398" s="24">
        <v>41276</v>
      </c>
      <c r="B6398" s="66">
        <v>1099.08995</v>
      </c>
      <c r="C6398" s="66">
        <v>1040</v>
      </c>
      <c r="D6398" s="70">
        <v>0</v>
      </c>
      <c r="E6398" s="111">
        <f t="shared" si="103"/>
        <v>138710</v>
      </c>
      <c r="F6398" s="69">
        <v>3.1085589461960109E-2</v>
      </c>
      <c r="G6398" s="69">
        <v>3.1111325487169595E-2</v>
      </c>
    </row>
    <row r="6399" spans="1:7" x14ac:dyDescent="0.3">
      <c r="A6399" s="24">
        <v>41277</v>
      </c>
      <c r="B6399" s="66">
        <v>1099.08995</v>
      </c>
      <c r="C6399" s="66">
        <v>1040</v>
      </c>
      <c r="D6399" s="70">
        <v>0</v>
      </c>
      <c r="E6399" s="111">
        <f t="shared" si="103"/>
        <v>138710</v>
      </c>
      <c r="F6399" s="69">
        <v>3.1085589461960109E-2</v>
      </c>
      <c r="G6399" s="69">
        <v>3.1009615384615385E-2</v>
      </c>
    </row>
    <row r="6400" spans="1:7" x14ac:dyDescent="0.3">
      <c r="A6400" s="24">
        <v>41278</v>
      </c>
      <c r="B6400" s="66">
        <v>1099.08995</v>
      </c>
      <c r="C6400" s="66">
        <v>1040</v>
      </c>
      <c r="D6400" s="70">
        <v>0</v>
      </c>
      <c r="E6400" s="111">
        <f t="shared" si="103"/>
        <v>138710</v>
      </c>
      <c r="F6400" s="69">
        <v>3.1085589461960109E-2</v>
      </c>
      <c r="G6400" s="69">
        <v>3.1009615384615385E-2</v>
      </c>
    </row>
    <row r="6401" spans="1:7" x14ac:dyDescent="0.3">
      <c r="A6401" s="24">
        <v>41279</v>
      </c>
      <c r="B6401" s="66">
        <v>1099.08995</v>
      </c>
      <c r="C6401" s="66">
        <v>1040</v>
      </c>
      <c r="D6401" s="70">
        <v>0</v>
      </c>
      <c r="E6401" s="111">
        <f t="shared" si="103"/>
        <v>138710</v>
      </c>
      <c r="F6401" s="69">
        <v>3.1085589461960109E-2</v>
      </c>
      <c r="G6401" s="69">
        <v>3.1009615384615385E-2</v>
      </c>
    </row>
    <row r="6402" spans="1:7" x14ac:dyDescent="0.3">
      <c r="A6402" s="24">
        <v>41280</v>
      </c>
      <c r="B6402" s="66">
        <v>1099.08995</v>
      </c>
      <c r="C6402" s="66">
        <v>1040</v>
      </c>
      <c r="D6402" s="70">
        <v>0</v>
      </c>
      <c r="E6402" s="111">
        <f t="shared" si="103"/>
        <v>138710</v>
      </c>
      <c r="F6402" s="69">
        <v>3.1085589461960109E-2</v>
      </c>
      <c r="G6402" s="69">
        <v>3.1009615384615385E-2</v>
      </c>
    </row>
    <row r="6403" spans="1:7" x14ac:dyDescent="0.3">
      <c r="A6403" s="24">
        <v>41281</v>
      </c>
      <c r="B6403" s="66">
        <v>1099.08995</v>
      </c>
      <c r="C6403" s="66">
        <v>1040</v>
      </c>
      <c r="D6403" s="70">
        <v>0</v>
      </c>
      <c r="E6403" s="111">
        <f t="shared" si="103"/>
        <v>138710</v>
      </c>
      <c r="F6403" s="69">
        <v>3.1085589461960109E-2</v>
      </c>
      <c r="G6403" s="69">
        <v>3.1006633977502165E-2</v>
      </c>
    </row>
    <row r="6404" spans="1:7" x14ac:dyDescent="0.3">
      <c r="A6404" s="24">
        <v>41282</v>
      </c>
      <c r="B6404" s="66">
        <v>1099.08995</v>
      </c>
      <c r="C6404" s="66">
        <v>1035</v>
      </c>
      <c r="D6404" s="70">
        <v>0</v>
      </c>
      <c r="E6404" s="111">
        <f t="shared" si="103"/>
        <v>138710</v>
      </c>
      <c r="F6404" s="69">
        <v>3.1085589461960109E-2</v>
      </c>
      <c r="G6404" s="69">
        <v>3.1006633977502165E-2</v>
      </c>
    </row>
    <row r="6405" spans="1:7" x14ac:dyDescent="0.3">
      <c r="A6405" s="24">
        <v>41283</v>
      </c>
      <c r="B6405" s="66">
        <v>1099.08995</v>
      </c>
      <c r="C6405" s="66">
        <v>1020</v>
      </c>
      <c r="D6405" s="70">
        <v>0</v>
      </c>
      <c r="E6405" s="111">
        <f t="shared" si="103"/>
        <v>138710</v>
      </c>
      <c r="F6405" s="69">
        <v>3.1085589461960109E-2</v>
      </c>
      <c r="G6405" s="69">
        <v>3.1003653143626225E-2</v>
      </c>
    </row>
    <row r="6406" spans="1:7" x14ac:dyDescent="0.3">
      <c r="A6406" s="24">
        <v>41284</v>
      </c>
      <c r="B6406" s="66">
        <v>1099.08995</v>
      </c>
      <c r="C6406" s="66">
        <v>1029.4000000000001</v>
      </c>
      <c r="D6406" s="70">
        <v>0</v>
      </c>
      <c r="E6406" s="111">
        <f t="shared" si="103"/>
        <v>138710</v>
      </c>
      <c r="F6406" s="69">
        <v>3.1085589461960109E-2</v>
      </c>
      <c r="G6406" s="69">
        <v>3.0950095969289826E-2</v>
      </c>
    </row>
    <row r="6407" spans="1:7" x14ac:dyDescent="0.3">
      <c r="A6407" s="24">
        <v>41285</v>
      </c>
      <c r="B6407" s="66">
        <v>1099.08995</v>
      </c>
      <c r="C6407" s="66">
        <v>1025</v>
      </c>
      <c r="D6407" s="70">
        <v>0</v>
      </c>
      <c r="E6407" s="111">
        <f t="shared" si="103"/>
        <v>138710</v>
      </c>
      <c r="F6407" s="69">
        <v>3.1085589461960109E-2</v>
      </c>
      <c r="G6407" s="69">
        <v>3.0950095969289826E-2</v>
      </c>
    </row>
    <row r="6408" spans="1:7" x14ac:dyDescent="0.3">
      <c r="A6408" s="24">
        <v>41286</v>
      </c>
      <c r="B6408" s="66">
        <v>1099.08995</v>
      </c>
      <c r="C6408" s="66">
        <v>1025</v>
      </c>
      <c r="D6408" s="70">
        <v>0</v>
      </c>
      <c r="E6408" s="111">
        <f t="shared" si="103"/>
        <v>138710</v>
      </c>
      <c r="F6408" s="69">
        <v>3.1085589461960109E-2</v>
      </c>
      <c r="G6408" s="69">
        <v>3.0950095969289826E-2</v>
      </c>
    </row>
    <row r="6409" spans="1:7" x14ac:dyDescent="0.3">
      <c r="A6409" s="24">
        <v>41287</v>
      </c>
      <c r="B6409" s="66">
        <v>1099.08995</v>
      </c>
      <c r="C6409" s="66">
        <v>1025</v>
      </c>
      <c r="D6409" s="70">
        <v>0</v>
      </c>
      <c r="E6409" s="111">
        <f t="shared" ref="E6409:E6472" si="104">+E6408</f>
        <v>138710</v>
      </c>
      <c r="F6409" s="69">
        <v>3.1085589461960109E-2</v>
      </c>
      <c r="G6409" s="69">
        <v>3.0950095969289826E-2</v>
      </c>
    </row>
    <row r="6410" spans="1:7" x14ac:dyDescent="0.3">
      <c r="A6410" s="24">
        <v>41288</v>
      </c>
      <c r="B6410" s="66">
        <v>1099.08995</v>
      </c>
      <c r="C6410" s="66">
        <v>1025</v>
      </c>
      <c r="D6410" s="70">
        <v>0</v>
      </c>
      <c r="E6410" s="111">
        <f t="shared" si="104"/>
        <v>138710</v>
      </c>
      <c r="F6410" s="69">
        <v>3.1085589461960109E-2</v>
      </c>
      <c r="G6410" s="69">
        <v>3.1003653143626225E-2</v>
      </c>
    </row>
    <row r="6411" spans="1:7" x14ac:dyDescent="0.3">
      <c r="A6411" s="24">
        <v>41289</v>
      </c>
      <c r="B6411" s="66">
        <v>1099.08995</v>
      </c>
      <c r="C6411" s="66">
        <v>1020</v>
      </c>
      <c r="D6411" s="70">
        <v>0</v>
      </c>
      <c r="E6411" s="111">
        <f t="shared" si="104"/>
        <v>138710</v>
      </c>
      <c r="F6411" s="69">
        <v>3.1085589461960109E-2</v>
      </c>
      <c r="G6411" s="69">
        <v>3.0950095969289826E-2</v>
      </c>
    </row>
    <row r="6412" spans="1:7" x14ac:dyDescent="0.3">
      <c r="A6412" s="24">
        <v>41290</v>
      </c>
      <c r="B6412" s="66">
        <v>1099.08995</v>
      </c>
      <c r="C6412" s="66">
        <v>1020</v>
      </c>
      <c r="D6412" s="70">
        <v>0</v>
      </c>
      <c r="E6412" s="111">
        <f t="shared" si="104"/>
        <v>138710</v>
      </c>
      <c r="F6412" s="69">
        <v>3.1085589461960109E-2</v>
      </c>
      <c r="G6412" s="69">
        <v>3.0920421860019174E-2</v>
      </c>
    </row>
    <row r="6413" spans="1:7" x14ac:dyDescent="0.3">
      <c r="A6413" s="24">
        <v>41291</v>
      </c>
      <c r="B6413" s="66">
        <v>1099.08995</v>
      </c>
      <c r="C6413" s="66">
        <v>1020</v>
      </c>
      <c r="D6413" s="70">
        <v>0</v>
      </c>
      <c r="E6413" s="111">
        <f t="shared" si="104"/>
        <v>138710</v>
      </c>
      <c r="F6413" s="69">
        <v>3.1085589461960109E-2</v>
      </c>
      <c r="G6413" s="69">
        <v>3.0920421860019174E-2</v>
      </c>
    </row>
    <row r="6414" spans="1:7" x14ac:dyDescent="0.3">
      <c r="A6414" s="24">
        <v>41292</v>
      </c>
      <c r="B6414" s="66">
        <v>1099.08995</v>
      </c>
      <c r="C6414" s="66">
        <v>1015</v>
      </c>
      <c r="D6414" s="70">
        <v>0</v>
      </c>
      <c r="E6414" s="111">
        <f t="shared" si="104"/>
        <v>138710</v>
      </c>
      <c r="F6414" s="69">
        <v>3.1085589461960109E-2</v>
      </c>
      <c r="G6414" s="69">
        <v>3.089080459770115E-2</v>
      </c>
    </row>
    <row r="6415" spans="1:7" x14ac:dyDescent="0.3">
      <c r="A6415" s="24">
        <v>41293</v>
      </c>
      <c r="B6415" s="66">
        <v>1099.08995</v>
      </c>
      <c r="C6415" s="66">
        <v>1015</v>
      </c>
      <c r="D6415" s="70">
        <v>0</v>
      </c>
      <c r="E6415" s="111">
        <f t="shared" si="104"/>
        <v>138710</v>
      </c>
      <c r="F6415" s="69">
        <v>3.1085589461960109E-2</v>
      </c>
      <c r="G6415" s="69">
        <v>3.089080459770115E-2</v>
      </c>
    </row>
    <row r="6416" spans="1:7" x14ac:dyDescent="0.3">
      <c r="A6416" s="24">
        <v>41294</v>
      </c>
      <c r="B6416" s="66">
        <v>1099.08995</v>
      </c>
      <c r="C6416" s="66">
        <v>1015</v>
      </c>
      <c r="D6416" s="70">
        <v>0</v>
      </c>
      <c r="E6416" s="111">
        <f t="shared" si="104"/>
        <v>138710</v>
      </c>
      <c r="F6416" s="69">
        <v>3.1085589461960109E-2</v>
      </c>
      <c r="G6416" s="69">
        <v>3.089080459770115E-2</v>
      </c>
    </row>
    <row r="6417" spans="1:7" x14ac:dyDescent="0.3">
      <c r="A6417" s="24">
        <v>41295</v>
      </c>
      <c r="B6417" s="66">
        <v>1099.08995</v>
      </c>
      <c r="C6417" s="66">
        <v>1015</v>
      </c>
      <c r="D6417" s="70">
        <v>0</v>
      </c>
      <c r="E6417" s="111">
        <f t="shared" si="104"/>
        <v>138710</v>
      </c>
      <c r="F6417" s="69">
        <v>3.1085589461960109E-2</v>
      </c>
      <c r="G6417" s="69">
        <v>3.089080459770115E-2</v>
      </c>
    </row>
    <row r="6418" spans="1:7" x14ac:dyDescent="0.3">
      <c r="A6418" s="24">
        <v>41296</v>
      </c>
      <c r="B6418" s="66">
        <v>1099.08995</v>
      </c>
      <c r="C6418" s="66">
        <v>1010</v>
      </c>
      <c r="D6418" s="70">
        <v>0</v>
      </c>
      <c r="E6418" s="111">
        <f t="shared" si="104"/>
        <v>138710</v>
      </c>
      <c r="F6418" s="69">
        <v>3.1085589461960109E-2</v>
      </c>
      <c r="G6418" s="69">
        <v>3.089080459770115E-2</v>
      </c>
    </row>
    <row r="6419" spans="1:7" x14ac:dyDescent="0.3">
      <c r="A6419" s="24">
        <v>41297</v>
      </c>
      <c r="B6419" s="66">
        <v>1099.08995</v>
      </c>
      <c r="C6419" s="66">
        <v>1005.5</v>
      </c>
      <c r="D6419" s="70">
        <v>0</v>
      </c>
      <c r="E6419" s="111">
        <f t="shared" si="104"/>
        <v>138710</v>
      </c>
      <c r="F6419" s="69">
        <v>3.1085589461960109E-2</v>
      </c>
      <c r="G6419" s="69">
        <v>3.089080459770115E-2</v>
      </c>
    </row>
    <row r="6420" spans="1:7" x14ac:dyDescent="0.3">
      <c r="A6420" s="24">
        <v>41298</v>
      </c>
      <c r="B6420" s="66">
        <v>1099.08995</v>
      </c>
      <c r="C6420" s="66">
        <v>1010</v>
      </c>
      <c r="D6420" s="70">
        <v>0</v>
      </c>
      <c r="E6420" s="111">
        <f t="shared" si="104"/>
        <v>138710</v>
      </c>
      <c r="F6420" s="69">
        <v>3.1085589461960109E-2</v>
      </c>
      <c r="G6420" s="69">
        <v>3.089080459770115E-2</v>
      </c>
    </row>
    <row r="6421" spans="1:7" x14ac:dyDescent="0.3">
      <c r="A6421" s="24">
        <v>41299</v>
      </c>
      <c r="B6421" s="66">
        <v>1099.08995</v>
      </c>
      <c r="C6421" s="66">
        <v>1009</v>
      </c>
      <c r="D6421" s="70">
        <v>0</v>
      </c>
      <c r="E6421" s="111">
        <f t="shared" si="104"/>
        <v>138710</v>
      </c>
      <c r="F6421" s="69">
        <v>3.1085589461960109E-2</v>
      </c>
      <c r="G6421" s="69">
        <v>3.089080459770115E-2</v>
      </c>
    </row>
    <row r="6422" spans="1:7" x14ac:dyDescent="0.3">
      <c r="A6422" s="24">
        <v>41300</v>
      </c>
      <c r="B6422" s="66">
        <v>1099.08995</v>
      </c>
      <c r="C6422" s="66">
        <v>1009</v>
      </c>
      <c r="D6422" s="70">
        <v>0</v>
      </c>
      <c r="E6422" s="111">
        <f t="shared" si="104"/>
        <v>138710</v>
      </c>
      <c r="F6422" s="69">
        <v>3.1085589461960109E-2</v>
      </c>
      <c r="G6422" s="69">
        <v>3.089080459770115E-2</v>
      </c>
    </row>
    <row r="6423" spans="1:7" x14ac:dyDescent="0.3">
      <c r="A6423" s="24">
        <v>41301</v>
      </c>
      <c r="B6423" s="66">
        <v>1099.08995</v>
      </c>
      <c r="C6423" s="66">
        <v>1009</v>
      </c>
      <c r="D6423" s="70">
        <v>0</v>
      </c>
      <c r="E6423" s="111">
        <f t="shared" si="104"/>
        <v>138710</v>
      </c>
      <c r="F6423" s="69">
        <v>3.1085589461960109E-2</v>
      </c>
      <c r="G6423" s="69">
        <v>3.089080459770115E-2</v>
      </c>
    </row>
    <row r="6424" spans="1:7" x14ac:dyDescent="0.3">
      <c r="A6424" s="24">
        <v>41302</v>
      </c>
      <c r="B6424" s="66">
        <v>1099.08995</v>
      </c>
      <c r="C6424" s="66">
        <v>1010</v>
      </c>
      <c r="D6424" s="70">
        <v>0</v>
      </c>
      <c r="E6424" s="111">
        <f t="shared" si="104"/>
        <v>138710</v>
      </c>
      <c r="F6424" s="69">
        <v>3.1085589461960109E-2</v>
      </c>
      <c r="G6424" s="69">
        <v>3.089080459770115E-2</v>
      </c>
    </row>
    <row r="6425" spans="1:7" x14ac:dyDescent="0.3">
      <c r="A6425" s="24">
        <v>41303</v>
      </c>
      <c r="B6425" s="66">
        <v>1099.08995</v>
      </c>
      <c r="C6425" s="66">
        <v>1010</v>
      </c>
      <c r="D6425" s="70">
        <v>0</v>
      </c>
      <c r="E6425" s="111">
        <f t="shared" si="104"/>
        <v>138710</v>
      </c>
      <c r="F6425" s="69">
        <v>3.1085589461960109E-2</v>
      </c>
      <c r="G6425" s="69">
        <v>3.089080459770115E-2</v>
      </c>
    </row>
    <row r="6426" spans="1:7" x14ac:dyDescent="0.3">
      <c r="A6426" s="24">
        <v>41304</v>
      </c>
      <c r="B6426" s="66">
        <v>1099.08995</v>
      </c>
      <c r="C6426" s="66">
        <v>1010</v>
      </c>
      <c r="D6426" s="70">
        <v>0</v>
      </c>
      <c r="E6426" s="111">
        <f t="shared" si="104"/>
        <v>138710</v>
      </c>
      <c r="F6426" s="69">
        <v>3.1085589461960109E-2</v>
      </c>
      <c r="G6426" s="69">
        <v>3.089080459770115E-2</v>
      </c>
    </row>
    <row r="6427" spans="1:7" x14ac:dyDescent="0.3">
      <c r="A6427" s="24">
        <v>41305</v>
      </c>
      <c r="B6427" s="66">
        <v>1098.3631499999999</v>
      </c>
      <c r="C6427" s="66">
        <v>1010</v>
      </c>
      <c r="D6427" s="70">
        <v>0</v>
      </c>
      <c r="E6427" s="111">
        <f t="shared" si="104"/>
        <v>138710</v>
      </c>
      <c r="F6427" s="69">
        <v>3.1085589461960109E-2</v>
      </c>
      <c r="G6427" s="69">
        <v>3.089080459770115E-2</v>
      </c>
    </row>
    <row r="6428" spans="1:7" x14ac:dyDescent="0.3">
      <c r="A6428" s="24">
        <v>41306</v>
      </c>
      <c r="B6428" s="66">
        <v>1098.3631499999999</v>
      </c>
      <c r="C6428" s="66">
        <v>1010</v>
      </c>
      <c r="D6428" s="70">
        <v>0</v>
      </c>
      <c r="E6428" s="111">
        <f t="shared" si="104"/>
        <v>138710</v>
      </c>
      <c r="F6428" s="69">
        <v>3.1085589461960109E-2</v>
      </c>
      <c r="G6428" s="69">
        <v>3.0424528301886793E-2</v>
      </c>
    </row>
    <row r="6429" spans="1:7" x14ac:dyDescent="0.3">
      <c r="A6429" s="24">
        <v>41307</v>
      </c>
      <c r="B6429" s="66">
        <v>1098.3631499999999</v>
      </c>
      <c r="C6429" s="66">
        <v>1010</v>
      </c>
      <c r="D6429" s="70">
        <v>0</v>
      </c>
      <c r="E6429" s="111">
        <f t="shared" si="104"/>
        <v>138710</v>
      </c>
      <c r="F6429" s="69">
        <v>3.1085589461960109E-2</v>
      </c>
      <c r="G6429" s="69">
        <v>3.0424528301886793E-2</v>
      </c>
    </row>
    <row r="6430" spans="1:7" x14ac:dyDescent="0.3">
      <c r="A6430" s="24">
        <v>41308</v>
      </c>
      <c r="B6430" s="66">
        <v>1098.3631499999999</v>
      </c>
      <c r="C6430" s="66">
        <v>1010</v>
      </c>
      <c r="D6430" s="70">
        <v>0</v>
      </c>
      <c r="E6430" s="111">
        <f t="shared" si="104"/>
        <v>138710</v>
      </c>
      <c r="F6430" s="69">
        <v>3.1085589461960109E-2</v>
      </c>
      <c r="G6430" s="69">
        <v>3.0424528301886793E-2</v>
      </c>
    </row>
    <row r="6431" spans="1:7" x14ac:dyDescent="0.3">
      <c r="A6431" s="24">
        <v>41309</v>
      </c>
      <c r="B6431" s="66">
        <v>1098.3631499999999</v>
      </c>
      <c r="C6431" s="66">
        <v>1010</v>
      </c>
      <c r="D6431" s="70">
        <v>0</v>
      </c>
      <c r="E6431" s="111">
        <f t="shared" si="104"/>
        <v>138710</v>
      </c>
      <c r="F6431" s="69">
        <v>3.1085589461960109E-2</v>
      </c>
      <c r="G6431" s="69">
        <v>3.0424528301886793E-2</v>
      </c>
    </row>
    <row r="6432" spans="1:7" x14ac:dyDescent="0.3">
      <c r="A6432" s="24">
        <v>41310</v>
      </c>
      <c r="B6432" s="66">
        <v>1098.3631499999999</v>
      </c>
      <c r="C6432" s="66">
        <v>1010</v>
      </c>
      <c r="D6432" s="70">
        <v>0</v>
      </c>
      <c r="E6432" s="111">
        <f t="shared" si="104"/>
        <v>138710</v>
      </c>
      <c r="F6432" s="69">
        <v>3.1085589461960109E-2</v>
      </c>
      <c r="G6432" s="69">
        <v>3.0424528301886793E-2</v>
      </c>
    </row>
    <row r="6433" spans="1:7" x14ac:dyDescent="0.3">
      <c r="A6433" s="24">
        <v>41311</v>
      </c>
      <c r="B6433" s="66">
        <v>1098.3631499999999</v>
      </c>
      <c r="C6433" s="66">
        <v>1010</v>
      </c>
      <c r="D6433" s="70">
        <v>0</v>
      </c>
      <c r="E6433" s="111">
        <f t="shared" si="104"/>
        <v>138710</v>
      </c>
      <c r="F6433" s="69">
        <v>3.1085589461960109E-2</v>
      </c>
      <c r="G6433" s="69">
        <v>3.0424528301886793E-2</v>
      </c>
    </row>
    <row r="6434" spans="1:7" x14ac:dyDescent="0.3">
      <c r="A6434" s="24">
        <v>41312</v>
      </c>
      <c r="B6434" s="66">
        <v>1098.3631499999999</v>
      </c>
      <c r="C6434" s="66">
        <v>1010</v>
      </c>
      <c r="D6434" s="70">
        <v>0</v>
      </c>
      <c r="E6434" s="111">
        <f t="shared" si="104"/>
        <v>138710</v>
      </c>
      <c r="F6434" s="69">
        <v>3.1085589461960109E-2</v>
      </c>
      <c r="G6434" s="69">
        <v>3.0281690140845072E-2</v>
      </c>
    </row>
    <row r="6435" spans="1:7" x14ac:dyDescent="0.3">
      <c r="A6435" s="24">
        <v>41313</v>
      </c>
      <c r="B6435" s="66">
        <v>1098.3631499999999</v>
      </c>
      <c r="C6435" s="66">
        <v>1009.9</v>
      </c>
      <c r="D6435" s="70">
        <v>0</v>
      </c>
      <c r="E6435" s="111">
        <f t="shared" si="104"/>
        <v>138710</v>
      </c>
      <c r="F6435" s="69">
        <v>3.1085589461960109E-2</v>
      </c>
      <c r="G6435" s="69">
        <v>0.03</v>
      </c>
    </row>
    <row r="6436" spans="1:7" x14ac:dyDescent="0.3">
      <c r="A6436" s="24">
        <v>41314</v>
      </c>
      <c r="B6436" s="66">
        <v>1098.3631499999999</v>
      </c>
      <c r="C6436" s="66">
        <v>1009.9</v>
      </c>
      <c r="D6436" s="70">
        <v>0</v>
      </c>
      <c r="E6436" s="111">
        <f t="shared" si="104"/>
        <v>138710</v>
      </c>
      <c r="F6436" s="69">
        <v>3.1085589461960109E-2</v>
      </c>
      <c r="G6436" s="69">
        <v>0.03</v>
      </c>
    </row>
    <row r="6437" spans="1:7" x14ac:dyDescent="0.3">
      <c r="A6437" s="24">
        <v>41315</v>
      </c>
      <c r="B6437" s="66">
        <v>1098.3631499999999</v>
      </c>
      <c r="C6437" s="66">
        <v>1009.9</v>
      </c>
      <c r="D6437" s="70">
        <v>0</v>
      </c>
      <c r="E6437" s="111">
        <f t="shared" si="104"/>
        <v>138710</v>
      </c>
      <c r="F6437" s="69">
        <v>3.1085589461960109E-2</v>
      </c>
      <c r="G6437" s="69">
        <v>0.03</v>
      </c>
    </row>
    <row r="6438" spans="1:7" x14ac:dyDescent="0.3">
      <c r="A6438" s="24">
        <v>41316</v>
      </c>
      <c r="B6438" s="66">
        <v>1098.3631499999999</v>
      </c>
      <c r="C6438" s="66">
        <v>1009.5</v>
      </c>
      <c r="D6438" s="70">
        <v>0</v>
      </c>
      <c r="E6438" s="111">
        <f t="shared" si="104"/>
        <v>138710</v>
      </c>
      <c r="F6438" s="69">
        <v>3.1085589461960109E-2</v>
      </c>
      <c r="G6438" s="69">
        <v>0.03</v>
      </c>
    </row>
    <row r="6439" spans="1:7" x14ac:dyDescent="0.3">
      <c r="A6439" s="24">
        <v>41317</v>
      </c>
      <c r="B6439" s="66">
        <v>1098.3631499999999</v>
      </c>
      <c r="C6439" s="66">
        <v>1000</v>
      </c>
      <c r="D6439" s="70">
        <v>0</v>
      </c>
      <c r="E6439" s="111">
        <f t="shared" si="104"/>
        <v>138710</v>
      </c>
      <c r="F6439" s="69">
        <v>3.1085589461960109E-2</v>
      </c>
      <c r="G6439" s="69">
        <v>2.9986052998605298E-2</v>
      </c>
    </row>
    <row r="6440" spans="1:7" x14ac:dyDescent="0.3">
      <c r="A6440" s="24">
        <v>41318</v>
      </c>
      <c r="B6440" s="66">
        <v>1098.3631499999999</v>
      </c>
      <c r="C6440" s="66">
        <v>1009.8</v>
      </c>
      <c r="D6440" s="70">
        <v>0</v>
      </c>
      <c r="E6440" s="111">
        <f t="shared" si="104"/>
        <v>138710</v>
      </c>
      <c r="F6440" s="69">
        <v>3.1085589461960109E-2</v>
      </c>
      <c r="G6440" s="69">
        <v>2.9986052998605298E-2</v>
      </c>
    </row>
    <row r="6441" spans="1:7" x14ac:dyDescent="0.3">
      <c r="A6441" s="24">
        <v>41319</v>
      </c>
      <c r="B6441" s="66">
        <v>1098.3631499999999</v>
      </c>
      <c r="C6441" s="66">
        <v>1009.8</v>
      </c>
      <c r="D6441" s="70">
        <v>0</v>
      </c>
      <c r="E6441" s="111">
        <f t="shared" si="104"/>
        <v>138710</v>
      </c>
      <c r="F6441" s="69">
        <v>3.1085589461960109E-2</v>
      </c>
      <c r="G6441" s="69">
        <v>2.9986052998605298E-2</v>
      </c>
    </row>
    <row r="6442" spans="1:7" x14ac:dyDescent="0.3">
      <c r="A6442" s="24">
        <v>41320</v>
      </c>
      <c r="B6442" s="66">
        <v>1098.3631499999999</v>
      </c>
      <c r="C6442" s="66">
        <v>1004</v>
      </c>
      <c r="D6442" s="70">
        <v>0</v>
      </c>
      <c r="E6442" s="111">
        <f t="shared" si="104"/>
        <v>138710</v>
      </c>
      <c r="F6442" s="69">
        <v>3.1085589461960109E-2</v>
      </c>
      <c r="G6442" s="69">
        <v>2.9986052998605298E-2</v>
      </c>
    </row>
    <row r="6443" spans="1:7" x14ac:dyDescent="0.3">
      <c r="A6443" s="24">
        <v>41321</v>
      </c>
      <c r="B6443" s="66">
        <v>1098.3631499999999</v>
      </c>
      <c r="C6443" s="66">
        <v>1004</v>
      </c>
      <c r="D6443" s="70">
        <v>0</v>
      </c>
      <c r="E6443" s="111">
        <f t="shared" si="104"/>
        <v>138710</v>
      </c>
      <c r="F6443" s="69">
        <v>3.1085589461960109E-2</v>
      </c>
      <c r="G6443" s="69">
        <v>2.9986052998605298E-2</v>
      </c>
    </row>
    <row r="6444" spans="1:7" x14ac:dyDescent="0.3">
      <c r="A6444" s="24">
        <v>41322</v>
      </c>
      <c r="B6444" s="66">
        <v>1098.3631499999999</v>
      </c>
      <c r="C6444" s="66">
        <v>1004</v>
      </c>
      <c r="D6444" s="70">
        <v>0</v>
      </c>
      <c r="E6444" s="111">
        <f t="shared" si="104"/>
        <v>138710</v>
      </c>
      <c r="F6444" s="69">
        <v>3.1085589461960109E-2</v>
      </c>
      <c r="G6444" s="69">
        <v>2.9986052998605298E-2</v>
      </c>
    </row>
    <row r="6445" spans="1:7" x14ac:dyDescent="0.3">
      <c r="A6445" s="24">
        <v>41323</v>
      </c>
      <c r="B6445" s="66">
        <v>1098.3631499999999</v>
      </c>
      <c r="C6445" s="66">
        <v>1000</v>
      </c>
      <c r="D6445" s="70">
        <v>0</v>
      </c>
      <c r="E6445" s="111">
        <f t="shared" si="104"/>
        <v>138710</v>
      </c>
      <c r="F6445" s="69">
        <v>3.1085589461960109E-2</v>
      </c>
      <c r="G6445" s="69">
        <v>2.9986052998605298E-2</v>
      </c>
    </row>
    <row r="6446" spans="1:7" x14ac:dyDescent="0.3">
      <c r="A6446" s="24">
        <v>41324</v>
      </c>
      <c r="B6446" s="66">
        <v>1098.3631499999999</v>
      </c>
      <c r="C6446" s="66">
        <v>998</v>
      </c>
      <c r="D6446" s="70">
        <v>0</v>
      </c>
      <c r="E6446" s="111">
        <f t="shared" si="104"/>
        <v>138710</v>
      </c>
      <c r="F6446" s="69">
        <v>3.1085589461960109E-2</v>
      </c>
      <c r="G6446" s="69">
        <v>2.9944289693593314E-2</v>
      </c>
    </row>
    <row r="6447" spans="1:7" x14ac:dyDescent="0.3">
      <c r="A6447" s="24">
        <v>41325</v>
      </c>
      <c r="B6447" s="66">
        <v>1098.3631499999999</v>
      </c>
      <c r="C6447" s="66">
        <v>990</v>
      </c>
      <c r="D6447" s="70">
        <v>0</v>
      </c>
      <c r="E6447" s="111">
        <f t="shared" si="104"/>
        <v>138710</v>
      </c>
      <c r="F6447" s="69">
        <v>3.1085589461960109E-2</v>
      </c>
      <c r="G6447" s="69">
        <v>2.9944289693593314E-2</v>
      </c>
    </row>
    <row r="6448" spans="1:7" x14ac:dyDescent="0.3">
      <c r="A6448" s="24">
        <v>41326</v>
      </c>
      <c r="B6448" s="66">
        <v>1098.3631499999999</v>
      </c>
      <c r="C6448" s="66">
        <v>960</v>
      </c>
      <c r="D6448" s="70">
        <v>0</v>
      </c>
      <c r="E6448" s="111">
        <f t="shared" si="104"/>
        <v>138710</v>
      </c>
      <c r="F6448" s="69">
        <v>3.1085589461960109E-2</v>
      </c>
      <c r="G6448" s="69">
        <v>2.9944289693593314E-2</v>
      </c>
    </row>
    <row r="6449" spans="1:7" x14ac:dyDescent="0.3">
      <c r="A6449" s="24">
        <v>41327</v>
      </c>
      <c r="B6449" s="66">
        <v>1098.3631499999999</v>
      </c>
      <c r="C6449" s="66">
        <v>990</v>
      </c>
      <c r="D6449" s="70">
        <v>0</v>
      </c>
      <c r="E6449" s="111">
        <f t="shared" si="104"/>
        <v>138710</v>
      </c>
      <c r="F6449" s="69">
        <v>3.1085589461960109E-2</v>
      </c>
      <c r="G6449" s="69">
        <v>2.9902642559109873E-2</v>
      </c>
    </row>
    <row r="6450" spans="1:7" x14ac:dyDescent="0.3">
      <c r="A6450" s="24">
        <v>41328</v>
      </c>
      <c r="B6450" s="66">
        <v>1098.3631499999999</v>
      </c>
      <c r="C6450" s="66">
        <v>990</v>
      </c>
      <c r="D6450" s="70">
        <v>0</v>
      </c>
      <c r="E6450" s="111">
        <f t="shared" si="104"/>
        <v>138710</v>
      </c>
      <c r="F6450" s="69">
        <v>3.1085589461960109E-2</v>
      </c>
      <c r="G6450" s="69">
        <v>2.9902642559109873E-2</v>
      </c>
    </row>
    <row r="6451" spans="1:7" x14ac:dyDescent="0.3">
      <c r="A6451" s="24">
        <v>41329</v>
      </c>
      <c r="B6451" s="66">
        <v>1098.3631499999999</v>
      </c>
      <c r="C6451" s="66">
        <v>990</v>
      </c>
      <c r="D6451" s="70">
        <v>0</v>
      </c>
      <c r="E6451" s="111">
        <f t="shared" si="104"/>
        <v>138710</v>
      </c>
      <c r="F6451" s="69">
        <v>3.1085589461960109E-2</v>
      </c>
      <c r="G6451" s="69">
        <v>2.9902642559109873E-2</v>
      </c>
    </row>
    <row r="6452" spans="1:7" x14ac:dyDescent="0.3">
      <c r="A6452" s="24">
        <v>41330</v>
      </c>
      <c r="B6452" s="66">
        <v>1098.3631499999999</v>
      </c>
      <c r="C6452" s="66">
        <v>1000</v>
      </c>
      <c r="D6452" s="70">
        <v>0</v>
      </c>
      <c r="E6452" s="111">
        <f t="shared" si="104"/>
        <v>138710</v>
      </c>
      <c r="F6452" s="69">
        <v>3.1085589461960109E-2</v>
      </c>
      <c r="G6452" s="69">
        <v>2.9902642559109873E-2</v>
      </c>
    </row>
    <row r="6453" spans="1:7" x14ac:dyDescent="0.3">
      <c r="A6453" s="24">
        <v>41331</v>
      </c>
      <c r="B6453" s="66">
        <v>1098.3631499999999</v>
      </c>
      <c r="C6453" s="66">
        <v>990</v>
      </c>
      <c r="D6453" s="70">
        <v>0</v>
      </c>
      <c r="E6453" s="111">
        <f t="shared" si="104"/>
        <v>138710</v>
      </c>
      <c r="F6453" s="69">
        <v>3.1085589461960109E-2</v>
      </c>
      <c r="G6453" s="69">
        <v>2.9902642559109873E-2</v>
      </c>
    </row>
    <row r="6454" spans="1:7" x14ac:dyDescent="0.3">
      <c r="A6454" s="24">
        <v>41332</v>
      </c>
      <c r="B6454" s="66">
        <v>1098.3631499999999</v>
      </c>
      <c r="C6454" s="66">
        <v>990</v>
      </c>
      <c r="D6454" s="70">
        <v>0</v>
      </c>
      <c r="E6454" s="111">
        <f t="shared" si="104"/>
        <v>138710</v>
      </c>
      <c r="F6454" s="69">
        <v>3.1085589461960109E-2</v>
      </c>
      <c r="G6454" s="69">
        <v>2.9874942102825382E-2</v>
      </c>
    </row>
    <row r="6455" spans="1:7" x14ac:dyDescent="0.3">
      <c r="A6455" s="24">
        <v>41333</v>
      </c>
      <c r="B6455" s="66">
        <v>1105.21587</v>
      </c>
      <c r="C6455" s="66">
        <v>1000</v>
      </c>
      <c r="D6455" s="70">
        <v>0</v>
      </c>
      <c r="E6455" s="111">
        <f t="shared" si="104"/>
        <v>138710</v>
      </c>
      <c r="F6455" s="69">
        <v>3.1085589461960109E-2</v>
      </c>
      <c r="G6455" s="69">
        <v>2.9830727962260661E-2</v>
      </c>
    </row>
    <row r="6456" spans="1:7" x14ac:dyDescent="0.3">
      <c r="A6456" s="24">
        <v>41334</v>
      </c>
      <c r="B6456" s="66">
        <v>1105.21587</v>
      </c>
      <c r="C6456" s="66">
        <v>1005</v>
      </c>
      <c r="D6456" s="70">
        <v>0</v>
      </c>
      <c r="E6456" s="111">
        <f t="shared" si="104"/>
        <v>138710</v>
      </c>
      <c r="F6456" s="69">
        <v>3.1085589461960109E-2</v>
      </c>
      <c r="G6456" s="69">
        <v>2.9830727962260661E-2</v>
      </c>
    </row>
    <row r="6457" spans="1:7" x14ac:dyDescent="0.3">
      <c r="A6457" s="24">
        <v>41335</v>
      </c>
      <c r="B6457" s="66">
        <v>1105.21587</v>
      </c>
      <c r="C6457" s="66">
        <v>1005</v>
      </c>
      <c r="D6457" s="70">
        <v>0</v>
      </c>
      <c r="E6457" s="111">
        <f t="shared" si="104"/>
        <v>138710</v>
      </c>
      <c r="F6457" s="69">
        <v>3.1085589461960109E-2</v>
      </c>
      <c r="G6457" s="69">
        <v>2.9830727962260661E-2</v>
      </c>
    </row>
    <row r="6458" spans="1:7" x14ac:dyDescent="0.3">
      <c r="A6458" s="24">
        <v>41336</v>
      </c>
      <c r="B6458" s="66">
        <v>1105.21587</v>
      </c>
      <c r="C6458" s="66">
        <v>1005</v>
      </c>
      <c r="D6458" s="70">
        <v>0</v>
      </c>
      <c r="E6458" s="111">
        <f t="shared" si="104"/>
        <v>138710</v>
      </c>
      <c r="F6458" s="69">
        <v>3.1085589461960109E-2</v>
      </c>
      <c r="G6458" s="69">
        <v>2.9830727962260661E-2</v>
      </c>
    </row>
    <row r="6459" spans="1:7" x14ac:dyDescent="0.3">
      <c r="A6459" s="24">
        <v>41337</v>
      </c>
      <c r="B6459" s="66">
        <v>1105.21587</v>
      </c>
      <c r="C6459" s="66">
        <v>1010</v>
      </c>
      <c r="D6459" s="70">
        <v>0</v>
      </c>
      <c r="E6459" s="111">
        <f t="shared" si="104"/>
        <v>138710</v>
      </c>
      <c r="F6459" s="69">
        <v>3.1085589461960109E-2</v>
      </c>
      <c r="G6459" s="69">
        <v>2.9830727962260661E-2</v>
      </c>
    </row>
    <row r="6460" spans="1:7" x14ac:dyDescent="0.3">
      <c r="A6460" s="24">
        <v>41338</v>
      </c>
      <c r="B6460" s="66">
        <v>1105.21587</v>
      </c>
      <c r="C6460" s="66">
        <v>1025</v>
      </c>
      <c r="D6460" s="70">
        <v>0</v>
      </c>
      <c r="E6460" s="111">
        <f t="shared" si="104"/>
        <v>138710</v>
      </c>
      <c r="F6460" s="69">
        <v>3.1085589461960109E-2</v>
      </c>
      <c r="G6460" s="69">
        <v>2.9830727962260661E-2</v>
      </c>
    </row>
    <row r="6461" spans="1:7" x14ac:dyDescent="0.3">
      <c r="A6461" s="24">
        <v>41339</v>
      </c>
      <c r="B6461" s="66">
        <v>1105.21587</v>
      </c>
      <c r="C6461" s="66">
        <v>1060</v>
      </c>
      <c r="D6461" s="70">
        <v>0</v>
      </c>
      <c r="E6461" s="111">
        <f t="shared" si="104"/>
        <v>138710</v>
      </c>
      <c r="F6461" s="69">
        <v>3.1085589461960109E-2</v>
      </c>
      <c r="G6461" s="69">
        <v>2.9830727962260661E-2</v>
      </c>
    </row>
    <row r="6462" spans="1:7" x14ac:dyDescent="0.3">
      <c r="A6462" s="24">
        <v>41340</v>
      </c>
      <c r="B6462" s="66">
        <v>1105.21587</v>
      </c>
      <c r="C6462" s="66">
        <v>1060</v>
      </c>
      <c r="D6462" s="70">
        <v>0</v>
      </c>
      <c r="E6462" s="111">
        <f t="shared" si="104"/>
        <v>138710</v>
      </c>
      <c r="F6462" s="69">
        <v>3.1085589461960109E-2</v>
      </c>
      <c r="G6462" s="69">
        <v>2.931818181818182E-2</v>
      </c>
    </row>
    <row r="6463" spans="1:7" x14ac:dyDescent="0.3">
      <c r="A6463" s="24">
        <v>41341</v>
      </c>
      <c r="B6463" s="66">
        <v>1105.21587</v>
      </c>
      <c r="C6463" s="66">
        <v>1059.9000000000001</v>
      </c>
      <c r="D6463" s="70">
        <v>0</v>
      </c>
      <c r="E6463" s="111">
        <f t="shared" si="104"/>
        <v>138710</v>
      </c>
      <c r="F6463" s="69">
        <v>3.1085589461960109E-2</v>
      </c>
      <c r="G6463" s="69">
        <v>2.931818181818182E-2</v>
      </c>
    </row>
    <row r="6464" spans="1:7" x14ac:dyDescent="0.3">
      <c r="A6464" s="24">
        <v>41342</v>
      </c>
      <c r="B6464" s="66">
        <v>1105.21587</v>
      </c>
      <c r="C6464" s="66">
        <v>1059.9000000000001</v>
      </c>
      <c r="D6464" s="70">
        <v>0</v>
      </c>
      <c r="E6464" s="111">
        <f t="shared" si="104"/>
        <v>138710</v>
      </c>
      <c r="F6464" s="69">
        <v>3.1085589461960109E-2</v>
      </c>
      <c r="G6464" s="69">
        <v>2.931818181818182E-2</v>
      </c>
    </row>
    <row r="6465" spans="1:7" x14ac:dyDescent="0.3">
      <c r="A6465" s="24">
        <v>41343</v>
      </c>
      <c r="B6465" s="66">
        <v>1105.21587</v>
      </c>
      <c r="C6465" s="66">
        <v>1059.9000000000001</v>
      </c>
      <c r="D6465" s="70">
        <v>0</v>
      </c>
      <c r="E6465" s="111">
        <f t="shared" si="104"/>
        <v>138710</v>
      </c>
      <c r="F6465" s="69">
        <v>3.1085589461960109E-2</v>
      </c>
      <c r="G6465" s="69">
        <v>2.931818181818182E-2</v>
      </c>
    </row>
    <row r="6466" spans="1:7" x14ac:dyDescent="0.3">
      <c r="A6466" s="24">
        <v>41344</v>
      </c>
      <c r="B6466" s="66">
        <v>1105.21587</v>
      </c>
      <c r="C6466" s="66">
        <v>1059.99</v>
      </c>
      <c r="D6466" s="70">
        <v>0</v>
      </c>
      <c r="E6466" s="111">
        <f t="shared" si="104"/>
        <v>138710</v>
      </c>
      <c r="F6466" s="69">
        <v>3.1085589461960109E-2</v>
      </c>
      <c r="G6466" s="69">
        <v>2.931818181818182E-2</v>
      </c>
    </row>
    <row r="6467" spans="1:7" x14ac:dyDescent="0.3">
      <c r="A6467" s="24">
        <v>41345</v>
      </c>
      <c r="B6467" s="66">
        <v>1105.21587</v>
      </c>
      <c r="C6467" s="66">
        <v>1059</v>
      </c>
      <c r="D6467" s="70">
        <v>0</v>
      </c>
      <c r="E6467" s="111">
        <f t="shared" si="104"/>
        <v>138710</v>
      </c>
      <c r="F6467" s="69">
        <v>3.1085589461960109E-2</v>
      </c>
      <c r="G6467" s="69">
        <v>2.931818181818182E-2</v>
      </c>
    </row>
    <row r="6468" spans="1:7" x14ac:dyDescent="0.3">
      <c r="A6468" s="24">
        <v>41346</v>
      </c>
      <c r="B6468" s="66">
        <v>1105.21587</v>
      </c>
      <c r="C6468" s="66">
        <v>1058</v>
      </c>
      <c r="D6468" s="70">
        <v>0</v>
      </c>
      <c r="E6468" s="111">
        <f t="shared" si="104"/>
        <v>138710</v>
      </c>
      <c r="F6468" s="69">
        <v>3.1085589461960109E-2</v>
      </c>
      <c r="G6468" s="69">
        <v>2.931818181818182E-2</v>
      </c>
    </row>
    <row r="6469" spans="1:7" x14ac:dyDescent="0.3">
      <c r="A6469" s="24">
        <v>41347</v>
      </c>
      <c r="B6469" s="66">
        <v>1105.21587</v>
      </c>
      <c r="C6469" s="66">
        <v>1055</v>
      </c>
      <c r="D6469" s="70">
        <v>0</v>
      </c>
      <c r="E6469" s="111">
        <f t="shared" si="104"/>
        <v>138710</v>
      </c>
      <c r="F6469" s="69">
        <v>3.1085589461960109E-2</v>
      </c>
      <c r="G6469" s="69">
        <v>2.931818181818182E-2</v>
      </c>
    </row>
    <row r="6470" spans="1:7" x14ac:dyDescent="0.3">
      <c r="A6470" s="24">
        <v>41348</v>
      </c>
      <c r="B6470" s="66">
        <v>1105.21587</v>
      </c>
      <c r="C6470" s="66">
        <v>1055</v>
      </c>
      <c r="D6470" s="70">
        <v>0</v>
      </c>
      <c r="E6470" s="111">
        <f t="shared" si="104"/>
        <v>138710</v>
      </c>
      <c r="F6470" s="69">
        <v>3.1085589461960109E-2</v>
      </c>
      <c r="G6470" s="69">
        <v>2.931818181818182E-2</v>
      </c>
    </row>
    <row r="6471" spans="1:7" x14ac:dyDescent="0.3">
      <c r="A6471" s="24">
        <v>41349</v>
      </c>
      <c r="B6471" s="66">
        <v>1105.21587</v>
      </c>
      <c r="C6471" s="66">
        <v>1055</v>
      </c>
      <c r="D6471" s="70">
        <v>0</v>
      </c>
      <c r="E6471" s="111">
        <f t="shared" si="104"/>
        <v>138710</v>
      </c>
      <c r="F6471" s="69">
        <v>3.1085589461960109E-2</v>
      </c>
      <c r="G6471" s="69">
        <v>2.931818181818182E-2</v>
      </c>
    </row>
    <row r="6472" spans="1:7" x14ac:dyDescent="0.3">
      <c r="A6472" s="24">
        <v>41350</v>
      </c>
      <c r="B6472" s="66">
        <v>1105.21587</v>
      </c>
      <c r="C6472" s="66">
        <v>1055</v>
      </c>
      <c r="D6472" s="70">
        <v>0</v>
      </c>
      <c r="E6472" s="111">
        <f t="shared" si="104"/>
        <v>138710</v>
      </c>
      <c r="F6472" s="69">
        <v>3.1085589461960109E-2</v>
      </c>
      <c r="G6472" s="69">
        <v>2.931818181818182E-2</v>
      </c>
    </row>
    <row r="6473" spans="1:7" x14ac:dyDescent="0.3">
      <c r="A6473" s="24">
        <v>41351</v>
      </c>
      <c r="B6473" s="66">
        <v>1105.21587</v>
      </c>
      <c r="C6473" s="66">
        <v>1045</v>
      </c>
      <c r="D6473" s="70">
        <v>0</v>
      </c>
      <c r="E6473" s="111">
        <f t="shared" ref="E6473:E6536" si="105">+E6472</f>
        <v>138710</v>
      </c>
      <c r="F6473" s="69">
        <v>3.1085589461960109E-2</v>
      </c>
      <c r="G6473" s="69">
        <v>2.931818181818182E-2</v>
      </c>
    </row>
    <row r="6474" spans="1:7" x14ac:dyDescent="0.3">
      <c r="A6474" s="24">
        <v>41352</v>
      </c>
      <c r="B6474" s="66">
        <v>1105.21587</v>
      </c>
      <c r="C6474" s="66">
        <v>1044</v>
      </c>
      <c r="D6474" s="70">
        <v>0</v>
      </c>
      <c r="E6474" s="111">
        <f t="shared" si="105"/>
        <v>138710</v>
      </c>
      <c r="F6474" s="69">
        <v>3.1085589461960109E-2</v>
      </c>
      <c r="G6474" s="69">
        <v>2.931818181818182E-2</v>
      </c>
    </row>
    <row r="6475" spans="1:7" x14ac:dyDescent="0.3">
      <c r="A6475" s="24">
        <v>41353</v>
      </c>
      <c r="B6475" s="66">
        <v>1105.21587</v>
      </c>
      <c r="C6475" s="66">
        <v>1039.99</v>
      </c>
      <c r="D6475" s="70">
        <v>0</v>
      </c>
      <c r="E6475" s="111">
        <f t="shared" si="105"/>
        <v>138710</v>
      </c>
      <c r="F6475" s="69">
        <v>3.1085589461960109E-2</v>
      </c>
      <c r="G6475" s="69">
        <v>2.931818181818182E-2</v>
      </c>
    </row>
    <row r="6476" spans="1:7" x14ac:dyDescent="0.3">
      <c r="A6476" s="24">
        <v>41354</v>
      </c>
      <c r="B6476" s="66">
        <v>1105.21587</v>
      </c>
      <c r="C6476" s="66">
        <v>1035</v>
      </c>
      <c r="D6476" s="70">
        <v>0</v>
      </c>
      <c r="E6476" s="111">
        <f t="shared" si="105"/>
        <v>138710</v>
      </c>
      <c r="F6476" s="69">
        <v>3.1085589461960109E-2</v>
      </c>
      <c r="G6476" s="69">
        <v>2.931818181818182E-2</v>
      </c>
    </row>
    <row r="6477" spans="1:7" x14ac:dyDescent="0.3">
      <c r="A6477" s="24">
        <v>41355</v>
      </c>
      <c r="B6477" s="66">
        <v>1105.21587</v>
      </c>
      <c r="C6477" s="66">
        <v>1030</v>
      </c>
      <c r="D6477" s="70">
        <v>0</v>
      </c>
      <c r="E6477" s="111">
        <f t="shared" si="105"/>
        <v>138710</v>
      </c>
      <c r="F6477" s="69">
        <v>3.1085589461960109E-2</v>
      </c>
      <c r="G6477" s="69">
        <v>2.931818181818182E-2</v>
      </c>
    </row>
    <row r="6478" spans="1:7" x14ac:dyDescent="0.3">
      <c r="A6478" s="24">
        <v>41356</v>
      </c>
      <c r="B6478" s="66">
        <v>1105.21587</v>
      </c>
      <c r="C6478" s="66">
        <v>1030</v>
      </c>
      <c r="D6478" s="70">
        <v>0</v>
      </c>
      <c r="E6478" s="111">
        <f t="shared" si="105"/>
        <v>138710</v>
      </c>
      <c r="F6478" s="69">
        <v>3.1085589461960109E-2</v>
      </c>
      <c r="G6478" s="69">
        <v>2.931818181818182E-2</v>
      </c>
    </row>
    <row r="6479" spans="1:7" x14ac:dyDescent="0.3">
      <c r="A6479" s="24">
        <v>41357</v>
      </c>
      <c r="B6479" s="66">
        <v>1105.21587</v>
      </c>
      <c r="C6479" s="66">
        <v>1030</v>
      </c>
      <c r="D6479" s="70">
        <v>0</v>
      </c>
      <c r="E6479" s="111">
        <f t="shared" si="105"/>
        <v>138710</v>
      </c>
      <c r="F6479" s="69">
        <v>3.1085589461960109E-2</v>
      </c>
      <c r="G6479" s="69">
        <v>2.931818181818182E-2</v>
      </c>
    </row>
    <row r="6480" spans="1:7" x14ac:dyDescent="0.3">
      <c r="A6480" s="24">
        <v>41358</v>
      </c>
      <c r="B6480" s="66">
        <v>1105.21587</v>
      </c>
      <c r="C6480" s="66">
        <v>1025</v>
      </c>
      <c r="D6480" s="70">
        <v>0</v>
      </c>
      <c r="E6480" s="111">
        <f t="shared" si="105"/>
        <v>138710</v>
      </c>
      <c r="F6480" s="69">
        <v>3.1085589461960109E-2</v>
      </c>
      <c r="G6480" s="69">
        <v>2.931818181818182E-2</v>
      </c>
    </row>
    <row r="6481" spans="1:7" x14ac:dyDescent="0.3">
      <c r="A6481" s="24">
        <v>41359</v>
      </c>
      <c r="B6481" s="66">
        <v>1105.21587</v>
      </c>
      <c r="C6481" s="66">
        <v>1030</v>
      </c>
      <c r="D6481" s="70">
        <v>0</v>
      </c>
      <c r="E6481" s="111">
        <f t="shared" si="105"/>
        <v>138710</v>
      </c>
      <c r="F6481" s="69">
        <v>3.1085589461960109E-2</v>
      </c>
      <c r="G6481" s="69">
        <v>2.931818181818182E-2</v>
      </c>
    </row>
    <row r="6482" spans="1:7" x14ac:dyDescent="0.3">
      <c r="A6482" s="24">
        <v>41360</v>
      </c>
      <c r="B6482" s="66">
        <v>1105.21587</v>
      </c>
      <c r="C6482" s="66">
        <v>1030.0999999999999</v>
      </c>
      <c r="D6482" s="70">
        <v>0</v>
      </c>
      <c r="E6482" s="111">
        <f t="shared" si="105"/>
        <v>138710</v>
      </c>
      <c r="F6482" s="69">
        <v>3.1085589461960109E-2</v>
      </c>
      <c r="G6482" s="69">
        <v>2.931818181818182E-2</v>
      </c>
    </row>
    <row r="6483" spans="1:7" x14ac:dyDescent="0.3">
      <c r="A6483" s="24">
        <v>41361</v>
      </c>
      <c r="B6483" s="66">
        <v>1105.21587</v>
      </c>
      <c r="C6483" s="66">
        <v>1035</v>
      </c>
      <c r="D6483" s="70">
        <v>0</v>
      </c>
      <c r="E6483" s="111">
        <f t="shared" si="105"/>
        <v>138710</v>
      </c>
      <c r="F6483" s="69">
        <v>3.1085589461960109E-2</v>
      </c>
      <c r="G6483" s="69">
        <v>2.931818181818182E-2</v>
      </c>
    </row>
    <row r="6484" spans="1:7" x14ac:dyDescent="0.3">
      <c r="A6484" s="24">
        <v>41362</v>
      </c>
      <c r="B6484" s="66">
        <v>1105.21587</v>
      </c>
      <c r="C6484" s="66">
        <v>1035</v>
      </c>
      <c r="D6484" s="70">
        <v>0</v>
      </c>
      <c r="E6484" s="111">
        <f t="shared" si="105"/>
        <v>138710</v>
      </c>
      <c r="F6484" s="69">
        <v>3.1085589461960109E-2</v>
      </c>
      <c r="G6484" s="69">
        <v>2.9054054054054056E-2</v>
      </c>
    </row>
    <row r="6485" spans="1:7" x14ac:dyDescent="0.3">
      <c r="A6485" s="24">
        <v>41363</v>
      </c>
      <c r="B6485" s="66">
        <v>1105.21587</v>
      </c>
      <c r="C6485" s="66">
        <v>1035</v>
      </c>
      <c r="D6485" s="70">
        <v>0</v>
      </c>
      <c r="E6485" s="111">
        <f t="shared" si="105"/>
        <v>138710</v>
      </c>
      <c r="F6485" s="69">
        <v>3.0628497044264558E-2</v>
      </c>
      <c r="G6485" s="69">
        <v>2.9054054054054056E-2</v>
      </c>
    </row>
    <row r="6486" spans="1:7" x14ac:dyDescent="0.3">
      <c r="A6486" s="24">
        <v>41364</v>
      </c>
      <c r="B6486" s="66">
        <v>1111.7341000000001</v>
      </c>
      <c r="C6486" s="66">
        <v>1035</v>
      </c>
      <c r="D6486" s="70">
        <v>0</v>
      </c>
      <c r="E6486" s="111">
        <f t="shared" si="105"/>
        <v>138710</v>
      </c>
      <c r="F6486" s="69">
        <v>3.0628497044264558E-2</v>
      </c>
      <c r="G6486" s="69">
        <v>2.9054054054054056E-2</v>
      </c>
    </row>
    <row r="6487" spans="1:7" x14ac:dyDescent="0.3">
      <c r="A6487" s="24">
        <v>41365</v>
      </c>
      <c r="B6487" s="66">
        <v>1111.7341000000001</v>
      </c>
      <c r="C6487" s="66">
        <v>1035</v>
      </c>
      <c r="D6487" s="70">
        <v>0</v>
      </c>
      <c r="E6487" s="111">
        <f t="shared" si="105"/>
        <v>138710</v>
      </c>
      <c r="F6487" s="69">
        <v>3.0628497044264558E-2</v>
      </c>
      <c r="G6487" s="69">
        <v>2.9054054054054056E-2</v>
      </c>
    </row>
    <row r="6488" spans="1:7" x14ac:dyDescent="0.3">
      <c r="A6488" s="24">
        <v>41366</v>
      </c>
      <c r="B6488" s="66">
        <v>1111.7341000000001</v>
      </c>
      <c r="C6488" s="66">
        <v>1035</v>
      </c>
      <c r="D6488" s="70">
        <v>0</v>
      </c>
      <c r="E6488" s="111">
        <f t="shared" si="105"/>
        <v>138710</v>
      </c>
      <c r="F6488" s="69">
        <v>3.0628497044264558E-2</v>
      </c>
      <c r="G6488" s="69">
        <v>2.841409691629956E-2</v>
      </c>
    </row>
    <row r="6489" spans="1:7" x14ac:dyDescent="0.3">
      <c r="A6489" s="24">
        <v>41367</v>
      </c>
      <c r="B6489" s="66">
        <v>1111.7341000000001</v>
      </c>
      <c r="C6489" s="66">
        <v>1025</v>
      </c>
      <c r="D6489" s="70">
        <v>0</v>
      </c>
      <c r="E6489" s="111">
        <f t="shared" si="105"/>
        <v>138710</v>
      </c>
      <c r="F6489" s="69">
        <v>3.0628497044264558E-2</v>
      </c>
      <c r="G6489" s="69">
        <v>2.8165938864628821E-2</v>
      </c>
    </row>
    <row r="6490" spans="1:7" x14ac:dyDescent="0.3">
      <c r="A6490" s="24">
        <v>41368</v>
      </c>
      <c r="B6490" s="66">
        <v>1111.7341000000001</v>
      </c>
      <c r="C6490" s="66">
        <v>1030</v>
      </c>
      <c r="D6490" s="70">
        <v>0</v>
      </c>
      <c r="E6490" s="111">
        <f t="shared" si="105"/>
        <v>138710</v>
      </c>
      <c r="F6490" s="69">
        <v>3.0628497044264558E-2</v>
      </c>
      <c r="G6490" s="69">
        <v>2.8237457315471504E-2</v>
      </c>
    </row>
    <row r="6491" spans="1:7" x14ac:dyDescent="0.3">
      <c r="A6491" s="24">
        <v>41369</v>
      </c>
      <c r="B6491" s="66">
        <v>1111.7341000000001</v>
      </c>
      <c r="C6491" s="66">
        <v>1030</v>
      </c>
      <c r="D6491" s="70">
        <v>0</v>
      </c>
      <c r="E6491" s="111">
        <f t="shared" si="105"/>
        <v>138710</v>
      </c>
      <c r="F6491" s="69">
        <v>3.0628497044264558E-2</v>
      </c>
      <c r="G6491" s="69">
        <v>2.8237457315471504E-2</v>
      </c>
    </row>
    <row r="6492" spans="1:7" x14ac:dyDescent="0.3">
      <c r="A6492" s="24">
        <v>41370</v>
      </c>
      <c r="B6492" s="66">
        <v>1111.7341000000001</v>
      </c>
      <c r="C6492" s="66">
        <v>1030</v>
      </c>
      <c r="D6492" s="70">
        <v>0</v>
      </c>
      <c r="E6492" s="111">
        <f t="shared" si="105"/>
        <v>138710</v>
      </c>
      <c r="F6492" s="69">
        <v>3.0628497044264558E-2</v>
      </c>
      <c r="G6492" s="69">
        <v>2.8237457315471504E-2</v>
      </c>
    </row>
    <row r="6493" spans="1:7" x14ac:dyDescent="0.3">
      <c r="A6493" s="24">
        <v>41371</v>
      </c>
      <c r="B6493" s="66">
        <v>1111.7341000000001</v>
      </c>
      <c r="C6493" s="66">
        <v>1030</v>
      </c>
      <c r="D6493" s="70">
        <v>0</v>
      </c>
      <c r="E6493" s="111">
        <f t="shared" si="105"/>
        <v>138710</v>
      </c>
      <c r="F6493" s="69">
        <v>3.0628497044264558E-2</v>
      </c>
      <c r="G6493" s="69">
        <v>2.8237457315471504E-2</v>
      </c>
    </row>
    <row r="6494" spans="1:7" x14ac:dyDescent="0.3">
      <c r="A6494" s="24">
        <v>41372</v>
      </c>
      <c r="B6494" s="66">
        <v>1111.7341000000001</v>
      </c>
      <c r="C6494" s="66">
        <v>1030</v>
      </c>
      <c r="D6494" s="70">
        <v>0</v>
      </c>
      <c r="E6494" s="111">
        <f t="shared" si="105"/>
        <v>138710</v>
      </c>
      <c r="F6494" s="69">
        <v>3.0628497044264558E-2</v>
      </c>
      <c r="G6494" s="69">
        <v>2.8239929947460597E-2</v>
      </c>
    </row>
    <row r="6495" spans="1:7" x14ac:dyDescent="0.3">
      <c r="A6495" s="24">
        <v>41373</v>
      </c>
      <c r="B6495" s="66">
        <v>1111.7341000000001</v>
      </c>
      <c r="C6495" s="66">
        <v>1030</v>
      </c>
      <c r="D6495" s="70">
        <v>0</v>
      </c>
      <c r="E6495" s="111">
        <f t="shared" si="105"/>
        <v>138710</v>
      </c>
      <c r="F6495" s="69">
        <v>3.0628497044264558E-2</v>
      </c>
      <c r="G6495" s="69">
        <v>2.8239929947460597E-2</v>
      </c>
    </row>
    <row r="6496" spans="1:7" x14ac:dyDescent="0.3">
      <c r="A6496" s="24">
        <v>41374</v>
      </c>
      <c r="B6496" s="66">
        <v>1111.7341000000001</v>
      </c>
      <c r="C6496" s="66">
        <v>1030</v>
      </c>
      <c r="D6496" s="70">
        <v>0</v>
      </c>
      <c r="E6496" s="111">
        <f t="shared" si="105"/>
        <v>138710</v>
      </c>
      <c r="F6496" s="69">
        <v>3.0628497044264558E-2</v>
      </c>
      <c r="G6496" s="69">
        <v>2.7801724137931035E-2</v>
      </c>
    </row>
    <row r="6497" spans="1:7" x14ac:dyDescent="0.3">
      <c r="A6497" s="24">
        <v>41375</v>
      </c>
      <c r="B6497" s="66">
        <v>1111.7341000000001</v>
      </c>
      <c r="C6497" s="66">
        <v>1030</v>
      </c>
      <c r="D6497" s="70">
        <v>0</v>
      </c>
      <c r="E6497" s="111">
        <f t="shared" si="105"/>
        <v>138710</v>
      </c>
      <c r="F6497" s="69">
        <v>3.0628497044264558E-2</v>
      </c>
      <c r="G6497" s="69">
        <v>2.7801724137931035E-2</v>
      </c>
    </row>
    <row r="6498" spans="1:7" x14ac:dyDescent="0.3">
      <c r="A6498" s="24">
        <v>41376</v>
      </c>
      <c r="B6498" s="66">
        <v>1111.7341000000001</v>
      </c>
      <c r="C6498" s="66">
        <v>1030</v>
      </c>
      <c r="D6498" s="70">
        <v>0</v>
      </c>
      <c r="E6498" s="111">
        <f t="shared" si="105"/>
        <v>138710</v>
      </c>
      <c r="F6498" s="69">
        <v>3.0628497044264558E-2</v>
      </c>
      <c r="G6498" s="69">
        <v>2.7801724137931035E-2</v>
      </c>
    </row>
    <row r="6499" spans="1:7" x14ac:dyDescent="0.3">
      <c r="A6499" s="24">
        <v>41377</v>
      </c>
      <c r="B6499" s="66">
        <v>1111.7341000000001</v>
      </c>
      <c r="C6499" s="66">
        <v>1030</v>
      </c>
      <c r="D6499" s="70">
        <v>0</v>
      </c>
      <c r="E6499" s="111">
        <f t="shared" si="105"/>
        <v>138710</v>
      </c>
      <c r="F6499" s="69">
        <v>3.0628497044264558E-2</v>
      </c>
      <c r="G6499" s="69">
        <v>2.7801724137931035E-2</v>
      </c>
    </row>
    <row r="6500" spans="1:7" x14ac:dyDescent="0.3">
      <c r="A6500" s="24">
        <v>41378</v>
      </c>
      <c r="B6500" s="66">
        <v>1111.7341000000001</v>
      </c>
      <c r="C6500" s="66">
        <v>1030</v>
      </c>
      <c r="D6500" s="70">
        <v>0</v>
      </c>
      <c r="E6500" s="111">
        <f t="shared" si="105"/>
        <v>138710</v>
      </c>
      <c r="F6500" s="69">
        <v>3.0628497044264558E-2</v>
      </c>
      <c r="G6500" s="69">
        <v>2.7801724137931035E-2</v>
      </c>
    </row>
    <row r="6501" spans="1:7" x14ac:dyDescent="0.3">
      <c r="A6501" s="24">
        <v>41379</v>
      </c>
      <c r="B6501" s="66">
        <v>1111.7341000000001</v>
      </c>
      <c r="C6501" s="66">
        <v>1030</v>
      </c>
      <c r="D6501" s="70">
        <v>0</v>
      </c>
      <c r="E6501" s="111">
        <f t="shared" si="105"/>
        <v>138710</v>
      </c>
      <c r="F6501" s="69">
        <v>3.0628497044264558E-2</v>
      </c>
      <c r="G6501" s="69">
        <v>2.7682403433476395E-2</v>
      </c>
    </row>
    <row r="6502" spans="1:7" x14ac:dyDescent="0.3">
      <c r="A6502" s="24">
        <v>41380</v>
      </c>
      <c r="B6502" s="66">
        <v>1111.7341000000001</v>
      </c>
      <c r="C6502" s="66">
        <v>1030</v>
      </c>
      <c r="D6502" s="70">
        <v>0</v>
      </c>
      <c r="E6502" s="111">
        <f t="shared" si="105"/>
        <v>138710</v>
      </c>
      <c r="F6502" s="69">
        <v>3.0628497044264558E-2</v>
      </c>
      <c r="G6502" s="69">
        <v>2.7634961439588688E-2</v>
      </c>
    </row>
    <row r="6503" spans="1:7" x14ac:dyDescent="0.3">
      <c r="A6503" s="24">
        <v>41381</v>
      </c>
      <c r="B6503" s="66">
        <v>1111.7341000000001</v>
      </c>
      <c r="C6503" s="66">
        <v>1030</v>
      </c>
      <c r="D6503" s="70">
        <v>0</v>
      </c>
      <c r="E6503" s="111">
        <f t="shared" si="105"/>
        <v>138710</v>
      </c>
      <c r="F6503" s="69">
        <v>3.0628497044264558E-2</v>
      </c>
      <c r="G6503" s="69">
        <v>2.765629019809622E-2</v>
      </c>
    </row>
    <row r="6504" spans="1:7" x14ac:dyDescent="0.3">
      <c r="A6504" s="24">
        <v>41382</v>
      </c>
      <c r="B6504" s="66">
        <v>1111.7341000000001</v>
      </c>
      <c r="C6504" s="66">
        <v>1030</v>
      </c>
      <c r="D6504" s="70">
        <v>0</v>
      </c>
      <c r="E6504" s="111">
        <f t="shared" si="105"/>
        <v>138710</v>
      </c>
      <c r="F6504" s="69">
        <v>3.0628497044264558E-2</v>
      </c>
      <c r="G6504" s="69">
        <v>2.6875E-2</v>
      </c>
    </row>
    <row r="6505" spans="1:7" x14ac:dyDescent="0.3">
      <c r="A6505" s="24">
        <v>41383</v>
      </c>
      <c r="B6505" s="66">
        <v>1111.7341000000001</v>
      </c>
      <c r="C6505" s="66">
        <v>1020</v>
      </c>
      <c r="D6505" s="70">
        <v>0</v>
      </c>
      <c r="E6505" s="111">
        <f t="shared" si="105"/>
        <v>138710</v>
      </c>
      <c r="F6505" s="69">
        <v>3.0628497044264558E-2</v>
      </c>
      <c r="G6505" s="69">
        <v>2.6875E-2</v>
      </c>
    </row>
    <row r="6506" spans="1:7" x14ac:dyDescent="0.3">
      <c r="A6506" s="24">
        <v>41384</v>
      </c>
      <c r="B6506" s="66">
        <v>1111.7341000000001</v>
      </c>
      <c r="C6506" s="66">
        <v>1020</v>
      </c>
      <c r="D6506" s="70">
        <v>0</v>
      </c>
      <c r="E6506" s="111">
        <f t="shared" si="105"/>
        <v>138710</v>
      </c>
      <c r="F6506" s="69">
        <v>3.0628497044264558E-2</v>
      </c>
      <c r="G6506" s="69">
        <v>2.6875E-2</v>
      </c>
    </row>
    <row r="6507" spans="1:7" x14ac:dyDescent="0.3">
      <c r="A6507" s="24">
        <v>41385</v>
      </c>
      <c r="B6507" s="66">
        <v>1111.7341000000001</v>
      </c>
      <c r="C6507" s="66">
        <v>1020</v>
      </c>
      <c r="D6507" s="70">
        <v>0</v>
      </c>
      <c r="E6507" s="111">
        <f t="shared" si="105"/>
        <v>138710</v>
      </c>
      <c r="F6507" s="69">
        <v>3.0628497044264558E-2</v>
      </c>
      <c r="G6507" s="69">
        <v>2.6875E-2</v>
      </c>
    </row>
    <row r="6508" spans="1:7" x14ac:dyDescent="0.3">
      <c r="A6508" s="24">
        <v>41386</v>
      </c>
      <c r="B6508" s="66">
        <v>1111.7341000000001</v>
      </c>
      <c r="C6508" s="66">
        <v>1019.8</v>
      </c>
      <c r="D6508" s="70">
        <v>0</v>
      </c>
      <c r="E6508" s="111">
        <f t="shared" si="105"/>
        <v>138710</v>
      </c>
      <c r="F6508" s="69">
        <v>3.0628497044264558E-2</v>
      </c>
      <c r="G6508" s="69">
        <v>2.6875E-2</v>
      </c>
    </row>
    <row r="6509" spans="1:7" x14ac:dyDescent="0.3">
      <c r="A6509" s="24">
        <v>41387</v>
      </c>
      <c r="B6509" s="66">
        <v>1111.7341000000001</v>
      </c>
      <c r="C6509" s="66">
        <v>1019.8</v>
      </c>
      <c r="D6509" s="70">
        <v>0</v>
      </c>
      <c r="E6509" s="111">
        <f t="shared" si="105"/>
        <v>138710</v>
      </c>
      <c r="F6509" s="69">
        <v>3.0628497044264558E-2</v>
      </c>
      <c r="G6509" s="69">
        <v>2.6875E-2</v>
      </c>
    </row>
    <row r="6510" spans="1:7" x14ac:dyDescent="0.3">
      <c r="A6510" s="24">
        <v>41388</v>
      </c>
      <c r="B6510" s="66">
        <v>1111.7341000000001</v>
      </c>
      <c r="C6510" s="66">
        <v>1016</v>
      </c>
      <c r="D6510" s="70">
        <v>0</v>
      </c>
      <c r="E6510" s="111">
        <f t="shared" si="105"/>
        <v>138710</v>
      </c>
      <c r="F6510" s="69">
        <v>3.0628497044264558E-2</v>
      </c>
      <c r="G6510" s="69">
        <v>2.6875E-2</v>
      </c>
    </row>
    <row r="6511" spans="1:7" x14ac:dyDescent="0.3">
      <c r="A6511" s="24">
        <v>41389</v>
      </c>
      <c r="B6511" s="66">
        <v>1111.7341000000001</v>
      </c>
      <c r="C6511" s="66">
        <v>1015</v>
      </c>
      <c r="D6511" s="70">
        <v>0</v>
      </c>
      <c r="E6511" s="111">
        <f t="shared" si="105"/>
        <v>138710</v>
      </c>
      <c r="F6511" s="69">
        <v>3.0628497044264558E-2</v>
      </c>
      <c r="G6511" s="69">
        <v>2.6870521579736708E-2</v>
      </c>
    </row>
    <row r="6512" spans="1:7" x14ac:dyDescent="0.3">
      <c r="A6512" s="24">
        <v>41390</v>
      </c>
      <c r="B6512" s="66">
        <v>1111.7341000000001</v>
      </c>
      <c r="C6512" s="66">
        <v>1015</v>
      </c>
      <c r="D6512" s="70">
        <v>0</v>
      </c>
      <c r="E6512" s="111">
        <f t="shared" si="105"/>
        <v>138710</v>
      </c>
      <c r="F6512" s="69">
        <v>3.0628497044264558E-2</v>
      </c>
      <c r="G6512" s="69">
        <v>2.6438760452533204E-2</v>
      </c>
    </row>
    <row r="6513" spans="1:7" x14ac:dyDescent="0.3">
      <c r="A6513" s="24">
        <v>41391</v>
      </c>
      <c r="B6513" s="66">
        <v>1111.7341000000001</v>
      </c>
      <c r="C6513" s="66">
        <v>1015</v>
      </c>
      <c r="D6513" s="70">
        <v>0</v>
      </c>
      <c r="E6513" s="111">
        <f t="shared" si="105"/>
        <v>138710</v>
      </c>
      <c r="F6513" s="69">
        <v>3.0628497044264558E-2</v>
      </c>
      <c r="G6513" s="69">
        <v>2.6438760452533204E-2</v>
      </c>
    </row>
    <row r="6514" spans="1:7" x14ac:dyDescent="0.3">
      <c r="A6514" s="24">
        <v>41392</v>
      </c>
      <c r="B6514" s="66">
        <v>1111.7341000000001</v>
      </c>
      <c r="C6514" s="66">
        <v>1015</v>
      </c>
      <c r="D6514" s="70">
        <v>0</v>
      </c>
      <c r="E6514" s="111">
        <f t="shared" si="105"/>
        <v>138710</v>
      </c>
      <c r="F6514" s="69">
        <v>3.0628497044264558E-2</v>
      </c>
      <c r="G6514" s="69">
        <v>2.6438760452533204E-2</v>
      </c>
    </row>
    <row r="6515" spans="1:7" x14ac:dyDescent="0.3">
      <c r="A6515" s="24">
        <v>41393</v>
      </c>
      <c r="B6515" s="66">
        <v>1111.7341000000001</v>
      </c>
      <c r="C6515" s="66">
        <v>1015</v>
      </c>
      <c r="D6515" s="70">
        <v>0</v>
      </c>
      <c r="E6515" s="111">
        <f t="shared" si="105"/>
        <v>138710</v>
      </c>
      <c r="F6515" s="69">
        <v>3.0628497044264558E-2</v>
      </c>
      <c r="G6515" s="69">
        <v>2.6434426229508198E-2</v>
      </c>
    </row>
    <row r="6516" spans="1:7" x14ac:dyDescent="0.3">
      <c r="A6516" s="24">
        <v>41394</v>
      </c>
      <c r="B6516" s="66">
        <v>1116.5616</v>
      </c>
      <c r="C6516" s="66">
        <v>1020</v>
      </c>
      <c r="D6516" s="70">
        <v>0</v>
      </c>
      <c r="E6516" s="111">
        <f t="shared" si="105"/>
        <v>138710</v>
      </c>
      <c r="F6516" s="69">
        <v>3.0628497044264558E-2</v>
      </c>
      <c r="G6516" s="69">
        <v>2.6434426229508198E-2</v>
      </c>
    </row>
    <row r="6517" spans="1:7" x14ac:dyDescent="0.3">
      <c r="A6517" s="24">
        <v>41395</v>
      </c>
      <c r="B6517" s="66">
        <v>1116.5616</v>
      </c>
      <c r="C6517" s="66">
        <v>1020</v>
      </c>
      <c r="D6517" s="70">
        <v>0</v>
      </c>
      <c r="E6517" s="111">
        <f t="shared" si="105"/>
        <v>138710</v>
      </c>
      <c r="F6517" s="69">
        <v>3.0628497044264558E-2</v>
      </c>
      <c r="G6517" s="69">
        <v>2.6434426229508198E-2</v>
      </c>
    </row>
    <row r="6518" spans="1:7" x14ac:dyDescent="0.3">
      <c r="A6518" s="24">
        <v>41396</v>
      </c>
      <c r="B6518" s="66">
        <v>1116.5616</v>
      </c>
      <c r="C6518" s="66">
        <v>1020</v>
      </c>
      <c r="D6518" s="70">
        <v>0</v>
      </c>
      <c r="E6518" s="111">
        <f t="shared" si="105"/>
        <v>138710</v>
      </c>
      <c r="F6518" s="69">
        <v>3.0628497044264558E-2</v>
      </c>
      <c r="G6518" s="69">
        <v>2.6240846216436128E-2</v>
      </c>
    </row>
    <row r="6519" spans="1:7" x14ac:dyDescent="0.3">
      <c r="A6519" s="24">
        <v>41397</v>
      </c>
      <c r="B6519" s="66">
        <v>1116.5616</v>
      </c>
      <c r="C6519" s="66">
        <v>1018</v>
      </c>
      <c r="D6519" s="70">
        <v>0</v>
      </c>
      <c r="E6519" s="111">
        <f t="shared" si="105"/>
        <v>138710</v>
      </c>
      <c r="F6519" s="69">
        <v>3.0628497044264558E-2</v>
      </c>
      <c r="G6519" s="69">
        <v>2.6324381683127909E-2</v>
      </c>
    </row>
    <row r="6520" spans="1:7" x14ac:dyDescent="0.3">
      <c r="A6520" s="24">
        <v>41398</v>
      </c>
      <c r="B6520" s="66">
        <v>1116.5616</v>
      </c>
      <c r="C6520" s="66">
        <v>1018</v>
      </c>
      <c r="D6520" s="70">
        <v>0</v>
      </c>
      <c r="E6520" s="111">
        <f t="shared" si="105"/>
        <v>138710</v>
      </c>
      <c r="F6520" s="69">
        <v>3.0628497044264558E-2</v>
      </c>
      <c r="G6520" s="69">
        <v>2.6324381683127909E-2</v>
      </c>
    </row>
    <row r="6521" spans="1:7" x14ac:dyDescent="0.3">
      <c r="A6521" s="24">
        <v>41399</v>
      </c>
      <c r="B6521" s="66">
        <v>1116.5616</v>
      </c>
      <c r="C6521" s="66">
        <v>1018</v>
      </c>
      <c r="D6521" s="70">
        <v>0</v>
      </c>
      <c r="E6521" s="111">
        <f t="shared" si="105"/>
        <v>138710</v>
      </c>
      <c r="F6521" s="69">
        <v>3.0628497044264558E-2</v>
      </c>
      <c r="G6521" s="69">
        <v>2.6324381683127909E-2</v>
      </c>
    </row>
    <row r="6522" spans="1:7" x14ac:dyDescent="0.3">
      <c r="A6522" s="24">
        <v>41400</v>
      </c>
      <c r="B6522" s="66">
        <v>1116.5616</v>
      </c>
      <c r="C6522" s="66">
        <v>1020</v>
      </c>
      <c r="D6522" s="70">
        <v>0</v>
      </c>
      <c r="E6522" s="111">
        <f t="shared" si="105"/>
        <v>138710</v>
      </c>
      <c r="F6522" s="69">
        <v>3.0628497044264558E-2</v>
      </c>
      <c r="G6522" s="69">
        <v>2.7564102564102563E-2</v>
      </c>
    </row>
    <row r="6523" spans="1:7" x14ac:dyDescent="0.3">
      <c r="A6523" s="24">
        <v>41401</v>
      </c>
      <c r="B6523" s="66">
        <v>1116.5616</v>
      </c>
      <c r="C6523" s="66">
        <v>1020</v>
      </c>
      <c r="D6523" s="70">
        <v>0</v>
      </c>
      <c r="E6523" s="111">
        <f t="shared" si="105"/>
        <v>138710</v>
      </c>
      <c r="F6523" s="69">
        <v>1.8044695933055088E-2</v>
      </c>
      <c r="G6523" s="69">
        <v>1.6101694915254237E-2</v>
      </c>
    </row>
    <row r="6524" spans="1:7" x14ac:dyDescent="0.3">
      <c r="A6524" s="24">
        <v>41402</v>
      </c>
      <c r="B6524" s="66">
        <v>1116.5616</v>
      </c>
      <c r="C6524" s="66">
        <v>1020</v>
      </c>
      <c r="D6524" s="70">
        <v>0</v>
      </c>
      <c r="E6524" s="111">
        <f t="shared" si="105"/>
        <v>138710</v>
      </c>
      <c r="F6524" s="69">
        <v>1.8044695933055088E-2</v>
      </c>
      <c r="G6524" s="69">
        <v>1.6239316239316241E-2</v>
      </c>
    </row>
    <row r="6525" spans="1:7" x14ac:dyDescent="0.3">
      <c r="A6525" s="24">
        <v>41403</v>
      </c>
      <c r="B6525" s="66">
        <v>1116.5616</v>
      </c>
      <c r="C6525" s="66">
        <v>1020</v>
      </c>
      <c r="D6525" s="70">
        <v>0</v>
      </c>
      <c r="E6525" s="111">
        <f t="shared" si="105"/>
        <v>138710</v>
      </c>
      <c r="F6525" s="69">
        <v>1.8044695933055088E-2</v>
      </c>
      <c r="G6525" s="69">
        <v>1.6239316239316241E-2</v>
      </c>
    </row>
    <row r="6526" spans="1:7" x14ac:dyDescent="0.3">
      <c r="A6526" s="24">
        <v>41404</v>
      </c>
      <c r="B6526" s="66">
        <v>1116.5616</v>
      </c>
      <c r="C6526" s="66">
        <v>1025</v>
      </c>
      <c r="D6526" s="70">
        <v>0</v>
      </c>
      <c r="E6526" s="111">
        <f t="shared" si="105"/>
        <v>138710</v>
      </c>
      <c r="F6526" s="69">
        <v>1.8044695933055088E-2</v>
      </c>
      <c r="G6526" s="69">
        <v>1.6170212765957447E-2</v>
      </c>
    </row>
    <row r="6527" spans="1:7" x14ac:dyDescent="0.3">
      <c r="A6527" s="24">
        <v>41405</v>
      </c>
      <c r="B6527" s="66">
        <v>1116.5616</v>
      </c>
      <c r="C6527" s="66">
        <v>1025</v>
      </c>
      <c r="D6527" s="70">
        <v>0</v>
      </c>
      <c r="E6527" s="111">
        <f t="shared" si="105"/>
        <v>138710</v>
      </c>
      <c r="F6527" s="69">
        <v>1.8044695933055088E-2</v>
      </c>
      <c r="G6527" s="69">
        <v>1.6170212765957447E-2</v>
      </c>
    </row>
    <row r="6528" spans="1:7" x14ac:dyDescent="0.3">
      <c r="A6528" s="24">
        <v>41406</v>
      </c>
      <c r="B6528" s="66">
        <v>1116.5616</v>
      </c>
      <c r="C6528" s="66">
        <v>1025</v>
      </c>
      <c r="D6528" s="70">
        <v>0</v>
      </c>
      <c r="E6528" s="111">
        <f t="shared" si="105"/>
        <v>138710</v>
      </c>
      <c r="F6528" s="69">
        <v>1.8044695933055088E-2</v>
      </c>
      <c r="G6528" s="69">
        <v>1.6170212765957447E-2</v>
      </c>
    </row>
    <row r="6529" spans="1:7" x14ac:dyDescent="0.3">
      <c r="A6529" s="24">
        <v>41407</v>
      </c>
      <c r="B6529" s="66">
        <v>1116.5616</v>
      </c>
      <c r="C6529" s="66">
        <v>1010</v>
      </c>
      <c r="D6529" s="70">
        <v>0</v>
      </c>
      <c r="E6529" s="111">
        <f t="shared" si="105"/>
        <v>138710</v>
      </c>
      <c r="F6529" s="69">
        <v>1.8044695933055088E-2</v>
      </c>
      <c r="G6529" s="69">
        <v>1.6239316239316241E-2</v>
      </c>
    </row>
    <row r="6530" spans="1:7" x14ac:dyDescent="0.3">
      <c r="A6530" s="24">
        <v>41408</v>
      </c>
      <c r="B6530" s="66">
        <v>1116.5616</v>
      </c>
      <c r="C6530" s="66">
        <v>1010</v>
      </c>
      <c r="D6530" s="70">
        <v>0</v>
      </c>
      <c r="E6530" s="111">
        <f t="shared" si="105"/>
        <v>138710</v>
      </c>
      <c r="F6530" s="69">
        <v>1.8044695933055088E-2</v>
      </c>
      <c r="G6530" s="69">
        <v>1.6239316239316241E-2</v>
      </c>
    </row>
    <row r="6531" spans="1:7" x14ac:dyDescent="0.3">
      <c r="A6531" s="24">
        <v>41409</v>
      </c>
      <c r="B6531" s="66">
        <v>1116.5616</v>
      </c>
      <c r="C6531" s="66">
        <v>1010</v>
      </c>
      <c r="D6531" s="70">
        <v>0</v>
      </c>
      <c r="E6531" s="111">
        <f t="shared" si="105"/>
        <v>138710</v>
      </c>
      <c r="F6531" s="69">
        <v>1.8044695933055088E-2</v>
      </c>
      <c r="G6531" s="69">
        <v>1.6239316239316241E-2</v>
      </c>
    </row>
    <row r="6532" spans="1:7" x14ac:dyDescent="0.3">
      <c r="A6532" s="24">
        <v>41410</v>
      </c>
      <c r="B6532" s="66">
        <v>1116.5616</v>
      </c>
      <c r="C6532" s="66">
        <v>1010</v>
      </c>
      <c r="D6532" s="70">
        <v>0</v>
      </c>
      <c r="E6532" s="111">
        <f t="shared" si="105"/>
        <v>138710</v>
      </c>
      <c r="F6532" s="69">
        <v>1.8044695933055088E-2</v>
      </c>
      <c r="G6532" s="69">
        <v>1.6239316239316241E-2</v>
      </c>
    </row>
    <row r="6533" spans="1:7" x14ac:dyDescent="0.3">
      <c r="A6533" s="24">
        <v>41411</v>
      </c>
      <c r="B6533" s="66">
        <v>1116.5616</v>
      </c>
      <c r="C6533" s="66">
        <v>1009.999</v>
      </c>
      <c r="D6533" s="70">
        <v>25</v>
      </c>
      <c r="E6533" s="111">
        <f t="shared" si="105"/>
        <v>138710</v>
      </c>
      <c r="F6533" s="69">
        <v>4.178771689760126E-2</v>
      </c>
      <c r="G6533" s="69">
        <v>3.7606837606837605E-2</v>
      </c>
    </row>
    <row r="6534" spans="1:7" x14ac:dyDescent="0.3">
      <c r="A6534" s="24">
        <v>41412</v>
      </c>
      <c r="B6534" s="66">
        <v>1116.5616</v>
      </c>
      <c r="C6534" s="66">
        <v>1009.999</v>
      </c>
      <c r="D6534" s="70">
        <v>0</v>
      </c>
      <c r="E6534" s="111">
        <f t="shared" si="105"/>
        <v>138710</v>
      </c>
      <c r="F6534" s="69">
        <v>4.178771689760126E-2</v>
      </c>
      <c r="G6534" s="69">
        <v>3.7606837606837605E-2</v>
      </c>
    </row>
    <row r="6535" spans="1:7" x14ac:dyDescent="0.3">
      <c r="A6535" s="24">
        <v>41413</v>
      </c>
      <c r="B6535" s="66">
        <v>1116.5616</v>
      </c>
      <c r="C6535" s="66">
        <v>1009.999</v>
      </c>
      <c r="D6535" s="70">
        <v>0</v>
      </c>
      <c r="E6535" s="111">
        <f t="shared" si="105"/>
        <v>138710</v>
      </c>
      <c r="F6535" s="69">
        <v>4.178771689760126E-2</v>
      </c>
      <c r="G6535" s="69">
        <v>3.7606837606837605E-2</v>
      </c>
    </row>
    <row r="6536" spans="1:7" x14ac:dyDescent="0.3">
      <c r="A6536" s="24">
        <v>41414</v>
      </c>
      <c r="B6536" s="66">
        <v>1116.5616</v>
      </c>
      <c r="C6536" s="66">
        <v>1008</v>
      </c>
      <c r="D6536" s="70">
        <v>0</v>
      </c>
      <c r="E6536" s="111">
        <f t="shared" si="105"/>
        <v>138710</v>
      </c>
      <c r="F6536" s="69">
        <v>4.178771689760126E-2</v>
      </c>
      <c r="G6536" s="69">
        <v>3.7606837606837605E-2</v>
      </c>
    </row>
    <row r="6537" spans="1:7" x14ac:dyDescent="0.3">
      <c r="A6537" s="24">
        <v>41415</v>
      </c>
      <c r="B6537" s="66">
        <v>1116.5616</v>
      </c>
      <c r="C6537" s="66">
        <v>1008</v>
      </c>
      <c r="D6537" s="70">
        <v>0</v>
      </c>
      <c r="E6537" s="111">
        <f t="shared" ref="E6537:E6600" si="106">+E6536</f>
        <v>138710</v>
      </c>
      <c r="F6537" s="69">
        <v>4.178771689760126E-2</v>
      </c>
      <c r="G6537" s="69">
        <v>3.7610052141208647E-2</v>
      </c>
    </row>
    <row r="6538" spans="1:7" x14ac:dyDescent="0.3">
      <c r="A6538" s="24">
        <v>41416</v>
      </c>
      <c r="B6538" s="66">
        <v>1116.5616</v>
      </c>
      <c r="C6538" s="66">
        <v>1000</v>
      </c>
      <c r="D6538" s="70">
        <v>0</v>
      </c>
      <c r="E6538" s="111">
        <f t="shared" si="106"/>
        <v>138710</v>
      </c>
      <c r="F6538" s="69">
        <v>4.178771689760126E-2</v>
      </c>
      <c r="G6538" s="69">
        <v>3.7671232876712327E-2</v>
      </c>
    </row>
    <row r="6539" spans="1:7" x14ac:dyDescent="0.3">
      <c r="A6539" s="24">
        <v>41417</v>
      </c>
      <c r="B6539" s="66">
        <v>1116.5616</v>
      </c>
      <c r="C6539" s="66">
        <v>1000</v>
      </c>
      <c r="D6539" s="70">
        <v>0</v>
      </c>
      <c r="E6539" s="111">
        <f t="shared" si="106"/>
        <v>138710</v>
      </c>
      <c r="F6539" s="69">
        <v>4.178771689760126E-2</v>
      </c>
      <c r="G6539" s="69">
        <v>3.7671232876712327E-2</v>
      </c>
    </row>
    <row r="6540" spans="1:7" x14ac:dyDescent="0.3">
      <c r="A6540" s="24">
        <v>41418</v>
      </c>
      <c r="B6540" s="66">
        <v>1116.5616</v>
      </c>
      <c r="C6540" s="66">
        <v>1000</v>
      </c>
      <c r="D6540" s="70">
        <v>0</v>
      </c>
      <c r="E6540" s="111">
        <f t="shared" si="106"/>
        <v>138710</v>
      </c>
      <c r="F6540" s="69">
        <v>4.178771689760126E-2</v>
      </c>
      <c r="G6540" s="69">
        <v>3.7768240343347637E-2</v>
      </c>
    </row>
    <row r="6541" spans="1:7" x14ac:dyDescent="0.3">
      <c r="A6541" s="24">
        <v>41419</v>
      </c>
      <c r="B6541" s="66">
        <v>1116.5616</v>
      </c>
      <c r="C6541" s="66">
        <v>1000</v>
      </c>
      <c r="D6541" s="70">
        <v>0</v>
      </c>
      <c r="E6541" s="111">
        <f t="shared" si="106"/>
        <v>138710</v>
      </c>
      <c r="F6541" s="69">
        <v>4.178771689760126E-2</v>
      </c>
      <c r="G6541" s="69">
        <v>3.7768240343347637E-2</v>
      </c>
    </row>
    <row r="6542" spans="1:7" x14ac:dyDescent="0.3">
      <c r="A6542" s="24">
        <v>41420</v>
      </c>
      <c r="B6542" s="66">
        <v>1116.5616</v>
      </c>
      <c r="C6542" s="66">
        <v>1000</v>
      </c>
      <c r="D6542" s="70">
        <v>0</v>
      </c>
      <c r="E6542" s="111">
        <f t="shared" si="106"/>
        <v>138710</v>
      </c>
      <c r="F6542" s="69">
        <v>4.178771689760126E-2</v>
      </c>
      <c r="G6542" s="69">
        <v>3.7768240343347637E-2</v>
      </c>
    </row>
    <row r="6543" spans="1:7" x14ac:dyDescent="0.3">
      <c r="A6543" s="24">
        <v>41421</v>
      </c>
      <c r="B6543" s="66">
        <v>1116.5616</v>
      </c>
      <c r="C6543" s="66">
        <v>1000</v>
      </c>
      <c r="D6543" s="70">
        <v>0</v>
      </c>
      <c r="E6543" s="111">
        <f t="shared" si="106"/>
        <v>138710</v>
      </c>
      <c r="F6543" s="69">
        <v>4.178771689760126E-2</v>
      </c>
      <c r="G6543" s="69">
        <v>3.7687366167023555E-2</v>
      </c>
    </row>
    <row r="6544" spans="1:7" x14ac:dyDescent="0.3">
      <c r="A6544" s="24">
        <v>41422</v>
      </c>
      <c r="B6544" s="66">
        <v>1116.5616</v>
      </c>
      <c r="C6544" s="66">
        <v>1000</v>
      </c>
      <c r="D6544" s="70">
        <v>0</v>
      </c>
      <c r="E6544" s="111">
        <f t="shared" si="106"/>
        <v>138710</v>
      </c>
      <c r="F6544" s="69">
        <v>4.178771689760126E-2</v>
      </c>
      <c r="G6544" s="69">
        <v>3.793103448275862E-2</v>
      </c>
    </row>
    <row r="6545" spans="1:7" x14ac:dyDescent="0.3">
      <c r="A6545" s="24">
        <v>41423</v>
      </c>
      <c r="B6545" s="66">
        <v>1116.5616</v>
      </c>
      <c r="C6545" s="66">
        <v>980</v>
      </c>
      <c r="D6545" s="70">
        <v>0</v>
      </c>
      <c r="E6545" s="111">
        <f t="shared" si="106"/>
        <v>138710</v>
      </c>
      <c r="F6545" s="69">
        <v>4.178771689760126E-2</v>
      </c>
      <c r="G6545" s="69">
        <v>3.826086956521739E-2</v>
      </c>
    </row>
    <row r="6546" spans="1:7" x14ac:dyDescent="0.3">
      <c r="A6546" s="24">
        <v>41424</v>
      </c>
      <c r="B6546" s="66">
        <v>1116.5616</v>
      </c>
      <c r="C6546" s="66">
        <v>980</v>
      </c>
      <c r="D6546" s="70">
        <v>0</v>
      </c>
      <c r="E6546" s="111">
        <f t="shared" si="106"/>
        <v>138710</v>
      </c>
      <c r="F6546" s="69">
        <v>4.178771689760126E-2</v>
      </c>
      <c r="G6546" s="69">
        <v>3.826086956521739E-2</v>
      </c>
    </row>
    <row r="6547" spans="1:7" x14ac:dyDescent="0.3">
      <c r="A6547" s="24">
        <v>41425</v>
      </c>
      <c r="B6547" s="66">
        <v>1105.3286599999999</v>
      </c>
      <c r="C6547" s="66">
        <v>980</v>
      </c>
      <c r="D6547" s="70">
        <v>0</v>
      </c>
      <c r="E6547" s="111">
        <f t="shared" si="106"/>
        <v>138710</v>
      </c>
      <c r="F6547" s="69">
        <v>4.178771689760126E-2</v>
      </c>
      <c r="G6547" s="69">
        <v>3.826086956521739E-2</v>
      </c>
    </row>
    <row r="6548" spans="1:7" x14ac:dyDescent="0.3">
      <c r="A6548" s="24">
        <v>41426</v>
      </c>
      <c r="B6548" s="66">
        <v>1105.3286599999999</v>
      </c>
      <c r="C6548" s="66">
        <v>980</v>
      </c>
      <c r="D6548" s="70">
        <v>0</v>
      </c>
      <c r="E6548" s="111">
        <f t="shared" si="106"/>
        <v>138710</v>
      </c>
      <c r="F6548" s="69">
        <v>4.178771689760126E-2</v>
      </c>
      <c r="G6548" s="69">
        <v>3.826086956521739E-2</v>
      </c>
    </row>
    <row r="6549" spans="1:7" x14ac:dyDescent="0.3">
      <c r="A6549" s="24">
        <v>41427</v>
      </c>
      <c r="B6549" s="66">
        <v>1105.3286599999999</v>
      </c>
      <c r="C6549" s="66">
        <v>980</v>
      </c>
      <c r="D6549" s="70">
        <v>0</v>
      </c>
      <c r="E6549" s="111">
        <f t="shared" si="106"/>
        <v>138710</v>
      </c>
      <c r="F6549" s="69">
        <v>4.178771689760126E-2</v>
      </c>
      <c r="G6549" s="69">
        <v>3.826086956521739E-2</v>
      </c>
    </row>
    <row r="6550" spans="1:7" x14ac:dyDescent="0.3">
      <c r="A6550" s="24">
        <v>41428</v>
      </c>
      <c r="B6550" s="66">
        <v>1105.3286599999999</v>
      </c>
      <c r="C6550" s="66">
        <v>980</v>
      </c>
      <c r="D6550" s="70">
        <v>0</v>
      </c>
      <c r="E6550" s="111">
        <f t="shared" si="106"/>
        <v>138710</v>
      </c>
      <c r="F6550" s="69">
        <v>4.178771689760126E-2</v>
      </c>
      <c r="G6550" s="69">
        <v>0.04</v>
      </c>
    </row>
    <row r="6551" spans="1:7" x14ac:dyDescent="0.3">
      <c r="A6551" s="24">
        <v>41429</v>
      </c>
      <c r="B6551" s="66">
        <v>1105.3286599999999</v>
      </c>
      <c r="C6551" s="66">
        <v>980</v>
      </c>
      <c r="D6551" s="70">
        <v>0</v>
      </c>
      <c r="E6551" s="111">
        <f t="shared" si="106"/>
        <v>138710</v>
      </c>
      <c r="F6551" s="69">
        <v>4.178771689760126E-2</v>
      </c>
      <c r="G6551" s="69">
        <v>0.04</v>
      </c>
    </row>
    <row r="6552" spans="1:7" x14ac:dyDescent="0.3">
      <c r="A6552" s="24">
        <v>41430</v>
      </c>
      <c r="B6552" s="66">
        <v>1105.3286599999999</v>
      </c>
      <c r="C6552" s="66">
        <v>979.9</v>
      </c>
      <c r="D6552" s="70">
        <v>0</v>
      </c>
      <c r="E6552" s="111">
        <f t="shared" si="106"/>
        <v>138710</v>
      </c>
      <c r="F6552" s="69">
        <v>4.178771689760126E-2</v>
      </c>
      <c r="G6552" s="69">
        <v>0.04</v>
      </c>
    </row>
    <row r="6553" spans="1:7" x14ac:dyDescent="0.3">
      <c r="A6553" s="24">
        <v>41431</v>
      </c>
      <c r="B6553" s="66">
        <v>1105.3286599999999</v>
      </c>
      <c r="C6553" s="66">
        <v>979.9</v>
      </c>
      <c r="D6553" s="70">
        <v>0</v>
      </c>
      <c r="E6553" s="111">
        <f t="shared" si="106"/>
        <v>138710</v>
      </c>
      <c r="F6553" s="69">
        <v>4.178771689760126E-2</v>
      </c>
      <c r="G6553" s="69">
        <v>0.04</v>
      </c>
    </row>
    <row r="6554" spans="1:7" x14ac:dyDescent="0.3">
      <c r="A6554" s="24">
        <v>41432</v>
      </c>
      <c r="B6554" s="66">
        <v>1105.3286599999999</v>
      </c>
      <c r="C6554" s="66">
        <v>950</v>
      </c>
      <c r="D6554" s="70">
        <v>0</v>
      </c>
      <c r="E6554" s="111">
        <f t="shared" si="106"/>
        <v>138710</v>
      </c>
      <c r="F6554" s="69">
        <v>4.178771689760126E-2</v>
      </c>
      <c r="G6554" s="69">
        <v>3.9643211100099107E-2</v>
      </c>
    </row>
    <row r="6555" spans="1:7" x14ac:dyDescent="0.3">
      <c r="A6555" s="24">
        <v>41433</v>
      </c>
      <c r="B6555" s="66">
        <v>1105.3286599999999</v>
      </c>
      <c r="C6555" s="66">
        <v>950</v>
      </c>
      <c r="D6555" s="70">
        <v>0</v>
      </c>
      <c r="E6555" s="111">
        <f t="shared" si="106"/>
        <v>138710</v>
      </c>
      <c r="F6555" s="69">
        <v>4.178771689760126E-2</v>
      </c>
      <c r="G6555" s="69">
        <v>3.9643211100099107E-2</v>
      </c>
    </row>
    <row r="6556" spans="1:7" x14ac:dyDescent="0.3">
      <c r="A6556" s="24">
        <v>41434</v>
      </c>
      <c r="B6556" s="66">
        <v>1105.3286599999999</v>
      </c>
      <c r="C6556" s="66">
        <v>950</v>
      </c>
      <c r="D6556" s="70">
        <v>0</v>
      </c>
      <c r="E6556" s="111">
        <f t="shared" si="106"/>
        <v>138710</v>
      </c>
      <c r="F6556" s="69">
        <v>4.178771689760126E-2</v>
      </c>
      <c r="G6556" s="69">
        <v>3.9643211100099107E-2</v>
      </c>
    </row>
    <row r="6557" spans="1:7" x14ac:dyDescent="0.3">
      <c r="A6557" s="24">
        <v>41435</v>
      </c>
      <c r="B6557" s="66">
        <v>1105.3286599999999</v>
      </c>
      <c r="C6557" s="66">
        <v>930</v>
      </c>
      <c r="D6557" s="70">
        <v>0</v>
      </c>
      <c r="E6557" s="111">
        <f t="shared" si="106"/>
        <v>138710</v>
      </c>
      <c r="F6557" s="69">
        <v>4.178771689760126E-2</v>
      </c>
      <c r="G6557" s="69">
        <v>0.04</v>
      </c>
    </row>
    <row r="6558" spans="1:7" x14ac:dyDescent="0.3">
      <c r="A6558" s="24">
        <v>41436</v>
      </c>
      <c r="B6558" s="66">
        <v>1105.3286599999999</v>
      </c>
      <c r="C6558" s="66">
        <v>930</v>
      </c>
      <c r="D6558" s="70">
        <v>0</v>
      </c>
      <c r="E6558" s="111">
        <f t="shared" si="106"/>
        <v>138710</v>
      </c>
      <c r="F6558" s="69">
        <v>4.178771689760126E-2</v>
      </c>
      <c r="G6558" s="69">
        <v>0.04</v>
      </c>
    </row>
    <row r="6559" spans="1:7" x14ac:dyDescent="0.3">
      <c r="A6559" s="24">
        <v>41437</v>
      </c>
      <c r="B6559" s="66">
        <v>1105.3286599999999</v>
      </c>
      <c r="C6559" s="66">
        <v>920</v>
      </c>
      <c r="D6559" s="70">
        <v>0</v>
      </c>
      <c r="E6559" s="111">
        <f t="shared" si="106"/>
        <v>138710</v>
      </c>
      <c r="F6559" s="69">
        <v>4.178771689760126E-2</v>
      </c>
      <c r="G6559" s="69">
        <v>4.0182648401826483E-2</v>
      </c>
    </row>
    <row r="6560" spans="1:7" x14ac:dyDescent="0.3">
      <c r="A6560" s="24">
        <v>41438</v>
      </c>
      <c r="B6560" s="66">
        <v>1105.3286599999999</v>
      </c>
      <c r="C6560" s="66">
        <v>920</v>
      </c>
      <c r="D6560" s="70">
        <v>0</v>
      </c>
      <c r="E6560" s="111">
        <f t="shared" si="106"/>
        <v>138710</v>
      </c>
      <c r="F6560" s="69">
        <v>4.178771689760126E-2</v>
      </c>
      <c r="G6560" s="69">
        <v>3.9289222251986784E-2</v>
      </c>
    </row>
    <row r="6561" spans="1:7" x14ac:dyDescent="0.3">
      <c r="A6561" s="24">
        <v>41439</v>
      </c>
      <c r="B6561" s="66">
        <v>1105.3286599999999</v>
      </c>
      <c r="C6561" s="66">
        <v>900</v>
      </c>
      <c r="D6561" s="70">
        <v>0</v>
      </c>
      <c r="E6561" s="111">
        <f t="shared" si="106"/>
        <v>138710</v>
      </c>
      <c r="F6561" s="69">
        <v>4.178771689760126E-2</v>
      </c>
      <c r="G6561" s="69">
        <v>3.9289222251986784E-2</v>
      </c>
    </row>
    <row r="6562" spans="1:7" x14ac:dyDescent="0.3">
      <c r="A6562" s="24">
        <v>41440</v>
      </c>
      <c r="B6562" s="66">
        <v>1105.3286599999999</v>
      </c>
      <c r="C6562" s="66">
        <v>900</v>
      </c>
      <c r="D6562" s="70">
        <v>0</v>
      </c>
      <c r="E6562" s="111">
        <f t="shared" si="106"/>
        <v>138710</v>
      </c>
      <c r="F6562" s="69">
        <v>4.178771689760126E-2</v>
      </c>
      <c r="G6562" s="69">
        <v>3.9289222251986784E-2</v>
      </c>
    </row>
    <row r="6563" spans="1:7" x14ac:dyDescent="0.3">
      <c r="A6563" s="24">
        <v>41441</v>
      </c>
      <c r="B6563" s="66">
        <v>1105.3286599999999</v>
      </c>
      <c r="C6563" s="66">
        <v>900</v>
      </c>
      <c r="D6563" s="70">
        <v>0</v>
      </c>
      <c r="E6563" s="111">
        <f t="shared" si="106"/>
        <v>138710</v>
      </c>
      <c r="F6563" s="69">
        <v>4.178771689760126E-2</v>
      </c>
      <c r="G6563" s="69">
        <v>3.9289222251986784E-2</v>
      </c>
    </row>
    <row r="6564" spans="1:7" x14ac:dyDescent="0.3">
      <c r="A6564" s="24">
        <v>41442</v>
      </c>
      <c r="B6564" s="66">
        <v>1105.3286599999999</v>
      </c>
      <c r="C6564" s="66">
        <v>900.01</v>
      </c>
      <c r="D6564" s="70">
        <v>0</v>
      </c>
      <c r="E6564" s="111">
        <f t="shared" si="106"/>
        <v>138710</v>
      </c>
      <c r="F6564" s="69">
        <v>4.178771689760126E-2</v>
      </c>
      <c r="G6564" s="69">
        <v>3.9285714285714285E-2</v>
      </c>
    </row>
    <row r="6565" spans="1:7" x14ac:dyDescent="0.3">
      <c r="A6565" s="24">
        <v>41443</v>
      </c>
      <c r="B6565" s="66">
        <v>1105.3286599999999</v>
      </c>
      <c r="C6565" s="66">
        <v>910</v>
      </c>
      <c r="D6565" s="70">
        <v>0</v>
      </c>
      <c r="E6565" s="111">
        <f t="shared" si="106"/>
        <v>138710</v>
      </c>
      <c r="F6565" s="69">
        <v>4.178771689760126E-2</v>
      </c>
      <c r="G6565" s="69">
        <v>3.9285714285714285E-2</v>
      </c>
    </row>
    <row r="6566" spans="1:7" x14ac:dyDescent="0.3">
      <c r="A6566" s="24">
        <v>41444</v>
      </c>
      <c r="B6566" s="66">
        <v>1105.3286599999999</v>
      </c>
      <c r="C6566" s="66">
        <v>910</v>
      </c>
      <c r="D6566" s="70">
        <v>0</v>
      </c>
      <c r="E6566" s="111">
        <f t="shared" si="106"/>
        <v>138710</v>
      </c>
      <c r="F6566" s="69">
        <v>4.178771689760126E-2</v>
      </c>
      <c r="G6566" s="69">
        <v>0.04</v>
      </c>
    </row>
    <row r="6567" spans="1:7" x14ac:dyDescent="0.3">
      <c r="A6567" s="24">
        <v>41445</v>
      </c>
      <c r="B6567" s="66">
        <v>1105.3286599999999</v>
      </c>
      <c r="C6567" s="66">
        <v>900</v>
      </c>
      <c r="D6567" s="70">
        <v>0</v>
      </c>
      <c r="E6567" s="111">
        <f t="shared" si="106"/>
        <v>138710</v>
      </c>
      <c r="F6567" s="69">
        <v>4.178771689760126E-2</v>
      </c>
      <c r="G6567" s="69">
        <v>0.04</v>
      </c>
    </row>
    <row r="6568" spans="1:7" x14ac:dyDescent="0.3">
      <c r="A6568" s="24">
        <v>41446</v>
      </c>
      <c r="B6568" s="66">
        <v>1105.3286599999999</v>
      </c>
      <c r="C6568" s="66">
        <v>900</v>
      </c>
      <c r="D6568" s="70">
        <v>0</v>
      </c>
      <c r="E6568" s="111">
        <f t="shared" si="106"/>
        <v>138710</v>
      </c>
      <c r="F6568" s="69">
        <v>4.178771689760126E-2</v>
      </c>
      <c r="G6568" s="69">
        <v>3.9996363966912099E-2</v>
      </c>
    </row>
    <row r="6569" spans="1:7" x14ac:dyDescent="0.3">
      <c r="A6569" s="24">
        <v>41447</v>
      </c>
      <c r="B6569" s="66">
        <v>1105.3286599999999</v>
      </c>
      <c r="C6569" s="66">
        <v>900</v>
      </c>
      <c r="D6569" s="70">
        <v>0</v>
      </c>
      <c r="E6569" s="111">
        <f t="shared" si="106"/>
        <v>138710</v>
      </c>
      <c r="F6569" s="69">
        <v>4.178771689760126E-2</v>
      </c>
      <c r="G6569" s="69">
        <v>3.9996363966912099E-2</v>
      </c>
    </row>
    <row r="6570" spans="1:7" x14ac:dyDescent="0.3">
      <c r="A6570" s="24">
        <v>41448</v>
      </c>
      <c r="B6570" s="66">
        <v>1105.3286599999999</v>
      </c>
      <c r="C6570" s="66">
        <v>900</v>
      </c>
      <c r="D6570" s="70">
        <v>0</v>
      </c>
      <c r="E6570" s="111">
        <f t="shared" si="106"/>
        <v>138710</v>
      </c>
      <c r="F6570" s="69">
        <v>4.178771689760126E-2</v>
      </c>
      <c r="G6570" s="69">
        <v>3.9996363966912099E-2</v>
      </c>
    </row>
    <row r="6571" spans="1:7" x14ac:dyDescent="0.3">
      <c r="A6571" s="24">
        <v>41449</v>
      </c>
      <c r="B6571" s="66">
        <v>1105.3286599999999</v>
      </c>
      <c r="C6571" s="66">
        <v>890</v>
      </c>
      <c r="D6571" s="70">
        <v>0</v>
      </c>
      <c r="E6571" s="111">
        <f t="shared" si="106"/>
        <v>138710</v>
      </c>
      <c r="F6571" s="69">
        <v>4.178771689760126E-2</v>
      </c>
      <c r="G6571" s="69">
        <v>3.9285714285714285E-2</v>
      </c>
    </row>
    <row r="6572" spans="1:7" x14ac:dyDescent="0.3">
      <c r="A6572" s="24">
        <v>41450</v>
      </c>
      <c r="B6572" s="66">
        <v>1105.3286599999999</v>
      </c>
      <c r="C6572" s="66">
        <v>895</v>
      </c>
      <c r="D6572" s="70">
        <v>0</v>
      </c>
      <c r="E6572" s="111">
        <f t="shared" si="106"/>
        <v>138710</v>
      </c>
      <c r="F6572" s="69">
        <v>4.178771689760126E-2</v>
      </c>
      <c r="G6572" s="69">
        <v>3.9180765805877114E-2</v>
      </c>
    </row>
    <row r="6573" spans="1:7" x14ac:dyDescent="0.3">
      <c r="A6573" s="24">
        <v>41451</v>
      </c>
      <c r="B6573" s="66">
        <v>1105.3286599999999</v>
      </c>
      <c r="C6573" s="66">
        <v>900</v>
      </c>
      <c r="D6573" s="70">
        <v>0</v>
      </c>
      <c r="E6573" s="111">
        <f t="shared" si="106"/>
        <v>138710</v>
      </c>
      <c r="F6573" s="69">
        <v>4.178771689760126E-2</v>
      </c>
      <c r="G6573" s="69">
        <v>3.9180765805877114E-2</v>
      </c>
    </row>
    <row r="6574" spans="1:7" x14ac:dyDescent="0.3">
      <c r="A6574" s="24">
        <v>41452</v>
      </c>
      <c r="B6574" s="66">
        <v>1105.3286599999999</v>
      </c>
      <c r="C6574" s="66">
        <v>890</v>
      </c>
      <c r="D6574" s="70">
        <v>5.5</v>
      </c>
      <c r="E6574" s="111">
        <f t="shared" si="106"/>
        <v>138710</v>
      </c>
      <c r="F6574" s="69">
        <v>4.7011181509801415E-2</v>
      </c>
      <c r="G6574" s="69">
        <v>4.4196428571428574E-2</v>
      </c>
    </row>
    <row r="6575" spans="1:7" x14ac:dyDescent="0.3">
      <c r="A6575" s="24">
        <v>41453</v>
      </c>
      <c r="B6575" s="66">
        <v>1105.3286599999999</v>
      </c>
      <c r="C6575" s="66">
        <v>900</v>
      </c>
      <c r="D6575" s="70">
        <v>0</v>
      </c>
      <c r="E6575" s="111">
        <f t="shared" si="106"/>
        <v>138710</v>
      </c>
      <c r="F6575" s="69">
        <v>4.7011181509801415E-2</v>
      </c>
      <c r="G6575" s="69">
        <v>4.4216167932112548E-2</v>
      </c>
    </row>
    <row r="6576" spans="1:7" x14ac:dyDescent="0.3">
      <c r="A6576" s="24">
        <v>41454</v>
      </c>
      <c r="B6576" s="66">
        <v>1105.3286599999999</v>
      </c>
      <c r="C6576" s="66">
        <v>900</v>
      </c>
      <c r="D6576" s="70">
        <v>0</v>
      </c>
      <c r="E6576" s="111">
        <f t="shared" si="106"/>
        <v>138710</v>
      </c>
      <c r="F6576" s="69">
        <v>4.1402464445939473E-2</v>
      </c>
      <c r="G6576" s="69">
        <v>3.9303260384100043E-2</v>
      </c>
    </row>
    <row r="6577" spans="1:7" x14ac:dyDescent="0.3">
      <c r="A6577" s="24">
        <v>41455</v>
      </c>
      <c r="B6577" s="66">
        <v>1157.7243000000001</v>
      </c>
      <c r="C6577" s="66">
        <v>900</v>
      </c>
      <c r="D6577" s="70">
        <v>0</v>
      </c>
      <c r="E6577" s="111">
        <f t="shared" si="106"/>
        <v>138710</v>
      </c>
      <c r="F6577" s="69">
        <v>4.1402464445939473E-2</v>
      </c>
      <c r="G6577" s="69">
        <v>3.9303260384100043E-2</v>
      </c>
    </row>
    <row r="6578" spans="1:7" x14ac:dyDescent="0.3">
      <c r="A6578" s="24">
        <v>41456</v>
      </c>
      <c r="B6578" s="66">
        <v>1157.7243000000001</v>
      </c>
      <c r="C6578" s="66">
        <v>900</v>
      </c>
      <c r="D6578" s="70">
        <v>0</v>
      </c>
      <c r="E6578" s="111">
        <f t="shared" si="106"/>
        <v>138710</v>
      </c>
      <c r="F6578" s="69">
        <v>4.1402464445939473E-2</v>
      </c>
      <c r="G6578" s="69">
        <v>3.9303260384100043E-2</v>
      </c>
    </row>
    <row r="6579" spans="1:7" x14ac:dyDescent="0.3">
      <c r="A6579" s="24">
        <v>41457</v>
      </c>
      <c r="B6579" s="66">
        <v>1157.7243000000001</v>
      </c>
      <c r="C6579" s="66">
        <v>900</v>
      </c>
      <c r="D6579" s="70">
        <v>0</v>
      </c>
      <c r="E6579" s="111">
        <f t="shared" si="106"/>
        <v>138710</v>
      </c>
      <c r="F6579" s="69">
        <v>4.1402464445939473E-2</v>
      </c>
      <c r="G6579" s="69">
        <v>3.9303260384100043E-2</v>
      </c>
    </row>
    <row r="6580" spans="1:7" x14ac:dyDescent="0.3">
      <c r="A6580" s="24">
        <v>41458</v>
      </c>
      <c r="B6580" s="66">
        <v>1157.7243000000001</v>
      </c>
      <c r="C6580" s="66">
        <v>915</v>
      </c>
      <c r="D6580" s="70">
        <v>0</v>
      </c>
      <c r="E6580" s="111">
        <f t="shared" si="106"/>
        <v>138710</v>
      </c>
      <c r="F6580" s="69">
        <v>4.1402464445939473E-2</v>
      </c>
      <c r="G6580" s="69">
        <v>3.9461883408071746E-2</v>
      </c>
    </row>
    <row r="6581" spans="1:7" x14ac:dyDescent="0.3">
      <c r="A6581" s="24">
        <v>41459</v>
      </c>
      <c r="B6581" s="66">
        <v>1157.7243000000001</v>
      </c>
      <c r="C6581" s="66">
        <v>920</v>
      </c>
      <c r="D6581" s="70">
        <v>0</v>
      </c>
      <c r="E6581" s="111">
        <f t="shared" si="106"/>
        <v>138710</v>
      </c>
      <c r="F6581" s="69">
        <v>4.1402464445939473E-2</v>
      </c>
      <c r="G6581" s="69">
        <v>3.9303260384100043E-2</v>
      </c>
    </row>
    <row r="6582" spans="1:7" x14ac:dyDescent="0.3">
      <c r="A6582" s="24">
        <v>41460</v>
      </c>
      <c r="B6582" s="66">
        <v>1157.7243000000001</v>
      </c>
      <c r="C6582" s="66">
        <v>920</v>
      </c>
      <c r="D6582" s="70">
        <v>0</v>
      </c>
      <c r="E6582" s="111">
        <f t="shared" si="106"/>
        <v>138710</v>
      </c>
      <c r="F6582" s="69">
        <v>4.1402464445939473E-2</v>
      </c>
      <c r="G6582" s="69">
        <v>3.9303260384100043E-2</v>
      </c>
    </row>
    <row r="6583" spans="1:7" x14ac:dyDescent="0.3">
      <c r="A6583" s="24">
        <v>41461</v>
      </c>
      <c r="B6583" s="66">
        <v>1157.7243000000001</v>
      </c>
      <c r="C6583" s="66">
        <v>920</v>
      </c>
      <c r="D6583" s="70">
        <v>0</v>
      </c>
      <c r="E6583" s="111">
        <f t="shared" si="106"/>
        <v>138710</v>
      </c>
      <c r="F6583" s="69">
        <v>4.1402464445939473E-2</v>
      </c>
      <c r="G6583" s="69">
        <v>3.9303260384100043E-2</v>
      </c>
    </row>
    <row r="6584" spans="1:7" x14ac:dyDescent="0.3">
      <c r="A6584" s="24">
        <v>41462</v>
      </c>
      <c r="B6584" s="66">
        <v>1157.7243000000001</v>
      </c>
      <c r="C6584" s="66">
        <v>920</v>
      </c>
      <c r="D6584" s="70">
        <v>0</v>
      </c>
      <c r="E6584" s="111">
        <f t="shared" si="106"/>
        <v>138710</v>
      </c>
      <c r="F6584" s="69">
        <v>4.1402464445939473E-2</v>
      </c>
      <c r="G6584" s="69">
        <v>3.9303260384100043E-2</v>
      </c>
    </row>
    <row r="6585" spans="1:7" x14ac:dyDescent="0.3">
      <c r="A6585" s="24">
        <v>41463</v>
      </c>
      <c r="B6585" s="66">
        <v>1157.7243000000001</v>
      </c>
      <c r="C6585" s="66">
        <v>915</v>
      </c>
      <c r="D6585" s="70">
        <v>0</v>
      </c>
      <c r="E6585" s="111">
        <f t="shared" si="106"/>
        <v>138710</v>
      </c>
      <c r="F6585" s="69">
        <v>4.1402464445939473E-2</v>
      </c>
      <c r="G6585" s="69">
        <v>3.9303260384100043E-2</v>
      </c>
    </row>
    <row r="6586" spans="1:7" x14ac:dyDescent="0.3">
      <c r="A6586" s="24">
        <v>41464</v>
      </c>
      <c r="B6586" s="66">
        <v>1157.7243000000001</v>
      </c>
      <c r="C6586" s="66">
        <v>915</v>
      </c>
      <c r="D6586" s="70">
        <v>0</v>
      </c>
      <c r="E6586" s="111">
        <f t="shared" si="106"/>
        <v>138710</v>
      </c>
      <c r="F6586" s="69">
        <v>4.1402464445939473E-2</v>
      </c>
      <c r="G6586" s="69">
        <v>3.9285714285714285E-2</v>
      </c>
    </row>
    <row r="6587" spans="1:7" x14ac:dyDescent="0.3">
      <c r="A6587" s="24">
        <v>41465</v>
      </c>
      <c r="B6587" s="66">
        <v>1157.7243000000001</v>
      </c>
      <c r="C6587" s="66">
        <v>910</v>
      </c>
      <c r="D6587" s="70">
        <v>0</v>
      </c>
      <c r="E6587" s="111">
        <f t="shared" si="106"/>
        <v>138710</v>
      </c>
      <c r="F6587" s="69">
        <v>4.1402464445939473E-2</v>
      </c>
      <c r="G6587" s="69">
        <v>3.9461883408071746E-2</v>
      </c>
    </row>
    <row r="6588" spans="1:7" x14ac:dyDescent="0.3">
      <c r="A6588" s="24">
        <v>41466</v>
      </c>
      <c r="B6588" s="66">
        <v>1157.7243000000001</v>
      </c>
      <c r="C6588" s="66">
        <v>910</v>
      </c>
      <c r="D6588" s="70">
        <v>0</v>
      </c>
      <c r="E6588" s="111">
        <f t="shared" si="106"/>
        <v>138710</v>
      </c>
      <c r="F6588" s="69">
        <v>4.1402464445939473E-2</v>
      </c>
      <c r="G6588" s="69">
        <v>3.9461883408071746E-2</v>
      </c>
    </row>
    <row r="6589" spans="1:7" x14ac:dyDescent="0.3">
      <c r="A6589" s="24">
        <v>41467</v>
      </c>
      <c r="B6589" s="66">
        <v>1157.7243000000001</v>
      </c>
      <c r="C6589" s="66">
        <v>909.9</v>
      </c>
      <c r="D6589" s="70">
        <v>0</v>
      </c>
      <c r="E6589" s="111">
        <f t="shared" si="106"/>
        <v>138710</v>
      </c>
      <c r="F6589" s="69">
        <v>4.1402464445939473E-2</v>
      </c>
      <c r="G6589" s="69">
        <v>3.9461883408071746E-2</v>
      </c>
    </row>
    <row r="6590" spans="1:7" x14ac:dyDescent="0.3">
      <c r="A6590" s="24">
        <v>41468</v>
      </c>
      <c r="B6590" s="66">
        <v>1157.7243000000001</v>
      </c>
      <c r="C6590" s="66">
        <v>909.9</v>
      </c>
      <c r="D6590" s="70">
        <v>0</v>
      </c>
      <c r="E6590" s="111">
        <f t="shared" si="106"/>
        <v>138710</v>
      </c>
      <c r="F6590" s="69">
        <v>4.1402464445939473E-2</v>
      </c>
      <c r="G6590" s="69">
        <v>3.9461883408071746E-2</v>
      </c>
    </row>
    <row r="6591" spans="1:7" x14ac:dyDescent="0.3">
      <c r="A6591" s="24">
        <v>41469</v>
      </c>
      <c r="B6591" s="66">
        <v>1157.7243000000001</v>
      </c>
      <c r="C6591" s="66">
        <v>909.9</v>
      </c>
      <c r="D6591" s="70">
        <v>0</v>
      </c>
      <c r="E6591" s="111">
        <f t="shared" si="106"/>
        <v>138710</v>
      </c>
      <c r="F6591" s="69">
        <v>4.1402464445939473E-2</v>
      </c>
      <c r="G6591" s="69">
        <v>3.9461883408071746E-2</v>
      </c>
    </row>
    <row r="6592" spans="1:7" x14ac:dyDescent="0.3">
      <c r="A6592" s="24">
        <v>41470</v>
      </c>
      <c r="B6592" s="66">
        <v>1157.7243000000001</v>
      </c>
      <c r="C6592" s="66">
        <v>900</v>
      </c>
      <c r="D6592" s="70">
        <v>0</v>
      </c>
      <c r="E6592" s="111">
        <f t="shared" si="106"/>
        <v>138710</v>
      </c>
      <c r="F6592" s="69">
        <v>4.1402464445939473E-2</v>
      </c>
      <c r="G6592" s="69">
        <v>3.9461883408071746E-2</v>
      </c>
    </row>
    <row r="6593" spans="1:7" x14ac:dyDescent="0.3">
      <c r="A6593" s="24">
        <v>41471</v>
      </c>
      <c r="B6593" s="66">
        <v>1157.7243000000001</v>
      </c>
      <c r="C6593" s="66">
        <v>900</v>
      </c>
      <c r="D6593" s="70">
        <v>0</v>
      </c>
      <c r="E6593" s="111">
        <f t="shared" si="106"/>
        <v>138710</v>
      </c>
      <c r="F6593" s="69">
        <v>4.1402464445939473E-2</v>
      </c>
      <c r="G6593" s="69">
        <v>3.9468963042698244E-2</v>
      </c>
    </row>
    <row r="6594" spans="1:7" x14ac:dyDescent="0.3">
      <c r="A6594" s="24">
        <v>41472</v>
      </c>
      <c r="B6594" s="66">
        <v>1157.7243000000001</v>
      </c>
      <c r="C6594" s="66">
        <v>900</v>
      </c>
      <c r="D6594" s="70">
        <v>0</v>
      </c>
      <c r="E6594" s="111">
        <f t="shared" si="106"/>
        <v>138710</v>
      </c>
      <c r="F6594" s="69">
        <v>4.1402464445939473E-2</v>
      </c>
      <c r="G6594" s="69">
        <v>3.9461883408071746E-2</v>
      </c>
    </row>
    <row r="6595" spans="1:7" x14ac:dyDescent="0.3">
      <c r="A6595" s="24">
        <v>41473</v>
      </c>
      <c r="B6595" s="66">
        <v>1157.7243000000001</v>
      </c>
      <c r="C6595" s="66">
        <v>890</v>
      </c>
      <c r="D6595" s="70">
        <v>0</v>
      </c>
      <c r="E6595" s="111">
        <f t="shared" si="106"/>
        <v>138710</v>
      </c>
      <c r="F6595" s="69">
        <v>4.1402464445939473E-2</v>
      </c>
      <c r="G6595" s="69">
        <v>3.9461883408071746E-2</v>
      </c>
    </row>
    <row r="6596" spans="1:7" x14ac:dyDescent="0.3">
      <c r="A6596" s="24">
        <v>41474</v>
      </c>
      <c r="B6596" s="66">
        <v>1157.7243000000001</v>
      </c>
      <c r="C6596" s="66">
        <v>888.5</v>
      </c>
      <c r="D6596" s="70">
        <v>0</v>
      </c>
      <c r="E6596" s="111">
        <f t="shared" si="106"/>
        <v>138710</v>
      </c>
      <c r="F6596" s="69">
        <v>4.1402464445939473E-2</v>
      </c>
      <c r="G6596" s="69">
        <v>3.9461883408071746E-2</v>
      </c>
    </row>
    <row r="6597" spans="1:7" x14ac:dyDescent="0.3">
      <c r="A6597" s="24">
        <v>41475</v>
      </c>
      <c r="B6597" s="66">
        <v>1157.7243000000001</v>
      </c>
      <c r="C6597" s="66">
        <v>888.5</v>
      </c>
      <c r="D6597" s="70">
        <v>0</v>
      </c>
      <c r="E6597" s="111">
        <f t="shared" si="106"/>
        <v>138710</v>
      </c>
      <c r="F6597" s="69">
        <v>4.1402464445939473E-2</v>
      </c>
      <c r="G6597" s="69">
        <v>3.9461883408071746E-2</v>
      </c>
    </row>
    <row r="6598" spans="1:7" x14ac:dyDescent="0.3">
      <c r="A6598" s="24">
        <v>41476</v>
      </c>
      <c r="B6598" s="66">
        <v>1157.7243000000001</v>
      </c>
      <c r="C6598" s="66">
        <v>888.5</v>
      </c>
      <c r="D6598" s="70">
        <v>0</v>
      </c>
      <c r="E6598" s="111">
        <f t="shared" si="106"/>
        <v>138710</v>
      </c>
      <c r="F6598" s="69">
        <v>4.1402464445939473E-2</v>
      </c>
      <c r="G6598" s="69">
        <v>3.9461883408071746E-2</v>
      </c>
    </row>
    <row r="6599" spans="1:7" x14ac:dyDescent="0.3">
      <c r="A6599" s="24">
        <v>41477</v>
      </c>
      <c r="B6599" s="66">
        <v>1157.7243000000001</v>
      </c>
      <c r="C6599" s="66">
        <v>880</v>
      </c>
      <c r="D6599" s="70">
        <v>0</v>
      </c>
      <c r="E6599" s="111">
        <f t="shared" si="106"/>
        <v>138710</v>
      </c>
      <c r="F6599" s="69">
        <v>4.1402464445939473E-2</v>
      </c>
      <c r="G6599" s="69">
        <v>3.9639639639639637E-2</v>
      </c>
    </row>
    <row r="6600" spans="1:7" x14ac:dyDescent="0.3">
      <c r="A6600" s="24">
        <v>41478</v>
      </c>
      <c r="B6600" s="66">
        <v>1157.7243000000001</v>
      </c>
      <c r="C6600" s="66">
        <v>880</v>
      </c>
      <c r="D6600" s="70">
        <v>0</v>
      </c>
      <c r="E6600" s="111">
        <f t="shared" si="106"/>
        <v>138710</v>
      </c>
      <c r="F6600" s="69">
        <v>4.1402464445939473E-2</v>
      </c>
      <c r="G6600" s="69">
        <v>3.9461883408071746E-2</v>
      </c>
    </row>
    <row r="6601" spans="1:7" x14ac:dyDescent="0.3">
      <c r="A6601" s="24">
        <v>41479</v>
      </c>
      <c r="B6601" s="66">
        <v>1157.7243000000001</v>
      </c>
      <c r="C6601" s="66">
        <v>881</v>
      </c>
      <c r="D6601" s="70">
        <v>0</v>
      </c>
      <c r="E6601" s="111">
        <f t="shared" ref="E6601:E6664" si="107">+E6600</f>
        <v>138710</v>
      </c>
      <c r="F6601" s="69">
        <v>4.1402464445939473E-2</v>
      </c>
      <c r="G6601" s="69">
        <v>3.9461883408071746E-2</v>
      </c>
    </row>
    <row r="6602" spans="1:7" x14ac:dyDescent="0.3">
      <c r="A6602" s="24">
        <v>41480</v>
      </c>
      <c r="B6602" s="66">
        <v>1157.7243000000001</v>
      </c>
      <c r="C6602" s="66">
        <v>890</v>
      </c>
      <c r="D6602" s="70">
        <v>0</v>
      </c>
      <c r="E6602" s="111">
        <f t="shared" si="107"/>
        <v>138710</v>
      </c>
      <c r="F6602" s="69">
        <v>4.1402464445939473E-2</v>
      </c>
      <c r="G6602" s="69">
        <v>3.9465422907884115E-2</v>
      </c>
    </row>
    <row r="6603" spans="1:7" x14ac:dyDescent="0.3">
      <c r="A6603" s="24">
        <v>41481</v>
      </c>
      <c r="B6603" s="66">
        <v>1157.7243000000001</v>
      </c>
      <c r="C6603" s="66">
        <v>890</v>
      </c>
      <c r="D6603" s="70">
        <v>0</v>
      </c>
      <c r="E6603" s="111">
        <f t="shared" si="107"/>
        <v>138710</v>
      </c>
      <c r="F6603" s="69">
        <v>4.1402464445939473E-2</v>
      </c>
      <c r="G6603" s="69">
        <v>3.9461883408071746E-2</v>
      </c>
    </row>
    <row r="6604" spans="1:7" x14ac:dyDescent="0.3">
      <c r="A6604" s="24">
        <v>41482</v>
      </c>
      <c r="B6604" s="66">
        <v>1157.7243000000001</v>
      </c>
      <c r="C6604" s="66">
        <v>890</v>
      </c>
      <c r="D6604" s="70">
        <v>0</v>
      </c>
      <c r="E6604" s="111">
        <f t="shared" si="107"/>
        <v>138710</v>
      </c>
      <c r="F6604" s="69">
        <v>4.1402464445939473E-2</v>
      </c>
      <c r="G6604" s="69">
        <v>3.9461883408071746E-2</v>
      </c>
    </row>
    <row r="6605" spans="1:7" x14ac:dyDescent="0.3">
      <c r="A6605" s="24">
        <v>41483</v>
      </c>
      <c r="B6605" s="66">
        <v>1157.7243000000001</v>
      </c>
      <c r="C6605" s="66">
        <v>890</v>
      </c>
      <c r="D6605" s="70">
        <v>0</v>
      </c>
      <c r="E6605" s="111">
        <f t="shared" si="107"/>
        <v>138710</v>
      </c>
      <c r="F6605" s="69">
        <v>4.1402464445939473E-2</v>
      </c>
      <c r="G6605" s="69">
        <v>3.9461883408071746E-2</v>
      </c>
    </row>
    <row r="6606" spans="1:7" x14ac:dyDescent="0.3">
      <c r="A6606" s="24">
        <v>41484</v>
      </c>
      <c r="B6606" s="66">
        <v>1157.7243000000001</v>
      </c>
      <c r="C6606" s="66">
        <v>890.1</v>
      </c>
      <c r="D6606" s="70">
        <v>0</v>
      </c>
      <c r="E6606" s="111">
        <f t="shared" si="107"/>
        <v>138710</v>
      </c>
      <c r="F6606" s="69">
        <v>4.1402464445939473E-2</v>
      </c>
      <c r="G6606" s="69">
        <v>3.9461883408071746E-2</v>
      </c>
    </row>
    <row r="6607" spans="1:7" x14ac:dyDescent="0.3">
      <c r="A6607" s="24">
        <v>41485</v>
      </c>
      <c r="B6607" s="66">
        <v>1157.7243000000001</v>
      </c>
      <c r="C6607" s="66">
        <v>890</v>
      </c>
      <c r="D6607" s="70">
        <v>0</v>
      </c>
      <c r="E6607" s="111">
        <f t="shared" si="107"/>
        <v>138710</v>
      </c>
      <c r="F6607" s="69">
        <v>4.1402464445939473E-2</v>
      </c>
      <c r="G6607" s="69">
        <v>3.9461883408071746E-2</v>
      </c>
    </row>
    <row r="6608" spans="1:7" x14ac:dyDescent="0.3">
      <c r="A6608" s="24">
        <v>41486</v>
      </c>
      <c r="B6608" s="66">
        <v>1157.7243000000001</v>
      </c>
      <c r="C6608" s="66">
        <v>890</v>
      </c>
      <c r="D6608" s="70">
        <v>0</v>
      </c>
      <c r="E6608" s="111">
        <f t="shared" si="107"/>
        <v>138710</v>
      </c>
      <c r="F6608" s="69">
        <v>4.1402464445939473E-2</v>
      </c>
      <c r="G6608" s="69">
        <v>3.9461883408071746E-2</v>
      </c>
    </row>
    <row r="6609" spans="1:7" x14ac:dyDescent="0.3">
      <c r="A6609" s="24">
        <v>41487</v>
      </c>
      <c r="B6609" s="66">
        <v>1157.7243000000001</v>
      </c>
      <c r="C6609" s="66">
        <v>890</v>
      </c>
      <c r="D6609" s="70">
        <v>0</v>
      </c>
      <c r="E6609" s="111">
        <f t="shared" si="107"/>
        <v>138710</v>
      </c>
      <c r="F6609" s="69">
        <v>4.1402464445939473E-2</v>
      </c>
      <c r="G6609" s="69">
        <v>3.9461883408071746E-2</v>
      </c>
    </row>
    <row r="6610" spans="1:7" x14ac:dyDescent="0.3">
      <c r="A6610" s="24">
        <v>41488</v>
      </c>
      <c r="B6610" s="66">
        <v>1157.7243000000001</v>
      </c>
      <c r="C6610" s="66">
        <v>890</v>
      </c>
      <c r="D6610" s="70">
        <v>0</v>
      </c>
      <c r="E6610" s="111">
        <f t="shared" si="107"/>
        <v>138710</v>
      </c>
      <c r="F6610" s="69">
        <v>4.1402464445939473E-2</v>
      </c>
      <c r="G6610" s="69">
        <v>3.9458344543090308E-2</v>
      </c>
    </row>
    <row r="6611" spans="1:7" x14ac:dyDescent="0.3">
      <c r="A6611" s="24">
        <v>41489</v>
      </c>
      <c r="B6611" s="66">
        <v>1157.7243000000001</v>
      </c>
      <c r="C6611" s="66">
        <v>890</v>
      </c>
      <c r="D6611" s="70">
        <v>0</v>
      </c>
      <c r="E6611" s="111">
        <f t="shared" si="107"/>
        <v>138710</v>
      </c>
      <c r="F6611" s="69">
        <v>4.1402464445939473E-2</v>
      </c>
      <c r="G6611" s="69">
        <v>3.9458344543090308E-2</v>
      </c>
    </row>
    <row r="6612" spans="1:7" x14ac:dyDescent="0.3">
      <c r="A6612" s="24">
        <v>41490</v>
      </c>
      <c r="B6612" s="66">
        <v>1157.7243000000001</v>
      </c>
      <c r="C6612" s="66">
        <v>890</v>
      </c>
      <c r="D6612" s="70">
        <v>0</v>
      </c>
      <c r="E6612" s="111">
        <f t="shared" si="107"/>
        <v>138710</v>
      </c>
      <c r="F6612" s="69">
        <v>4.1402464445939473E-2</v>
      </c>
      <c r="G6612" s="69">
        <v>3.9458344543090308E-2</v>
      </c>
    </row>
    <row r="6613" spans="1:7" x14ac:dyDescent="0.3">
      <c r="A6613" s="24">
        <v>41491</v>
      </c>
      <c r="B6613" s="66">
        <v>1157.7243000000001</v>
      </c>
      <c r="C6613" s="66">
        <v>895</v>
      </c>
      <c r="D6613" s="70">
        <v>0</v>
      </c>
      <c r="E6613" s="111">
        <f t="shared" si="107"/>
        <v>138710</v>
      </c>
      <c r="F6613" s="69">
        <v>4.1402464445939473E-2</v>
      </c>
      <c r="G6613" s="69">
        <v>3.9461883408071746E-2</v>
      </c>
    </row>
    <row r="6614" spans="1:7" x14ac:dyDescent="0.3">
      <c r="A6614" s="24">
        <v>41492</v>
      </c>
      <c r="B6614" s="66">
        <v>1157.7243000000001</v>
      </c>
      <c r="C6614" s="66">
        <v>890.1</v>
      </c>
      <c r="D6614" s="70">
        <v>0</v>
      </c>
      <c r="E6614" s="111">
        <f t="shared" si="107"/>
        <v>138710</v>
      </c>
      <c r="F6614" s="69">
        <v>4.1402464445939473E-2</v>
      </c>
      <c r="G6614" s="69">
        <v>3.9465422907884115E-2</v>
      </c>
    </row>
    <row r="6615" spans="1:7" x14ac:dyDescent="0.3">
      <c r="A6615" s="24">
        <v>41493</v>
      </c>
      <c r="B6615" s="66">
        <v>1157.7243000000001</v>
      </c>
      <c r="C6615" s="66">
        <v>890.1</v>
      </c>
      <c r="D6615" s="70">
        <v>0</v>
      </c>
      <c r="E6615" s="111">
        <f t="shared" si="107"/>
        <v>138710</v>
      </c>
      <c r="F6615" s="69">
        <v>4.1402464445939473E-2</v>
      </c>
      <c r="G6615" s="69">
        <v>3.9461883408071746E-2</v>
      </c>
    </row>
    <row r="6616" spans="1:7" x14ac:dyDescent="0.3">
      <c r="A6616" s="24">
        <v>41494</v>
      </c>
      <c r="B6616" s="66">
        <v>1157.7243000000001</v>
      </c>
      <c r="C6616" s="66">
        <v>890</v>
      </c>
      <c r="D6616" s="70">
        <v>0</v>
      </c>
      <c r="E6616" s="111">
        <f t="shared" si="107"/>
        <v>138710</v>
      </c>
      <c r="F6616" s="69">
        <v>4.1402464445939473E-2</v>
      </c>
      <c r="G6616" s="69">
        <v>3.9461883408071746E-2</v>
      </c>
    </row>
    <row r="6617" spans="1:7" x14ac:dyDescent="0.3">
      <c r="A6617" s="24">
        <v>41495</v>
      </c>
      <c r="B6617" s="66">
        <v>1157.7243000000001</v>
      </c>
      <c r="C6617" s="66">
        <v>895</v>
      </c>
      <c r="D6617" s="70">
        <v>0</v>
      </c>
      <c r="E6617" s="111">
        <f t="shared" si="107"/>
        <v>138710</v>
      </c>
      <c r="F6617" s="69">
        <v>4.1402464445939473E-2</v>
      </c>
      <c r="G6617" s="69">
        <v>3.9465422907884115E-2</v>
      </c>
    </row>
    <row r="6618" spans="1:7" x14ac:dyDescent="0.3">
      <c r="A6618" s="24">
        <v>41496</v>
      </c>
      <c r="B6618" s="66">
        <v>1157.7243000000001</v>
      </c>
      <c r="C6618" s="66">
        <v>895</v>
      </c>
      <c r="D6618" s="70">
        <v>0</v>
      </c>
      <c r="E6618" s="111">
        <f t="shared" si="107"/>
        <v>138710</v>
      </c>
      <c r="F6618" s="69">
        <v>4.1402464445939473E-2</v>
      </c>
      <c r="G6618" s="69">
        <v>3.9465422907884115E-2</v>
      </c>
    </row>
    <row r="6619" spans="1:7" x14ac:dyDescent="0.3">
      <c r="A6619" s="24">
        <v>41497</v>
      </c>
      <c r="B6619" s="66">
        <v>1157.7243000000001</v>
      </c>
      <c r="C6619" s="66">
        <v>895</v>
      </c>
      <c r="D6619" s="70">
        <v>0</v>
      </c>
      <c r="E6619" s="111">
        <f t="shared" si="107"/>
        <v>138710</v>
      </c>
      <c r="F6619" s="69">
        <v>4.1402464445939473E-2</v>
      </c>
      <c r="G6619" s="69">
        <v>3.9465422907884115E-2</v>
      </c>
    </row>
    <row r="6620" spans="1:7" x14ac:dyDescent="0.3">
      <c r="A6620" s="24">
        <v>41498</v>
      </c>
      <c r="B6620" s="66">
        <v>1157.7243000000001</v>
      </c>
      <c r="C6620" s="66">
        <v>900</v>
      </c>
      <c r="D6620" s="70">
        <v>0</v>
      </c>
      <c r="E6620" s="111">
        <f t="shared" si="107"/>
        <v>138710</v>
      </c>
      <c r="F6620" s="69">
        <v>4.1402464445939473E-2</v>
      </c>
      <c r="G6620" s="69">
        <v>3.9461883408071746E-2</v>
      </c>
    </row>
    <row r="6621" spans="1:7" x14ac:dyDescent="0.3">
      <c r="A6621" s="24">
        <v>41499</v>
      </c>
      <c r="B6621" s="66">
        <v>1157.7243000000001</v>
      </c>
      <c r="C6621" s="66">
        <v>905</v>
      </c>
      <c r="D6621" s="70">
        <v>0</v>
      </c>
      <c r="E6621" s="111">
        <f t="shared" si="107"/>
        <v>138710</v>
      </c>
      <c r="F6621" s="69">
        <v>4.1402464445939473E-2</v>
      </c>
      <c r="G6621" s="69">
        <v>3.9461883408071746E-2</v>
      </c>
    </row>
    <row r="6622" spans="1:7" x14ac:dyDescent="0.3">
      <c r="A6622" s="24">
        <v>41500</v>
      </c>
      <c r="B6622" s="66">
        <v>1157.7243000000001</v>
      </c>
      <c r="C6622" s="66">
        <v>905</v>
      </c>
      <c r="D6622" s="70">
        <v>0</v>
      </c>
      <c r="E6622" s="111">
        <f t="shared" si="107"/>
        <v>138710</v>
      </c>
      <c r="F6622" s="69">
        <v>4.1402464445939473E-2</v>
      </c>
      <c r="G6622" s="69">
        <v>3.9461883408071746E-2</v>
      </c>
    </row>
    <row r="6623" spans="1:7" x14ac:dyDescent="0.3">
      <c r="A6623" s="24">
        <v>41501</v>
      </c>
      <c r="B6623" s="66">
        <v>1157.7243000000001</v>
      </c>
      <c r="C6623" s="66">
        <v>905</v>
      </c>
      <c r="D6623" s="70">
        <v>0</v>
      </c>
      <c r="E6623" s="111">
        <f t="shared" si="107"/>
        <v>138710</v>
      </c>
      <c r="F6623" s="69">
        <v>4.1402464445939473E-2</v>
      </c>
      <c r="G6623" s="69">
        <v>3.9465422907884115E-2</v>
      </c>
    </row>
    <row r="6624" spans="1:7" x14ac:dyDescent="0.3">
      <c r="A6624" s="24">
        <v>41502</v>
      </c>
      <c r="B6624" s="66">
        <v>1157.7243000000001</v>
      </c>
      <c r="C6624" s="66">
        <v>920</v>
      </c>
      <c r="D6624" s="70">
        <v>0</v>
      </c>
      <c r="E6624" s="111">
        <f t="shared" si="107"/>
        <v>138710</v>
      </c>
      <c r="F6624" s="69">
        <v>4.1402464445939473E-2</v>
      </c>
      <c r="G6624" s="69">
        <v>3.9468963042698244E-2</v>
      </c>
    </row>
    <row r="6625" spans="1:7" x14ac:dyDescent="0.3">
      <c r="A6625" s="24">
        <v>41503</v>
      </c>
      <c r="B6625" s="66">
        <v>1157.7243000000001</v>
      </c>
      <c r="C6625" s="66">
        <v>920</v>
      </c>
      <c r="D6625" s="70">
        <v>0</v>
      </c>
      <c r="E6625" s="111">
        <f t="shared" si="107"/>
        <v>138710</v>
      </c>
      <c r="F6625" s="69">
        <v>4.1402464445939473E-2</v>
      </c>
      <c r="G6625" s="69">
        <v>3.9468963042698244E-2</v>
      </c>
    </row>
    <row r="6626" spans="1:7" x14ac:dyDescent="0.3">
      <c r="A6626" s="24">
        <v>41504</v>
      </c>
      <c r="B6626" s="66">
        <v>1157.7243000000001</v>
      </c>
      <c r="C6626" s="66">
        <v>920</v>
      </c>
      <c r="D6626" s="70">
        <v>0</v>
      </c>
      <c r="E6626" s="111">
        <f t="shared" si="107"/>
        <v>138710</v>
      </c>
      <c r="F6626" s="69">
        <v>4.1402464445939473E-2</v>
      </c>
      <c r="G6626" s="69">
        <v>3.9468963042698244E-2</v>
      </c>
    </row>
    <row r="6627" spans="1:7" x14ac:dyDescent="0.3">
      <c r="A6627" s="24">
        <v>41505</v>
      </c>
      <c r="B6627" s="66">
        <v>1157.7243000000001</v>
      </c>
      <c r="C6627" s="66">
        <v>920</v>
      </c>
      <c r="D6627" s="70">
        <v>0</v>
      </c>
      <c r="E6627" s="111">
        <f t="shared" si="107"/>
        <v>138710</v>
      </c>
      <c r="F6627" s="69">
        <v>4.1402464445939473E-2</v>
      </c>
      <c r="G6627" s="69">
        <v>3.9465422907884115E-2</v>
      </c>
    </row>
    <row r="6628" spans="1:7" x14ac:dyDescent="0.3">
      <c r="A6628" s="24">
        <v>41506</v>
      </c>
      <c r="B6628" s="66">
        <v>1157.7243000000001</v>
      </c>
      <c r="C6628" s="66">
        <v>920</v>
      </c>
      <c r="D6628" s="70">
        <v>0</v>
      </c>
      <c r="E6628" s="111">
        <f t="shared" si="107"/>
        <v>138710</v>
      </c>
      <c r="F6628" s="69">
        <v>4.1402464445939473E-2</v>
      </c>
      <c r="G6628" s="69">
        <v>3.9811798769453489E-2</v>
      </c>
    </row>
    <row r="6629" spans="1:7" x14ac:dyDescent="0.3">
      <c r="A6629" s="24">
        <v>41507</v>
      </c>
      <c r="B6629" s="66">
        <v>1157.7243000000001</v>
      </c>
      <c r="C6629" s="66">
        <v>935</v>
      </c>
      <c r="D6629" s="70">
        <v>0</v>
      </c>
      <c r="E6629" s="111">
        <f t="shared" si="107"/>
        <v>138710</v>
      </c>
      <c r="F6629" s="69">
        <v>4.1402464445939473E-2</v>
      </c>
      <c r="G6629" s="69">
        <v>3.9461883408071746E-2</v>
      </c>
    </row>
    <row r="6630" spans="1:7" x14ac:dyDescent="0.3">
      <c r="A6630" s="24">
        <v>41508</v>
      </c>
      <c r="B6630" s="66">
        <v>1157.7243000000001</v>
      </c>
      <c r="C6630" s="66">
        <v>947.5</v>
      </c>
      <c r="D6630" s="70">
        <v>0</v>
      </c>
      <c r="E6630" s="111">
        <f t="shared" si="107"/>
        <v>138710</v>
      </c>
      <c r="F6630" s="69">
        <v>4.1402464445939473E-2</v>
      </c>
      <c r="G6630" s="69">
        <v>3.9461883408071746E-2</v>
      </c>
    </row>
    <row r="6631" spans="1:7" x14ac:dyDescent="0.3">
      <c r="A6631" s="24">
        <v>41509</v>
      </c>
      <c r="B6631" s="66">
        <v>1157.7243000000001</v>
      </c>
      <c r="C6631" s="66">
        <v>947</v>
      </c>
      <c r="D6631" s="70">
        <v>0</v>
      </c>
      <c r="E6631" s="111">
        <f t="shared" si="107"/>
        <v>138710</v>
      </c>
      <c r="F6631" s="69">
        <v>4.1402464445939473E-2</v>
      </c>
      <c r="G6631" s="69">
        <v>3.9465422907884115E-2</v>
      </c>
    </row>
    <row r="6632" spans="1:7" x14ac:dyDescent="0.3">
      <c r="A6632" s="24">
        <v>41510</v>
      </c>
      <c r="B6632" s="66">
        <v>1157.7243000000001</v>
      </c>
      <c r="C6632" s="66">
        <v>947</v>
      </c>
      <c r="D6632" s="70">
        <v>0</v>
      </c>
      <c r="E6632" s="111">
        <f t="shared" si="107"/>
        <v>138710</v>
      </c>
      <c r="F6632" s="69">
        <v>4.1402464445939473E-2</v>
      </c>
      <c r="G6632" s="69">
        <v>3.9465422907884115E-2</v>
      </c>
    </row>
    <row r="6633" spans="1:7" x14ac:dyDescent="0.3">
      <c r="A6633" s="24">
        <v>41511</v>
      </c>
      <c r="B6633" s="66">
        <v>1157.7243000000001</v>
      </c>
      <c r="C6633" s="66">
        <v>947</v>
      </c>
      <c r="D6633" s="70">
        <v>0</v>
      </c>
      <c r="E6633" s="111">
        <f t="shared" si="107"/>
        <v>138710</v>
      </c>
      <c r="F6633" s="69">
        <v>4.1402464445939473E-2</v>
      </c>
      <c r="G6633" s="69">
        <v>3.9465422907884115E-2</v>
      </c>
    </row>
    <row r="6634" spans="1:7" x14ac:dyDescent="0.3">
      <c r="A6634" s="24">
        <v>41512</v>
      </c>
      <c r="B6634" s="66">
        <v>1157.7243000000001</v>
      </c>
      <c r="C6634" s="66">
        <v>947</v>
      </c>
      <c r="D6634" s="70">
        <v>0</v>
      </c>
      <c r="E6634" s="111">
        <f t="shared" si="107"/>
        <v>138710</v>
      </c>
      <c r="F6634" s="69">
        <v>4.1402464445939473E-2</v>
      </c>
      <c r="G6634" s="69">
        <v>3.9465422907884115E-2</v>
      </c>
    </row>
    <row r="6635" spans="1:7" x14ac:dyDescent="0.3">
      <c r="A6635" s="24">
        <v>41513</v>
      </c>
      <c r="B6635" s="66">
        <v>1157.7243000000001</v>
      </c>
      <c r="C6635" s="66">
        <v>940</v>
      </c>
      <c r="D6635" s="70">
        <v>0</v>
      </c>
      <c r="E6635" s="111">
        <f t="shared" si="107"/>
        <v>138710</v>
      </c>
      <c r="F6635" s="69">
        <v>4.1402464445939473E-2</v>
      </c>
      <c r="G6635" s="69">
        <v>0.04</v>
      </c>
    </row>
    <row r="6636" spans="1:7" x14ac:dyDescent="0.3">
      <c r="A6636" s="24">
        <v>41514</v>
      </c>
      <c r="B6636" s="66">
        <v>1157.7243000000001</v>
      </c>
      <c r="C6636" s="66">
        <v>935</v>
      </c>
      <c r="D6636" s="70">
        <v>0</v>
      </c>
      <c r="E6636" s="111">
        <f t="shared" si="107"/>
        <v>138710</v>
      </c>
      <c r="F6636" s="69">
        <v>4.1402464445939473E-2</v>
      </c>
      <c r="G6636" s="69">
        <v>0.04</v>
      </c>
    </row>
    <row r="6637" spans="1:7" x14ac:dyDescent="0.3">
      <c r="A6637" s="24">
        <v>41515</v>
      </c>
      <c r="B6637" s="66">
        <v>1157.7243000000001</v>
      </c>
      <c r="C6637" s="66">
        <v>930</v>
      </c>
      <c r="D6637" s="70">
        <v>0</v>
      </c>
      <c r="E6637" s="111">
        <f t="shared" si="107"/>
        <v>138710</v>
      </c>
      <c r="F6637" s="69">
        <v>4.1402464445939473E-2</v>
      </c>
      <c r="G6637" s="69">
        <v>0.04</v>
      </c>
    </row>
    <row r="6638" spans="1:7" x14ac:dyDescent="0.3">
      <c r="A6638" s="24">
        <v>41516</v>
      </c>
      <c r="B6638" s="66">
        <v>1157.7243000000001</v>
      </c>
      <c r="C6638" s="66">
        <v>930</v>
      </c>
      <c r="D6638" s="70">
        <v>0</v>
      </c>
      <c r="E6638" s="111">
        <f t="shared" si="107"/>
        <v>138710</v>
      </c>
      <c r="F6638" s="69">
        <v>4.1402464445939473E-2</v>
      </c>
      <c r="G6638" s="69">
        <v>4.0003636694244928E-2</v>
      </c>
    </row>
    <row r="6639" spans="1:7" x14ac:dyDescent="0.3">
      <c r="A6639" s="24">
        <v>41517</v>
      </c>
      <c r="B6639" s="66">
        <v>1157.7243000000001</v>
      </c>
      <c r="C6639" s="66">
        <v>930</v>
      </c>
      <c r="D6639" s="70">
        <v>0</v>
      </c>
      <c r="E6639" s="111">
        <f t="shared" si="107"/>
        <v>138710</v>
      </c>
      <c r="F6639" s="69">
        <v>4.1402464445939473E-2</v>
      </c>
      <c r="G6639" s="69">
        <v>4.0003636694244928E-2</v>
      </c>
    </row>
    <row r="6640" spans="1:7" x14ac:dyDescent="0.3">
      <c r="A6640" s="24">
        <v>41518</v>
      </c>
      <c r="B6640" s="66">
        <v>1157.7243000000001</v>
      </c>
      <c r="C6640" s="66">
        <v>930</v>
      </c>
      <c r="D6640" s="70">
        <v>0</v>
      </c>
      <c r="E6640" s="111">
        <f t="shared" si="107"/>
        <v>138710</v>
      </c>
      <c r="F6640" s="69">
        <v>4.1402464445939473E-2</v>
      </c>
      <c r="G6640" s="69">
        <v>4.0003636694244928E-2</v>
      </c>
    </row>
    <row r="6641" spans="1:7" x14ac:dyDescent="0.3">
      <c r="A6641" s="24">
        <v>41519</v>
      </c>
      <c r="B6641" s="66">
        <v>1157.7243000000001</v>
      </c>
      <c r="C6641" s="66">
        <v>930</v>
      </c>
      <c r="D6641" s="70">
        <v>0</v>
      </c>
      <c r="E6641" s="111">
        <f t="shared" si="107"/>
        <v>138710</v>
      </c>
      <c r="F6641" s="69">
        <v>4.1402464445939473E-2</v>
      </c>
      <c r="G6641" s="69">
        <v>4.1509433962264149E-2</v>
      </c>
    </row>
    <row r="6642" spans="1:7" x14ac:dyDescent="0.3">
      <c r="A6642" s="24">
        <v>41520</v>
      </c>
      <c r="B6642" s="66">
        <v>1157.7243000000001</v>
      </c>
      <c r="C6642" s="66">
        <v>930</v>
      </c>
      <c r="D6642" s="70">
        <v>0</v>
      </c>
      <c r="E6642" s="111">
        <f t="shared" si="107"/>
        <v>138710</v>
      </c>
      <c r="F6642" s="69">
        <v>4.1402464445939473E-2</v>
      </c>
      <c r="G6642" s="69">
        <v>4.0003636694244928E-2</v>
      </c>
    </row>
    <row r="6643" spans="1:7" x14ac:dyDescent="0.3">
      <c r="A6643" s="24">
        <v>41521</v>
      </c>
      <c r="B6643" s="66">
        <v>1157.7243000000001</v>
      </c>
      <c r="C6643" s="66">
        <v>920</v>
      </c>
      <c r="D6643" s="70">
        <v>0</v>
      </c>
      <c r="E6643" s="111">
        <f t="shared" si="107"/>
        <v>138710</v>
      </c>
      <c r="F6643" s="69">
        <v>4.1402464445939473E-2</v>
      </c>
      <c r="G6643" s="69">
        <v>4.0003636694244928E-2</v>
      </c>
    </row>
    <row r="6644" spans="1:7" x14ac:dyDescent="0.3">
      <c r="A6644" s="24">
        <v>41522</v>
      </c>
      <c r="B6644" s="66">
        <v>1157.7243000000001</v>
      </c>
      <c r="C6644" s="66">
        <v>920</v>
      </c>
      <c r="D6644" s="70">
        <v>0</v>
      </c>
      <c r="E6644" s="111">
        <f t="shared" si="107"/>
        <v>138710</v>
      </c>
      <c r="F6644" s="69">
        <v>4.1402464445939473E-2</v>
      </c>
      <c r="G6644" s="69">
        <v>0.04</v>
      </c>
    </row>
    <row r="6645" spans="1:7" x14ac:dyDescent="0.3">
      <c r="A6645" s="24">
        <v>41523</v>
      </c>
      <c r="B6645" s="66">
        <v>1157.7243000000001</v>
      </c>
      <c r="C6645" s="66">
        <v>900</v>
      </c>
      <c r="D6645" s="70">
        <v>0</v>
      </c>
      <c r="E6645" s="111">
        <f t="shared" si="107"/>
        <v>138710</v>
      </c>
      <c r="F6645" s="69">
        <v>4.1402464445939473E-2</v>
      </c>
      <c r="G6645" s="69">
        <v>0.04</v>
      </c>
    </row>
    <row r="6646" spans="1:7" x14ac:dyDescent="0.3">
      <c r="A6646" s="24">
        <v>41524</v>
      </c>
      <c r="B6646" s="66">
        <v>1157.7243000000001</v>
      </c>
      <c r="C6646" s="66">
        <v>900</v>
      </c>
      <c r="D6646" s="70">
        <v>0</v>
      </c>
      <c r="E6646" s="111">
        <f t="shared" si="107"/>
        <v>138710</v>
      </c>
      <c r="F6646" s="69">
        <v>4.1402464445939473E-2</v>
      </c>
      <c r="G6646" s="69">
        <v>0.04</v>
      </c>
    </row>
    <row r="6647" spans="1:7" x14ac:dyDescent="0.3">
      <c r="A6647" s="24">
        <v>41525</v>
      </c>
      <c r="B6647" s="66">
        <v>1157.7243000000001</v>
      </c>
      <c r="C6647" s="66">
        <v>900</v>
      </c>
      <c r="D6647" s="70">
        <v>0</v>
      </c>
      <c r="E6647" s="111">
        <f t="shared" si="107"/>
        <v>138710</v>
      </c>
      <c r="F6647" s="69">
        <v>4.1402464445939473E-2</v>
      </c>
      <c r="G6647" s="69">
        <v>0.04</v>
      </c>
    </row>
    <row r="6648" spans="1:7" x14ac:dyDescent="0.3">
      <c r="A6648" s="24">
        <v>41526</v>
      </c>
      <c r="B6648" s="66">
        <v>1157.7243000000001</v>
      </c>
      <c r="C6648" s="66">
        <v>900</v>
      </c>
      <c r="D6648" s="70">
        <v>0</v>
      </c>
      <c r="E6648" s="111">
        <f t="shared" si="107"/>
        <v>138710</v>
      </c>
      <c r="F6648" s="69">
        <v>4.1402464445939473E-2</v>
      </c>
      <c r="G6648" s="69">
        <v>4.0366972477064222E-2</v>
      </c>
    </row>
    <row r="6649" spans="1:7" x14ac:dyDescent="0.3">
      <c r="A6649" s="24">
        <v>41527</v>
      </c>
      <c r="B6649" s="66">
        <v>1157.7243000000001</v>
      </c>
      <c r="C6649" s="66">
        <v>910</v>
      </c>
      <c r="D6649" s="70">
        <v>0</v>
      </c>
      <c r="E6649" s="111">
        <f t="shared" si="107"/>
        <v>138710</v>
      </c>
      <c r="F6649" s="69">
        <v>4.1402464445939473E-2</v>
      </c>
      <c r="G6649" s="69">
        <v>0.04</v>
      </c>
    </row>
    <row r="6650" spans="1:7" x14ac:dyDescent="0.3">
      <c r="A6650" s="24">
        <v>41528</v>
      </c>
      <c r="B6650" s="66">
        <v>1157.7243000000001</v>
      </c>
      <c r="C6650" s="66">
        <v>900</v>
      </c>
      <c r="D6650" s="70">
        <v>0</v>
      </c>
      <c r="E6650" s="111">
        <f t="shared" si="107"/>
        <v>138710</v>
      </c>
      <c r="F6650" s="69">
        <v>4.1402464445939473E-2</v>
      </c>
      <c r="G6650" s="69">
        <v>0.04</v>
      </c>
    </row>
    <row r="6651" spans="1:7" x14ac:dyDescent="0.3">
      <c r="A6651" s="24">
        <v>41529</v>
      </c>
      <c r="B6651" s="66">
        <v>1157.7243000000001</v>
      </c>
      <c r="C6651" s="66">
        <v>920</v>
      </c>
      <c r="D6651" s="70">
        <v>0</v>
      </c>
      <c r="E6651" s="111">
        <f t="shared" si="107"/>
        <v>138710</v>
      </c>
      <c r="F6651" s="69">
        <v>4.1402464445939473E-2</v>
      </c>
      <c r="G6651" s="69">
        <v>0.04</v>
      </c>
    </row>
    <row r="6652" spans="1:7" x14ac:dyDescent="0.3">
      <c r="A6652" s="24">
        <v>41530</v>
      </c>
      <c r="B6652" s="66">
        <v>1157.7243000000001</v>
      </c>
      <c r="C6652" s="66">
        <v>910</v>
      </c>
      <c r="D6652" s="70">
        <v>0</v>
      </c>
      <c r="E6652" s="111">
        <f t="shared" si="107"/>
        <v>138710</v>
      </c>
      <c r="F6652" s="69">
        <v>4.1402464445939473E-2</v>
      </c>
      <c r="G6652" s="69">
        <v>0.04</v>
      </c>
    </row>
    <row r="6653" spans="1:7" x14ac:dyDescent="0.3">
      <c r="A6653" s="24">
        <v>41531</v>
      </c>
      <c r="B6653" s="66">
        <v>1157.7243000000001</v>
      </c>
      <c r="C6653" s="66">
        <v>910</v>
      </c>
      <c r="D6653" s="70">
        <v>0</v>
      </c>
      <c r="E6653" s="111">
        <f t="shared" si="107"/>
        <v>138710</v>
      </c>
      <c r="F6653" s="69">
        <v>4.1402464445939473E-2</v>
      </c>
      <c r="G6653" s="69">
        <v>0.04</v>
      </c>
    </row>
    <row r="6654" spans="1:7" x14ac:dyDescent="0.3">
      <c r="A6654" s="24">
        <v>41532</v>
      </c>
      <c r="B6654" s="66">
        <v>1157.7243000000001</v>
      </c>
      <c r="C6654" s="66">
        <v>910</v>
      </c>
      <c r="D6654" s="70">
        <v>0</v>
      </c>
      <c r="E6654" s="111">
        <f t="shared" si="107"/>
        <v>138710</v>
      </c>
      <c r="F6654" s="69">
        <v>4.1402464445939473E-2</v>
      </c>
      <c r="G6654" s="69">
        <v>0.04</v>
      </c>
    </row>
    <row r="6655" spans="1:7" x14ac:dyDescent="0.3">
      <c r="A6655" s="24">
        <v>41533</v>
      </c>
      <c r="B6655" s="66">
        <v>1157.7243000000001</v>
      </c>
      <c r="C6655" s="66">
        <v>910</v>
      </c>
      <c r="D6655" s="70">
        <v>0</v>
      </c>
      <c r="E6655" s="111">
        <f t="shared" si="107"/>
        <v>138710</v>
      </c>
      <c r="F6655" s="69">
        <v>4.1402464445939473E-2</v>
      </c>
      <c r="G6655" s="69">
        <v>0.04</v>
      </c>
    </row>
    <row r="6656" spans="1:7" x14ac:dyDescent="0.3">
      <c r="A6656" s="24">
        <v>41534</v>
      </c>
      <c r="B6656" s="66">
        <v>1157.7243000000001</v>
      </c>
      <c r="C6656" s="66">
        <v>910</v>
      </c>
      <c r="D6656" s="70">
        <v>0</v>
      </c>
      <c r="E6656" s="111">
        <f t="shared" si="107"/>
        <v>138710</v>
      </c>
      <c r="F6656" s="69">
        <v>4.1402464445939473E-2</v>
      </c>
      <c r="G6656" s="69">
        <v>0.04</v>
      </c>
    </row>
    <row r="6657" spans="1:7" x14ac:dyDescent="0.3">
      <c r="A6657" s="24">
        <v>41535</v>
      </c>
      <c r="B6657" s="66">
        <v>1157.7243000000001</v>
      </c>
      <c r="C6657" s="66">
        <v>910</v>
      </c>
      <c r="D6657" s="70">
        <v>0</v>
      </c>
      <c r="E6657" s="111">
        <f t="shared" si="107"/>
        <v>138710</v>
      </c>
      <c r="F6657" s="69">
        <v>4.1402464445939473E-2</v>
      </c>
      <c r="G6657" s="69">
        <v>0.04</v>
      </c>
    </row>
    <row r="6658" spans="1:7" x14ac:dyDescent="0.3">
      <c r="A6658" s="24">
        <v>41536</v>
      </c>
      <c r="B6658" s="66">
        <v>1157.7243000000001</v>
      </c>
      <c r="C6658" s="66">
        <v>910</v>
      </c>
      <c r="D6658" s="70">
        <v>0</v>
      </c>
      <c r="E6658" s="111">
        <f t="shared" si="107"/>
        <v>138710</v>
      </c>
      <c r="F6658" s="69">
        <v>4.1402464445939473E-2</v>
      </c>
      <c r="G6658" s="69">
        <v>4.0366972477064222E-2</v>
      </c>
    </row>
    <row r="6659" spans="1:7" x14ac:dyDescent="0.3">
      <c r="A6659" s="24">
        <v>41537</v>
      </c>
      <c r="B6659" s="66">
        <v>1157.7243000000001</v>
      </c>
      <c r="C6659" s="66">
        <v>910</v>
      </c>
      <c r="D6659" s="70">
        <v>0</v>
      </c>
      <c r="E6659" s="111">
        <f t="shared" si="107"/>
        <v>138710</v>
      </c>
      <c r="F6659" s="69">
        <v>4.1402464445939473E-2</v>
      </c>
      <c r="G6659" s="69">
        <v>4.0366972477064222E-2</v>
      </c>
    </row>
    <row r="6660" spans="1:7" x14ac:dyDescent="0.3">
      <c r="A6660" s="24">
        <v>41538</v>
      </c>
      <c r="B6660" s="66">
        <v>1157.7243000000001</v>
      </c>
      <c r="C6660" s="66">
        <v>910</v>
      </c>
      <c r="D6660" s="70">
        <v>0</v>
      </c>
      <c r="E6660" s="111">
        <f t="shared" si="107"/>
        <v>138710</v>
      </c>
      <c r="F6660" s="69">
        <v>4.1402464445939473E-2</v>
      </c>
      <c r="G6660" s="69">
        <v>4.0366972477064222E-2</v>
      </c>
    </row>
    <row r="6661" spans="1:7" x14ac:dyDescent="0.3">
      <c r="A6661" s="24">
        <v>41539</v>
      </c>
      <c r="B6661" s="66">
        <v>1157.7243000000001</v>
      </c>
      <c r="C6661" s="66">
        <v>910</v>
      </c>
      <c r="D6661" s="70">
        <v>0</v>
      </c>
      <c r="E6661" s="111">
        <f t="shared" si="107"/>
        <v>138710</v>
      </c>
      <c r="F6661" s="69">
        <v>4.1402464445939473E-2</v>
      </c>
      <c r="G6661" s="69">
        <v>4.0366972477064222E-2</v>
      </c>
    </row>
    <row r="6662" spans="1:7" x14ac:dyDescent="0.3">
      <c r="A6662" s="24">
        <v>41540</v>
      </c>
      <c r="B6662" s="66">
        <v>1157.7243000000001</v>
      </c>
      <c r="C6662" s="66">
        <v>910</v>
      </c>
      <c r="D6662" s="70">
        <v>0</v>
      </c>
      <c r="E6662" s="111">
        <f t="shared" si="107"/>
        <v>138710</v>
      </c>
      <c r="F6662" s="69">
        <v>4.1402464445939473E-2</v>
      </c>
      <c r="G6662" s="69">
        <v>4.0366972477064222E-2</v>
      </c>
    </row>
    <row r="6663" spans="1:7" x14ac:dyDescent="0.3">
      <c r="A6663" s="24">
        <v>41541</v>
      </c>
      <c r="B6663" s="66">
        <v>1157.7243000000001</v>
      </c>
      <c r="C6663" s="66">
        <v>910</v>
      </c>
      <c r="D6663" s="70">
        <v>0</v>
      </c>
      <c r="E6663" s="111">
        <f t="shared" si="107"/>
        <v>138710</v>
      </c>
      <c r="F6663" s="69">
        <v>4.1402464445939473E-2</v>
      </c>
      <c r="G6663" s="69">
        <v>4.0366972477064222E-2</v>
      </c>
    </row>
    <row r="6664" spans="1:7" x14ac:dyDescent="0.3">
      <c r="A6664" s="24">
        <v>41542</v>
      </c>
      <c r="B6664" s="66">
        <v>1157.7243000000001</v>
      </c>
      <c r="C6664" s="66">
        <v>910</v>
      </c>
      <c r="D6664" s="70">
        <v>0</v>
      </c>
      <c r="E6664" s="111">
        <f t="shared" si="107"/>
        <v>138710</v>
      </c>
      <c r="F6664" s="69">
        <v>4.1402464445939473E-2</v>
      </c>
      <c r="G6664" s="69">
        <v>4.0370676208826492E-2</v>
      </c>
    </row>
    <row r="6665" spans="1:7" x14ac:dyDescent="0.3">
      <c r="A6665" s="24">
        <v>41543</v>
      </c>
      <c r="B6665" s="66">
        <v>1157.7243000000001</v>
      </c>
      <c r="C6665" s="66">
        <v>910</v>
      </c>
      <c r="D6665" s="70">
        <v>0</v>
      </c>
      <c r="E6665" s="111">
        <f t="shared" ref="E6665:E6728" si="108">+E6664</f>
        <v>138710</v>
      </c>
      <c r="F6665" s="69">
        <v>4.1402464445939473E-2</v>
      </c>
      <c r="G6665" s="69">
        <v>4.0385497934832489E-2</v>
      </c>
    </row>
    <row r="6666" spans="1:7" x14ac:dyDescent="0.3">
      <c r="A6666" s="24">
        <v>41544</v>
      </c>
      <c r="B6666" s="66">
        <v>1157.7243000000001</v>
      </c>
      <c r="C6666" s="66">
        <v>910</v>
      </c>
      <c r="D6666" s="70">
        <v>0</v>
      </c>
      <c r="E6666" s="111">
        <f t="shared" si="108"/>
        <v>138710</v>
      </c>
      <c r="F6666" s="69">
        <v>4.1402464445939473E-2</v>
      </c>
      <c r="G6666" s="69">
        <v>4.0366972477064222E-2</v>
      </c>
    </row>
    <row r="6667" spans="1:7" x14ac:dyDescent="0.3">
      <c r="A6667" s="24">
        <v>41545</v>
      </c>
      <c r="B6667" s="66">
        <v>1157.7243000000001</v>
      </c>
      <c r="C6667" s="66">
        <v>910</v>
      </c>
      <c r="D6667" s="70">
        <v>0</v>
      </c>
      <c r="E6667" s="111">
        <f t="shared" si="108"/>
        <v>138710</v>
      </c>
      <c r="F6667" s="69">
        <v>3.5756673839674999E-2</v>
      </c>
      <c r="G6667" s="69">
        <v>3.4862385321100919E-2</v>
      </c>
    </row>
    <row r="6668" spans="1:7" x14ac:dyDescent="0.3">
      <c r="A6668" s="24">
        <v>41546</v>
      </c>
      <c r="B6668" s="66">
        <v>1157.7243000000001</v>
      </c>
      <c r="C6668" s="66">
        <v>910</v>
      </c>
      <c r="D6668" s="70">
        <v>0</v>
      </c>
      <c r="E6668" s="111">
        <f t="shared" si="108"/>
        <v>138710</v>
      </c>
      <c r="F6668" s="69">
        <v>3.5550133973018698E-2</v>
      </c>
      <c r="G6668" s="69">
        <v>3.4862385321100919E-2</v>
      </c>
    </row>
    <row r="6669" spans="1:7" x14ac:dyDescent="0.3">
      <c r="A6669" s="24">
        <v>41547</v>
      </c>
      <c r="B6669" s="66">
        <v>1157.7243000000001</v>
      </c>
      <c r="C6669" s="66">
        <v>904.99</v>
      </c>
      <c r="D6669" s="70">
        <v>10</v>
      </c>
      <c r="E6669" s="111">
        <f t="shared" si="108"/>
        <v>138710</v>
      </c>
      <c r="F6669" s="69">
        <v>4.4905432386970992E-2</v>
      </c>
      <c r="G6669" s="69">
        <v>4.4859813084112146E-2</v>
      </c>
    </row>
    <row r="6670" spans="1:7" x14ac:dyDescent="0.3">
      <c r="A6670" s="24">
        <v>41548</v>
      </c>
      <c r="B6670" s="66">
        <v>1157.7243000000001</v>
      </c>
      <c r="C6670" s="66">
        <v>900</v>
      </c>
      <c r="D6670" s="70">
        <v>0</v>
      </c>
      <c r="E6670" s="111">
        <f t="shared" si="108"/>
        <v>138710</v>
      </c>
      <c r="F6670" s="69">
        <v>4.4905432386970992E-2</v>
      </c>
      <c r="G6670" s="69">
        <v>4.4444444444444446E-2</v>
      </c>
    </row>
    <row r="6671" spans="1:7" x14ac:dyDescent="0.3">
      <c r="A6671" s="24">
        <v>41549</v>
      </c>
      <c r="B6671" s="66">
        <v>1157.7243000000001</v>
      </c>
      <c r="C6671" s="66">
        <v>900</v>
      </c>
      <c r="D6671" s="70">
        <v>0</v>
      </c>
      <c r="E6671" s="111">
        <f t="shared" si="108"/>
        <v>138710</v>
      </c>
      <c r="F6671" s="69">
        <v>4.4905432386970992E-2</v>
      </c>
      <c r="G6671" s="69">
        <v>4.3996333638863426E-2</v>
      </c>
    </row>
    <row r="6672" spans="1:7" x14ac:dyDescent="0.3">
      <c r="A6672" s="24">
        <v>41550</v>
      </c>
      <c r="B6672" s="66">
        <v>1157.7243000000001</v>
      </c>
      <c r="C6672" s="66">
        <v>900</v>
      </c>
      <c r="D6672" s="70">
        <v>0</v>
      </c>
      <c r="E6672" s="111">
        <f t="shared" si="108"/>
        <v>138710</v>
      </c>
      <c r="F6672" s="69">
        <v>4.4905432386970992E-2</v>
      </c>
      <c r="G6672" s="69">
        <v>4.4121702362349476E-2</v>
      </c>
    </row>
    <row r="6673" spans="1:7" x14ac:dyDescent="0.3">
      <c r="A6673" s="24">
        <v>41551</v>
      </c>
      <c r="B6673" s="66">
        <v>1157.7243000000001</v>
      </c>
      <c r="C6673" s="66">
        <v>900</v>
      </c>
      <c r="D6673" s="70">
        <v>0</v>
      </c>
      <c r="E6673" s="111">
        <f t="shared" si="108"/>
        <v>138710</v>
      </c>
      <c r="F6673" s="69">
        <v>4.4905432386970992E-2</v>
      </c>
      <c r="G6673" s="69">
        <v>4.4117647058823532E-2</v>
      </c>
    </row>
    <row r="6674" spans="1:7" x14ac:dyDescent="0.3">
      <c r="A6674" s="24">
        <v>41552</v>
      </c>
      <c r="B6674" s="66">
        <v>1157.7243000000001</v>
      </c>
      <c r="C6674" s="66">
        <v>900</v>
      </c>
      <c r="D6674" s="70">
        <v>0</v>
      </c>
      <c r="E6674" s="111">
        <f t="shared" si="108"/>
        <v>138710</v>
      </c>
      <c r="F6674" s="69">
        <v>4.4905432386970992E-2</v>
      </c>
      <c r="G6674" s="69">
        <v>4.4117647058823532E-2</v>
      </c>
    </row>
    <row r="6675" spans="1:7" x14ac:dyDescent="0.3">
      <c r="A6675" s="24">
        <v>41553</v>
      </c>
      <c r="B6675" s="66">
        <v>1157.7243000000001</v>
      </c>
      <c r="C6675" s="66">
        <v>900</v>
      </c>
      <c r="D6675" s="70">
        <v>0</v>
      </c>
      <c r="E6675" s="111">
        <f t="shared" si="108"/>
        <v>138710</v>
      </c>
      <c r="F6675" s="69">
        <v>4.4905432386970992E-2</v>
      </c>
      <c r="G6675" s="69">
        <v>4.4117647058823532E-2</v>
      </c>
    </row>
    <row r="6676" spans="1:7" x14ac:dyDescent="0.3">
      <c r="A6676" s="24">
        <v>41554</v>
      </c>
      <c r="B6676" s="66">
        <v>1157.7243000000001</v>
      </c>
      <c r="C6676" s="66">
        <v>900</v>
      </c>
      <c r="D6676" s="70">
        <v>0</v>
      </c>
      <c r="E6676" s="111">
        <f t="shared" si="108"/>
        <v>138710</v>
      </c>
      <c r="F6676" s="69">
        <v>4.4905432386970992E-2</v>
      </c>
      <c r="G6676" s="69">
        <v>4.4121702362349476E-2</v>
      </c>
    </row>
    <row r="6677" spans="1:7" x14ac:dyDescent="0.3">
      <c r="A6677" s="24">
        <v>41555</v>
      </c>
      <c r="B6677" s="66">
        <v>1157.7243000000001</v>
      </c>
      <c r="C6677" s="66">
        <v>900</v>
      </c>
      <c r="D6677" s="70">
        <v>0</v>
      </c>
      <c r="E6677" s="111">
        <f t="shared" si="108"/>
        <v>138710</v>
      </c>
      <c r="F6677" s="69">
        <v>4.4905432386970992E-2</v>
      </c>
      <c r="G6677" s="69">
        <v>4.4117647058823532E-2</v>
      </c>
    </row>
    <row r="6678" spans="1:7" x14ac:dyDescent="0.3">
      <c r="A6678" s="24">
        <v>41556</v>
      </c>
      <c r="B6678" s="66">
        <v>1157.7243000000001</v>
      </c>
      <c r="C6678" s="66">
        <v>900</v>
      </c>
      <c r="D6678" s="70">
        <v>0</v>
      </c>
      <c r="E6678" s="111">
        <f t="shared" si="108"/>
        <v>138710</v>
      </c>
      <c r="F6678" s="69">
        <v>4.4905432386970992E-2</v>
      </c>
      <c r="G6678" s="69">
        <v>4.4125758411472697E-2</v>
      </c>
    </row>
    <row r="6679" spans="1:7" x14ac:dyDescent="0.3">
      <c r="A6679" s="24">
        <v>41557</v>
      </c>
      <c r="B6679" s="66">
        <v>1157.7243000000001</v>
      </c>
      <c r="C6679" s="66">
        <v>900</v>
      </c>
      <c r="D6679" s="70">
        <v>0</v>
      </c>
      <c r="E6679" s="111">
        <f t="shared" si="108"/>
        <v>138710</v>
      </c>
      <c r="F6679" s="69">
        <v>4.4905432386970992E-2</v>
      </c>
      <c r="G6679" s="69">
        <v>4.4125758411472697E-2</v>
      </c>
    </row>
    <row r="6680" spans="1:7" x14ac:dyDescent="0.3">
      <c r="A6680" s="24">
        <v>41558</v>
      </c>
      <c r="B6680" s="66">
        <v>1157.7243000000001</v>
      </c>
      <c r="C6680" s="66">
        <v>905</v>
      </c>
      <c r="D6680" s="70">
        <v>0</v>
      </c>
      <c r="E6680" s="111">
        <f t="shared" si="108"/>
        <v>138710</v>
      </c>
      <c r="F6680" s="69">
        <v>4.4905432386970992E-2</v>
      </c>
      <c r="G6680" s="69">
        <v>4.4125758411472697E-2</v>
      </c>
    </row>
    <row r="6681" spans="1:7" x14ac:dyDescent="0.3">
      <c r="A6681" s="24">
        <v>41559</v>
      </c>
      <c r="B6681" s="66">
        <v>1157.7243000000001</v>
      </c>
      <c r="C6681" s="66">
        <v>905</v>
      </c>
      <c r="D6681" s="70">
        <v>0</v>
      </c>
      <c r="E6681" s="111">
        <f t="shared" si="108"/>
        <v>138710</v>
      </c>
      <c r="F6681" s="69">
        <v>4.4905432386970992E-2</v>
      </c>
      <c r="G6681" s="69">
        <v>4.4125758411472697E-2</v>
      </c>
    </row>
    <row r="6682" spans="1:7" x14ac:dyDescent="0.3">
      <c r="A6682" s="24">
        <v>41560</v>
      </c>
      <c r="B6682" s="66">
        <v>1157.7243000000001</v>
      </c>
      <c r="C6682" s="66">
        <v>905</v>
      </c>
      <c r="D6682" s="70">
        <v>0</v>
      </c>
      <c r="E6682" s="111">
        <f t="shared" si="108"/>
        <v>138710</v>
      </c>
      <c r="F6682" s="69">
        <v>4.4905432386970992E-2</v>
      </c>
      <c r="G6682" s="69">
        <v>4.4125758411472697E-2</v>
      </c>
    </row>
    <row r="6683" spans="1:7" x14ac:dyDescent="0.3">
      <c r="A6683" s="24">
        <v>41561</v>
      </c>
      <c r="B6683" s="66">
        <v>1157.7243000000001</v>
      </c>
      <c r="C6683" s="66">
        <v>905</v>
      </c>
      <c r="D6683" s="70">
        <v>0</v>
      </c>
      <c r="E6683" s="111">
        <f t="shared" si="108"/>
        <v>138710</v>
      </c>
      <c r="F6683" s="69">
        <v>4.4905432386970992E-2</v>
      </c>
      <c r="G6683" s="69">
        <v>4.4125758411472697E-2</v>
      </c>
    </row>
    <row r="6684" spans="1:7" x14ac:dyDescent="0.3">
      <c r="A6684" s="24">
        <v>41562</v>
      </c>
      <c r="B6684" s="66">
        <v>1157.7243000000001</v>
      </c>
      <c r="C6684" s="66">
        <v>900</v>
      </c>
      <c r="D6684" s="70">
        <v>0</v>
      </c>
      <c r="E6684" s="111">
        <f t="shared" si="108"/>
        <v>138710</v>
      </c>
      <c r="F6684" s="69">
        <v>4.4905432386970992E-2</v>
      </c>
      <c r="G6684" s="69">
        <v>4.4859813084112146E-2</v>
      </c>
    </row>
    <row r="6685" spans="1:7" x14ac:dyDescent="0.3">
      <c r="A6685" s="24">
        <v>41563</v>
      </c>
      <c r="B6685" s="66">
        <v>1157.7243000000001</v>
      </c>
      <c r="C6685" s="66">
        <v>900</v>
      </c>
      <c r="D6685" s="70">
        <v>0</v>
      </c>
      <c r="E6685" s="111">
        <f t="shared" si="108"/>
        <v>138710</v>
      </c>
      <c r="F6685" s="69">
        <v>4.4905432386970992E-2</v>
      </c>
      <c r="G6685" s="69">
        <v>4.4859813084112146E-2</v>
      </c>
    </row>
    <row r="6686" spans="1:7" x14ac:dyDescent="0.3">
      <c r="A6686" s="24">
        <v>41564</v>
      </c>
      <c r="B6686" s="66">
        <v>1157.7243000000001</v>
      </c>
      <c r="C6686" s="66">
        <v>900</v>
      </c>
      <c r="D6686" s="70">
        <v>0</v>
      </c>
      <c r="E6686" s="111">
        <f t="shared" si="108"/>
        <v>138710</v>
      </c>
      <c r="F6686" s="69">
        <v>4.4905432386970992E-2</v>
      </c>
      <c r="G6686" s="69">
        <v>4.4864005981867461E-2</v>
      </c>
    </row>
    <row r="6687" spans="1:7" x14ac:dyDescent="0.3">
      <c r="A6687" s="24">
        <v>41565</v>
      </c>
      <c r="B6687" s="66">
        <v>1157.7243000000001</v>
      </c>
      <c r="C6687" s="66">
        <v>900</v>
      </c>
      <c r="D6687" s="70">
        <v>0</v>
      </c>
      <c r="E6687" s="111">
        <f t="shared" si="108"/>
        <v>138710</v>
      </c>
      <c r="F6687" s="69">
        <v>4.4905432386970992E-2</v>
      </c>
      <c r="G6687" s="69">
        <v>4.4864005981867461E-2</v>
      </c>
    </row>
    <row r="6688" spans="1:7" x14ac:dyDescent="0.3">
      <c r="A6688" s="24">
        <v>41566</v>
      </c>
      <c r="B6688" s="66">
        <v>1157.7243000000001</v>
      </c>
      <c r="C6688" s="66">
        <v>900</v>
      </c>
      <c r="D6688" s="70">
        <v>0</v>
      </c>
      <c r="E6688" s="111">
        <f t="shared" si="108"/>
        <v>138710</v>
      </c>
      <c r="F6688" s="69">
        <v>4.4905432386970992E-2</v>
      </c>
      <c r="G6688" s="69">
        <v>4.4864005981867461E-2</v>
      </c>
    </row>
    <row r="6689" spans="1:7" x14ac:dyDescent="0.3">
      <c r="A6689" s="24">
        <v>41567</v>
      </c>
      <c r="B6689" s="66">
        <v>1157.7243000000001</v>
      </c>
      <c r="C6689" s="66">
        <v>900</v>
      </c>
      <c r="D6689" s="70">
        <v>0</v>
      </c>
      <c r="E6689" s="111">
        <f t="shared" si="108"/>
        <v>138710</v>
      </c>
      <c r="F6689" s="69">
        <v>4.4905432386970992E-2</v>
      </c>
      <c r="G6689" s="69">
        <v>4.4864005981867461E-2</v>
      </c>
    </row>
    <row r="6690" spans="1:7" x14ac:dyDescent="0.3">
      <c r="A6690" s="24">
        <v>41568</v>
      </c>
      <c r="B6690" s="66">
        <v>1157.7243000000001</v>
      </c>
      <c r="C6690" s="66">
        <v>900</v>
      </c>
      <c r="D6690" s="70">
        <v>0</v>
      </c>
      <c r="E6690" s="111">
        <f t="shared" si="108"/>
        <v>138710</v>
      </c>
      <c r="F6690" s="69">
        <v>4.4905432386970992E-2</v>
      </c>
      <c r="G6690" s="69">
        <v>4.49438202247191E-2</v>
      </c>
    </row>
    <row r="6691" spans="1:7" x14ac:dyDescent="0.3">
      <c r="A6691" s="24">
        <v>41569</v>
      </c>
      <c r="B6691" s="66">
        <v>1157.7243000000001</v>
      </c>
      <c r="C6691" s="66">
        <v>900</v>
      </c>
      <c r="D6691" s="70">
        <v>0</v>
      </c>
      <c r="E6691" s="111">
        <f t="shared" si="108"/>
        <v>138710</v>
      </c>
      <c r="F6691" s="69">
        <v>4.4905432386970992E-2</v>
      </c>
      <c r="G6691" s="69">
        <v>4.5028142589118199E-2</v>
      </c>
    </row>
    <row r="6692" spans="1:7" x14ac:dyDescent="0.3">
      <c r="A6692" s="24">
        <v>41570</v>
      </c>
      <c r="B6692" s="66">
        <v>1157.7243000000001</v>
      </c>
      <c r="C6692" s="66">
        <v>900</v>
      </c>
      <c r="D6692" s="70">
        <v>0</v>
      </c>
      <c r="E6692" s="111">
        <f t="shared" si="108"/>
        <v>138710</v>
      </c>
      <c r="F6692" s="69">
        <v>4.4905432386970992E-2</v>
      </c>
      <c r="G6692" s="69">
        <v>4.507042253521127E-2</v>
      </c>
    </row>
    <row r="6693" spans="1:7" x14ac:dyDescent="0.3">
      <c r="A6693" s="24">
        <v>41571</v>
      </c>
      <c r="B6693" s="66">
        <v>1157.7243000000001</v>
      </c>
      <c r="C6693" s="66">
        <v>900</v>
      </c>
      <c r="D6693" s="70">
        <v>0</v>
      </c>
      <c r="E6693" s="111">
        <f t="shared" si="108"/>
        <v>138710</v>
      </c>
      <c r="F6693" s="69">
        <v>4.4905432386970992E-2</v>
      </c>
      <c r="G6693" s="69">
        <v>4.5155221072436504E-2</v>
      </c>
    </row>
    <row r="6694" spans="1:7" x14ac:dyDescent="0.3">
      <c r="A6694" s="24">
        <v>41572</v>
      </c>
      <c r="B6694" s="66">
        <v>1157.7243000000001</v>
      </c>
      <c r="C6694" s="66">
        <v>899.9</v>
      </c>
      <c r="D6694" s="70">
        <v>0</v>
      </c>
      <c r="E6694" s="111">
        <f t="shared" si="108"/>
        <v>138710</v>
      </c>
      <c r="F6694" s="69">
        <v>4.4905432386970992E-2</v>
      </c>
      <c r="G6694" s="69">
        <v>4.5240339302544771E-2</v>
      </c>
    </row>
    <row r="6695" spans="1:7" x14ac:dyDescent="0.3">
      <c r="A6695" s="24">
        <v>41573</v>
      </c>
      <c r="B6695" s="66">
        <v>1157.7243000000001</v>
      </c>
      <c r="C6695" s="66">
        <v>899.9</v>
      </c>
      <c r="D6695" s="70">
        <v>0</v>
      </c>
      <c r="E6695" s="111">
        <f t="shared" si="108"/>
        <v>138710</v>
      </c>
      <c r="F6695" s="69">
        <v>4.4905432386970992E-2</v>
      </c>
      <c r="G6695" s="69">
        <v>4.5240339302544771E-2</v>
      </c>
    </row>
    <row r="6696" spans="1:7" x14ac:dyDescent="0.3">
      <c r="A6696" s="24">
        <v>41574</v>
      </c>
      <c r="B6696" s="66">
        <v>1157.7243000000001</v>
      </c>
      <c r="C6696" s="66">
        <v>899.9</v>
      </c>
      <c r="D6696" s="70">
        <v>0</v>
      </c>
      <c r="E6696" s="111">
        <f t="shared" si="108"/>
        <v>138710</v>
      </c>
      <c r="F6696" s="69">
        <v>4.4905432386970992E-2</v>
      </c>
      <c r="G6696" s="69">
        <v>4.5240339302544771E-2</v>
      </c>
    </row>
    <row r="6697" spans="1:7" x14ac:dyDescent="0.3">
      <c r="A6697" s="24">
        <v>41575</v>
      </c>
      <c r="B6697" s="66">
        <v>1157.7243000000001</v>
      </c>
      <c r="C6697" s="66">
        <v>899.9</v>
      </c>
      <c r="D6697" s="70">
        <v>0</v>
      </c>
      <c r="E6697" s="111">
        <f t="shared" si="108"/>
        <v>138710</v>
      </c>
      <c r="F6697" s="69">
        <v>4.4905432386970992E-2</v>
      </c>
      <c r="G6697" s="69">
        <v>4.5283018867924525E-2</v>
      </c>
    </row>
    <row r="6698" spans="1:7" x14ac:dyDescent="0.3">
      <c r="A6698" s="24">
        <v>41576</v>
      </c>
      <c r="B6698" s="66">
        <v>1157.7243000000001</v>
      </c>
      <c r="C6698" s="66">
        <v>898.99</v>
      </c>
      <c r="D6698" s="70">
        <v>0</v>
      </c>
      <c r="E6698" s="111">
        <f t="shared" si="108"/>
        <v>138710</v>
      </c>
      <c r="F6698" s="69">
        <v>4.4905432386970992E-2</v>
      </c>
      <c r="G6698" s="69">
        <v>4.5283018867924525E-2</v>
      </c>
    </row>
    <row r="6699" spans="1:7" x14ac:dyDescent="0.3">
      <c r="A6699" s="24">
        <v>41577</v>
      </c>
      <c r="B6699" s="66">
        <v>1180.394</v>
      </c>
      <c r="C6699" s="66">
        <v>870</v>
      </c>
      <c r="D6699" s="70">
        <v>0</v>
      </c>
      <c r="E6699" s="111">
        <f t="shared" si="108"/>
        <v>138710</v>
      </c>
      <c r="F6699" s="69">
        <v>4.4905432386970992E-2</v>
      </c>
      <c r="G6699" s="69">
        <v>4.5283018867924525E-2</v>
      </c>
    </row>
    <row r="6700" spans="1:7" x14ac:dyDescent="0.3">
      <c r="A6700" s="24">
        <v>41578</v>
      </c>
      <c r="B6700" s="66">
        <v>1180.394</v>
      </c>
      <c r="C6700" s="66">
        <v>870</v>
      </c>
      <c r="D6700" s="70">
        <v>0</v>
      </c>
      <c r="E6700" s="111">
        <f t="shared" si="108"/>
        <v>138710</v>
      </c>
      <c r="F6700" s="69">
        <v>4.4905432386970992E-2</v>
      </c>
      <c r="G6700" s="69">
        <v>4.5283018867924525E-2</v>
      </c>
    </row>
    <row r="6701" spans="1:7" x14ac:dyDescent="0.3">
      <c r="A6701" s="24">
        <v>41579</v>
      </c>
      <c r="B6701" s="66">
        <v>1180.394</v>
      </c>
      <c r="C6701" s="66">
        <v>870</v>
      </c>
      <c r="D6701" s="70">
        <v>0</v>
      </c>
      <c r="E6701" s="111">
        <f t="shared" si="108"/>
        <v>138710</v>
      </c>
      <c r="F6701" s="69">
        <v>4.4905432386970992E-2</v>
      </c>
      <c r="G6701" s="69">
        <v>4.5283018867924525E-2</v>
      </c>
    </row>
    <row r="6702" spans="1:7" x14ac:dyDescent="0.3">
      <c r="A6702" s="24">
        <v>41580</v>
      </c>
      <c r="B6702" s="66">
        <v>1180.394</v>
      </c>
      <c r="C6702" s="66">
        <v>870</v>
      </c>
      <c r="D6702" s="70">
        <v>0</v>
      </c>
      <c r="E6702" s="111">
        <f t="shared" si="108"/>
        <v>138710</v>
      </c>
      <c r="F6702" s="69">
        <v>4.4905432386970992E-2</v>
      </c>
      <c r="G6702" s="69">
        <v>4.5283018867924525E-2</v>
      </c>
    </row>
    <row r="6703" spans="1:7" x14ac:dyDescent="0.3">
      <c r="A6703" s="24">
        <v>41581</v>
      </c>
      <c r="B6703" s="66">
        <v>1180.394</v>
      </c>
      <c r="C6703" s="66">
        <v>870</v>
      </c>
      <c r="D6703" s="70">
        <v>0</v>
      </c>
      <c r="E6703" s="111">
        <f t="shared" si="108"/>
        <v>138710</v>
      </c>
      <c r="F6703" s="69">
        <v>4.4905432386970992E-2</v>
      </c>
      <c r="G6703" s="69">
        <v>4.5283018867924525E-2</v>
      </c>
    </row>
    <row r="6704" spans="1:7" x14ac:dyDescent="0.3">
      <c r="A6704" s="24">
        <v>41582</v>
      </c>
      <c r="B6704" s="66">
        <v>1180.394</v>
      </c>
      <c r="C6704" s="66">
        <v>870</v>
      </c>
      <c r="D6704" s="70">
        <v>0</v>
      </c>
      <c r="E6704" s="111">
        <f t="shared" si="108"/>
        <v>138710</v>
      </c>
      <c r="F6704" s="69">
        <v>4.4905432386970992E-2</v>
      </c>
      <c r="G6704" s="69">
        <v>4.5287291253891873E-2</v>
      </c>
    </row>
    <row r="6705" spans="1:7" x14ac:dyDescent="0.3">
      <c r="A6705" s="24">
        <v>41583</v>
      </c>
      <c r="B6705" s="66">
        <v>1180.394</v>
      </c>
      <c r="C6705" s="66">
        <v>875</v>
      </c>
      <c r="D6705" s="70">
        <v>0</v>
      </c>
      <c r="E6705" s="111">
        <f t="shared" si="108"/>
        <v>138710</v>
      </c>
      <c r="F6705" s="69">
        <v>4.4905432386970992E-2</v>
      </c>
      <c r="G6705" s="69">
        <v>4.5325779036827198E-2</v>
      </c>
    </row>
    <row r="6706" spans="1:7" x14ac:dyDescent="0.3">
      <c r="A6706" s="24">
        <v>41584</v>
      </c>
      <c r="B6706" s="66">
        <v>1180.394</v>
      </c>
      <c r="C6706" s="66">
        <v>875</v>
      </c>
      <c r="D6706" s="70">
        <v>0</v>
      </c>
      <c r="E6706" s="111">
        <f t="shared" si="108"/>
        <v>138710</v>
      </c>
      <c r="F6706" s="69">
        <v>4.4905432386970992E-2</v>
      </c>
      <c r="G6706" s="69">
        <v>4.5497630331753552E-2</v>
      </c>
    </row>
    <row r="6707" spans="1:7" x14ac:dyDescent="0.3">
      <c r="A6707" s="24">
        <v>41585</v>
      </c>
      <c r="B6707" s="66">
        <v>1180.394</v>
      </c>
      <c r="C6707" s="66">
        <v>890</v>
      </c>
      <c r="D6707" s="70">
        <v>0</v>
      </c>
      <c r="E6707" s="111">
        <f t="shared" si="108"/>
        <v>138710</v>
      </c>
      <c r="F6707" s="69">
        <v>4.4905432386970992E-2</v>
      </c>
      <c r="G6707" s="69">
        <v>4.5514887161008918E-2</v>
      </c>
    </row>
    <row r="6708" spans="1:7" x14ac:dyDescent="0.3">
      <c r="A6708" s="24">
        <v>41586</v>
      </c>
      <c r="B6708" s="66">
        <v>1180.394</v>
      </c>
      <c r="C6708" s="66">
        <v>900</v>
      </c>
      <c r="D6708" s="70">
        <v>0</v>
      </c>
      <c r="E6708" s="111">
        <f t="shared" si="108"/>
        <v>138710</v>
      </c>
      <c r="F6708" s="69">
        <v>4.4905432386970992E-2</v>
      </c>
      <c r="G6708" s="69">
        <v>4.5514887161008918E-2</v>
      </c>
    </row>
    <row r="6709" spans="1:7" x14ac:dyDescent="0.3">
      <c r="A6709" s="24">
        <v>41587</v>
      </c>
      <c r="B6709" s="66">
        <v>1180.394</v>
      </c>
      <c r="C6709" s="66">
        <v>900</v>
      </c>
      <c r="D6709" s="70">
        <v>0</v>
      </c>
      <c r="E6709" s="111">
        <f t="shared" si="108"/>
        <v>138710</v>
      </c>
      <c r="F6709" s="69">
        <v>4.4905432386970992E-2</v>
      </c>
      <c r="G6709" s="69">
        <v>4.5514887161008918E-2</v>
      </c>
    </row>
    <row r="6710" spans="1:7" x14ac:dyDescent="0.3">
      <c r="A6710" s="24">
        <v>41588</v>
      </c>
      <c r="B6710" s="66">
        <v>1180.394</v>
      </c>
      <c r="C6710" s="66">
        <v>900</v>
      </c>
      <c r="D6710" s="70">
        <v>0</v>
      </c>
      <c r="E6710" s="111">
        <f t="shared" si="108"/>
        <v>138710</v>
      </c>
      <c r="F6710" s="69">
        <v>4.4905432386970992E-2</v>
      </c>
      <c r="G6710" s="69">
        <v>4.5514887161008918E-2</v>
      </c>
    </row>
    <row r="6711" spans="1:7" x14ac:dyDescent="0.3">
      <c r="A6711" s="24">
        <v>41589</v>
      </c>
      <c r="B6711" s="66">
        <v>1180.394</v>
      </c>
      <c r="C6711" s="66">
        <v>899.99</v>
      </c>
      <c r="D6711" s="70">
        <v>0</v>
      </c>
      <c r="E6711" s="111">
        <f t="shared" si="108"/>
        <v>138710</v>
      </c>
      <c r="F6711" s="69">
        <v>4.4905432386970992E-2</v>
      </c>
      <c r="G6711" s="69">
        <v>4.5736064792758456E-2</v>
      </c>
    </row>
    <row r="6712" spans="1:7" x14ac:dyDescent="0.3">
      <c r="A6712" s="24">
        <v>41590</v>
      </c>
      <c r="B6712" s="66">
        <v>1180.394</v>
      </c>
      <c r="C6712" s="66">
        <v>900</v>
      </c>
      <c r="D6712" s="70">
        <v>0</v>
      </c>
      <c r="E6712" s="111">
        <f t="shared" si="108"/>
        <v>138710</v>
      </c>
      <c r="F6712" s="69">
        <v>4.4905432386970992E-2</v>
      </c>
      <c r="G6712" s="69">
        <v>4.6153846153846156E-2</v>
      </c>
    </row>
    <row r="6713" spans="1:7" x14ac:dyDescent="0.3">
      <c r="A6713" s="24">
        <v>41591</v>
      </c>
      <c r="B6713" s="66">
        <v>1180.394</v>
      </c>
      <c r="C6713" s="66">
        <v>905</v>
      </c>
      <c r="D6713" s="70">
        <v>0</v>
      </c>
      <c r="E6713" s="111">
        <f t="shared" si="108"/>
        <v>138710</v>
      </c>
      <c r="F6713" s="69">
        <v>4.4905432386970992E-2</v>
      </c>
      <c r="G6713" s="69">
        <v>4.6065259117082535E-2</v>
      </c>
    </row>
    <row r="6714" spans="1:7" x14ac:dyDescent="0.3">
      <c r="A6714" s="24">
        <v>41592</v>
      </c>
      <c r="B6714" s="66">
        <v>1180.394</v>
      </c>
      <c r="C6714" s="66">
        <v>905</v>
      </c>
      <c r="D6714" s="70">
        <v>0</v>
      </c>
      <c r="E6714" s="111">
        <f t="shared" si="108"/>
        <v>138710</v>
      </c>
      <c r="F6714" s="69">
        <v>4.4905432386970992E-2</v>
      </c>
      <c r="G6714" s="69">
        <v>4.5714285714285714E-2</v>
      </c>
    </row>
    <row r="6715" spans="1:7" x14ac:dyDescent="0.3">
      <c r="A6715" s="24">
        <v>41593</v>
      </c>
      <c r="B6715" s="66">
        <v>1180.394</v>
      </c>
      <c r="C6715" s="66">
        <v>905</v>
      </c>
      <c r="D6715" s="70">
        <v>0</v>
      </c>
      <c r="E6715" s="111">
        <f t="shared" si="108"/>
        <v>138710</v>
      </c>
      <c r="F6715" s="69">
        <v>4.4905432386970992E-2</v>
      </c>
      <c r="G6715" s="69">
        <v>4.5283018867924525E-2</v>
      </c>
    </row>
    <row r="6716" spans="1:7" x14ac:dyDescent="0.3">
      <c r="A6716" s="24">
        <v>41594</v>
      </c>
      <c r="B6716" s="66">
        <v>1180.394</v>
      </c>
      <c r="C6716" s="66">
        <v>905</v>
      </c>
      <c r="D6716" s="70">
        <v>0</v>
      </c>
      <c r="E6716" s="111">
        <f t="shared" si="108"/>
        <v>138710</v>
      </c>
      <c r="F6716" s="69">
        <v>4.4905432386970992E-2</v>
      </c>
      <c r="G6716" s="69">
        <v>4.5283018867924525E-2</v>
      </c>
    </row>
    <row r="6717" spans="1:7" x14ac:dyDescent="0.3">
      <c r="A6717" s="24">
        <v>41595</v>
      </c>
      <c r="B6717" s="66">
        <v>1180.394</v>
      </c>
      <c r="C6717" s="66">
        <v>905</v>
      </c>
      <c r="D6717" s="70">
        <v>0</v>
      </c>
      <c r="E6717" s="111">
        <f t="shared" si="108"/>
        <v>138710</v>
      </c>
      <c r="F6717" s="69">
        <v>4.4905432386970992E-2</v>
      </c>
      <c r="G6717" s="69">
        <v>4.5283018867924525E-2</v>
      </c>
    </row>
    <row r="6718" spans="1:7" x14ac:dyDescent="0.3">
      <c r="A6718" s="24">
        <v>41596</v>
      </c>
      <c r="B6718" s="66">
        <v>1180.394</v>
      </c>
      <c r="C6718" s="66">
        <v>910</v>
      </c>
      <c r="D6718" s="70">
        <v>0</v>
      </c>
      <c r="E6718" s="111">
        <f t="shared" si="108"/>
        <v>138710</v>
      </c>
      <c r="F6718" s="69">
        <v>4.4905432386970992E-2</v>
      </c>
      <c r="G6718" s="69">
        <v>4.507042253521127E-2</v>
      </c>
    </row>
    <row r="6719" spans="1:7" x14ac:dyDescent="0.3">
      <c r="A6719" s="24">
        <v>41597</v>
      </c>
      <c r="B6719" s="66">
        <v>1180.394</v>
      </c>
      <c r="C6719" s="66">
        <v>905</v>
      </c>
      <c r="D6719" s="70">
        <v>0</v>
      </c>
      <c r="E6719" s="111">
        <f t="shared" si="108"/>
        <v>138710</v>
      </c>
      <c r="F6719" s="69">
        <v>4.4905432386970992E-2</v>
      </c>
      <c r="G6719" s="69">
        <v>4.4651162790697675E-2</v>
      </c>
    </row>
    <row r="6720" spans="1:7" x14ac:dyDescent="0.3">
      <c r="A6720" s="24">
        <v>41598</v>
      </c>
      <c r="B6720" s="66">
        <v>1180.394</v>
      </c>
      <c r="C6720" s="66">
        <v>905.5</v>
      </c>
      <c r="D6720" s="70">
        <v>0</v>
      </c>
      <c r="E6720" s="111">
        <f t="shared" si="108"/>
        <v>138710</v>
      </c>
      <c r="F6720" s="69">
        <v>4.4905432386970992E-2</v>
      </c>
      <c r="G6720" s="69">
        <v>4.4859813084112146E-2</v>
      </c>
    </row>
    <row r="6721" spans="1:7" x14ac:dyDescent="0.3">
      <c r="A6721" s="24">
        <v>41599</v>
      </c>
      <c r="B6721" s="66">
        <v>1180.394</v>
      </c>
      <c r="C6721" s="66">
        <v>905.6</v>
      </c>
      <c r="D6721" s="70">
        <v>0</v>
      </c>
      <c r="E6721" s="111">
        <f t="shared" si="108"/>
        <v>138710</v>
      </c>
      <c r="F6721" s="69">
        <v>4.4905432386970992E-2</v>
      </c>
      <c r="G6721" s="69">
        <v>4.4651162790697675E-2</v>
      </c>
    </row>
    <row r="6722" spans="1:7" x14ac:dyDescent="0.3">
      <c r="A6722" s="24">
        <v>41600</v>
      </c>
      <c r="B6722" s="66">
        <v>1180.394</v>
      </c>
      <c r="C6722" s="66">
        <v>906.01</v>
      </c>
      <c r="D6722" s="70">
        <v>0</v>
      </c>
      <c r="E6722" s="111">
        <f t="shared" si="108"/>
        <v>138710</v>
      </c>
      <c r="F6722" s="69">
        <v>4.4905432386970992E-2</v>
      </c>
      <c r="G6722" s="69">
        <v>4.4651162790697675E-2</v>
      </c>
    </row>
    <row r="6723" spans="1:7" x14ac:dyDescent="0.3">
      <c r="A6723" s="24">
        <v>41601</v>
      </c>
      <c r="B6723" s="66">
        <v>1180.394</v>
      </c>
      <c r="C6723" s="66">
        <v>906.01</v>
      </c>
      <c r="D6723" s="70">
        <v>0</v>
      </c>
      <c r="E6723" s="111">
        <f t="shared" si="108"/>
        <v>138710</v>
      </c>
      <c r="F6723" s="69">
        <v>4.4905432386970992E-2</v>
      </c>
      <c r="G6723" s="69">
        <v>4.4651162790697675E-2</v>
      </c>
    </row>
    <row r="6724" spans="1:7" x14ac:dyDescent="0.3">
      <c r="A6724" s="24">
        <v>41602</v>
      </c>
      <c r="B6724" s="66">
        <v>1180.394</v>
      </c>
      <c r="C6724" s="66">
        <v>906.01</v>
      </c>
      <c r="D6724" s="70">
        <v>0</v>
      </c>
      <c r="E6724" s="111">
        <f t="shared" si="108"/>
        <v>138710</v>
      </c>
      <c r="F6724" s="69">
        <v>4.4905432386970992E-2</v>
      </c>
      <c r="G6724" s="69">
        <v>4.4651162790697675E-2</v>
      </c>
    </row>
    <row r="6725" spans="1:7" x14ac:dyDescent="0.3">
      <c r="A6725" s="24">
        <v>41603</v>
      </c>
      <c r="B6725" s="66">
        <v>1180.394</v>
      </c>
      <c r="C6725" s="66">
        <v>910</v>
      </c>
      <c r="D6725" s="70">
        <v>0</v>
      </c>
      <c r="E6725" s="111">
        <f t="shared" si="108"/>
        <v>138710</v>
      </c>
      <c r="F6725" s="69">
        <v>4.4905432386970992E-2</v>
      </c>
      <c r="G6725" s="69">
        <v>4.4651162790697675E-2</v>
      </c>
    </row>
    <row r="6726" spans="1:7" x14ac:dyDescent="0.3">
      <c r="A6726" s="24">
        <v>41604</v>
      </c>
      <c r="B6726" s="66">
        <v>1180.394</v>
      </c>
      <c r="C6726" s="66">
        <v>910.01</v>
      </c>
      <c r="D6726" s="70">
        <v>0</v>
      </c>
      <c r="E6726" s="111">
        <f t="shared" si="108"/>
        <v>138710</v>
      </c>
      <c r="F6726" s="69">
        <v>4.4905432386970992E-2</v>
      </c>
      <c r="G6726" s="69">
        <v>4.4651162790697675E-2</v>
      </c>
    </row>
    <row r="6727" spans="1:7" x14ac:dyDescent="0.3">
      <c r="A6727" s="24">
        <v>41605</v>
      </c>
      <c r="B6727" s="66">
        <v>1180.394</v>
      </c>
      <c r="C6727" s="66">
        <v>915.1</v>
      </c>
      <c r="D6727" s="70">
        <v>0</v>
      </c>
      <c r="E6727" s="111">
        <f t="shared" si="108"/>
        <v>138710</v>
      </c>
      <c r="F6727" s="69">
        <v>4.4905432386970992E-2</v>
      </c>
      <c r="G6727" s="69">
        <v>4.4651162790697675E-2</v>
      </c>
    </row>
    <row r="6728" spans="1:7" x14ac:dyDescent="0.3">
      <c r="A6728" s="24">
        <v>41606</v>
      </c>
      <c r="B6728" s="66">
        <v>1180.394</v>
      </c>
      <c r="C6728" s="66">
        <v>920</v>
      </c>
      <c r="D6728" s="70">
        <v>0</v>
      </c>
      <c r="E6728" s="111">
        <f t="shared" si="108"/>
        <v>138710</v>
      </c>
      <c r="F6728" s="69">
        <v>4.4905432386970992E-2</v>
      </c>
      <c r="G6728" s="69">
        <v>4.4609665427509292E-2</v>
      </c>
    </row>
    <row r="6729" spans="1:7" x14ac:dyDescent="0.3">
      <c r="A6729" s="24">
        <v>41607</v>
      </c>
      <c r="B6729" s="66">
        <v>1180.394</v>
      </c>
      <c r="C6729" s="66">
        <v>940</v>
      </c>
      <c r="D6729" s="70">
        <v>0</v>
      </c>
      <c r="E6729" s="111">
        <f t="shared" ref="E6729:E6792" si="109">+E6728</f>
        <v>138710</v>
      </c>
      <c r="F6729" s="69">
        <v>4.4905432386970992E-2</v>
      </c>
      <c r="G6729" s="69">
        <v>4.4609665427509292E-2</v>
      </c>
    </row>
    <row r="6730" spans="1:7" x14ac:dyDescent="0.3">
      <c r="A6730" s="24">
        <v>41608</v>
      </c>
      <c r="B6730" s="66">
        <v>1180.394</v>
      </c>
      <c r="C6730" s="66">
        <v>940</v>
      </c>
      <c r="D6730" s="70">
        <v>0</v>
      </c>
      <c r="E6730" s="111">
        <f t="shared" si="109"/>
        <v>138710</v>
      </c>
      <c r="F6730" s="69">
        <v>4.4905432386970992E-2</v>
      </c>
      <c r="G6730" s="69">
        <v>4.4609665427509292E-2</v>
      </c>
    </row>
    <row r="6731" spans="1:7" x14ac:dyDescent="0.3">
      <c r="A6731" s="24">
        <v>41609</v>
      </c>
      <c r="B6731" s="66">
        <v>1180.394</v>
      </c>
      <c r="C6731" s="66">
        <v>940</v>
      </c>
      <c r="D6731" s="70">
        <v>0</v>
      </c>
      <c r="E6731" s="111">
        <f t="shared" si="109"/>
        <v>138710</v>
      </c>
      <c r="F6731" s="69">
        <v>4.4905432386970992E-2</v>
      </c>
      <c r="G6731" s="69">
        <v>4.4609665427509292E-2</v>
      </c>
    </row>
    <row r="6732" spans="1:7" x14ac:dyDescent="0.3">
      <c r="A6732" s="24">
        <v>41610</v>
      </c>
      <c r="B6732" s="66">
        <v>1180.394</v>
      </c>
      <c r="C6732" s="66">
        <v>940.0200000000001</v>
      </c>
      <c r="D6732" s="70">
        <v>0</v>
      </c>
      <c r="E6732" s="111">
        <f t="shared" si="109"/>
        <v>138710</v>
      </c>
      <c r="F6732" s="69">
        <v>4.4905432386970992E-2</v>
      </c>
      <c r="G6732" s="69">
        <v>4.4609665427509292E-2</v>
      </c>
    </row>
    <row r="6733" spans="1:7" x14ac:dyDescent="0.3">
      <c r="A6733" s="24">
        <v>41611</v>
      </c>
      <c r="B6733" s="66">
        <v>1180.394</v>
      </c>
      <c r="C6733" s="66">
        <v>950</v>
      </c>
      <c r="D6733" s="70">
        <v>0</v>
      </c>
      <c r="E6733" s="111">
        <f t="shared" si="109"/>
        <v>138710</v>
      </c>
      <c r="F6733" s="69">
        <v>4.4905432386970992E-2</v>
      </c>
      <c r="G6733" s="69">
        <v>4.4617958728388175E-2</v>
      </c>
    </row>
    <row r="6734" spans="1:7" x14ac:dyDescent="0.3">
      <c r="A6734" s="24">
        <v>41612</v>
      </c>
      <c r="B6734" s="66">
        <v>1180.394</v>
      </c>
      <c r="C6734" s="66">
        <v>953.2</v>
      </c>
      <c r="D6734" s="70">
        <v>0</v>
      </c>
      <c r="E6734" s="111">
        <f t="shared" si="109"/>
        <v>138710</v>
      </c>
      <c r="F6734" s="69">
        <v>4.4905432386970992E-2</v>
      </c>
      <c r="G6734" s="69">
        <v>4.4859813084112146E-2</v>
      </c>
    </row>
    <row r="6735" spans="1:7" x14ac:dyDescent="0.3">
      <c r="A6735" s="24">
        <v>41613</v>
      </c>
      <c r="B6735" s="66">
        <v>1191.6100000000001</v>
      </c>
      <c r="C6735" s="66">
        <v>950</v>
      </c>
      <c r="D6735" s="70">
        <v>0</v>
      </c>
      <c r="E6735" s="111">
        <f t="shared" si="109"/>
        <v>138710</v>
      </c>
      <c r="F6735" s="69">
        <v>4.4905432386970992E-2</v>
      </c>
      <c r="G6735" s="69">
        <v>4.4880785413744739E-2</v>
      </c>
    </row>
    <row r="6736" spans="1:7" x14ac:dyDescent="0.3">
      <c r="A6736" s="24">
        <v>41614</v>
      </c>
      <c r="B6736" s="66">
        <v>1191.6100000000001</v>
      </c>
      <c r="C6736" s="66">
        <v>950</v>
      </c>
      <c r="D6736" s="70">
        <v>0</v>
      </c>
      <c r="E6736" s="111">
        <f t="shared" si="109"/>
        <v>138710</v>
      </c>
      <c r="F6736" s="69">
        <v>4.4905432386970992E-2</v>
      </c>
      <c r="G6736" s="69">
        <v>4.49438202247191E-2</v>
      </c>
    </row>
    <row r="6737" spans="1:7" x14ac:dyDescent="0.3">
      <c r="A6737" s="24">
        <v>41615</v>
      </c>
      <c r="B6737" s="66">
        <v>1191.6100000000001</v>
      </c>
      <c r="C6737" s="66">
        <v>950</v>
      </c>
      <c r="D6737" s="70">
        <v>0</v>
      </c>
      <c r="E6737" s="111">
        <f t="shared" si="109"/>
        <v>138710</v>
      </c>
      <c r="F6737" s="69">
        <v>4.4905432386970992E-2</v>
      </c>
      <c r="G6737" s="69">
        <v>4.49438202247191E-2</v>
      </c>
    </row>
    <row r="6738" spans="1:7" x14ac:dyDescent="0.3">
      <c r="A6738" s="24">
        <v>41616</v>
      </c>
      <c r="B6738" s="66">
        <v>1191.6100000000001</v>
      </c>
      <c r="C6738" s="66">
        <v>950</v>
      </c>
      <c r="D6738" s="70">
        <v>0</v>
      </c>
      <c r="E6738" s="111">
        <f t="shared" si="109"/>
        <v>138710</v>
      </c>
      <c r="F6738" s="69">
        <v>4.4905432386970992E-2</v>
      </c>
      <c r="G6738" s="69">
        <v>4.49438202247191E-2</v>
      </c>
    </row>
    <row r="6739" spans="1:7" x14ac:dyDescent="0.3">
      <c r="A6739" s="24">
        <v>41617</v>
      </c>
      <c r="B6739" s="66">
        <v>1191.6100000000001</v>
      </c>
      <c r="C6739" s="66">
        <v>950</v>
      </c>
      <c r="D6739" s="70">
        <v>0</v>
      </c>
      <c r="E6739" s="111">
        <f t="shared" si="109"/>
        <v>138710</v>
      </c>
      <c r="F6739" s="69">
        <v>4.4905432386970992E-2</v>
      </c>
      <c r="G6739" s="69">
        <v>4.49438202247191E-2</v>
      </c>
    </row>
    <row r="6740" spans="1:7" x14ac:dyDescent="0.3">
      <c r="A6740" s="24">
        <v>41618</v>
      </c>
      <c r="B6740" s="66">
        <v>1191.6100000000001</v>
      </c>
      <c r="C6740" s="66">
        <v>950</v>
      </c>
      <c r="D6740" s="70">
        <v>0</v>
      </c>
      <c r="E6740" s="111">
        <f t="shared" si="109"/>
        <v>138710</v>
      </c>
      <c r="F6740" s="69">
        <v>4.4905432386970992E-2</v>
      </c>
      <c r="G6740" s="69">
        <v>4.5283018867924525E-2</v>
      </c>
    </row>
    <row r="6741" spans="1:7" x14ac:dyDescent="0.3">
      <c r="A6741" s="24">
        <v>41619</v>
      </c>
      <c r="B6741" s="66">
        <v>1191.6100000000001</v>
      </c>
      <c r="C6741" s="66">
        <v>940</v>
      </c>
      <c r="D6741" s="70">
        <v>0</v>
      </c>
      <c r="E6741" s="111">
        <f t="shared" si="109"/>
        <v>138710</v>
      </c>
      <c r="F6741" s="69">
        <v>4.4905432386970992E-2</v>
      </c>
      <c r="G6741" s="69">
        <v>4.5368620037807186E-2</v>
      </c>
    </row>
    <row r="6742" spans="1:7" x14ac:dyDescent="0.3">
      <c r="A6742" s="24">
        <v>41620</v>
      </c>
      <c r="B6742" s="66">
        <v>1191.6100000000001</v>
      </c>
      <c r="C6742" s="66">
        <v>940</v>
      </c>
      <c r="D6742" s="70">
        <v>0</v>
      </c>
      <c r="E6742" s="111">
        <f t="shared" si="109"/>
        <v>138710</v>
      </c>
      <c r="F6742" s="69">
        <v>4.4905432386970992E-2</v>
      </c>
      <c r="G6742" s="69">
        <v>4.5497630331753552E-2</v>
      </c>
    </row>
    <row r="6743" spans="1:7" x14ac:dyDescent="0.3">
      <c r="A6743" s="24">
        <v>41621</v>
      </c>
      <c r="B6743" s="66">
        <v>1191.6100000000001</v>
      </c>
      <c r="C6743" s="66">
        <v>940</v>
      </c>
      <c r="D6743" s="70">
        <v>0</v>
      </c>
      <c r="E6743" s="111">
        <f t="shared" si="109"/>
        <v>138710</v>
      </c>
      <c r="F6743" s="69">
        <v>4.4905432386970992E-2</v>
      </c>
      <c r="G6743" s="69">
        <v>4.507042253521127E-2</v>
      </c>
    </row>
    <row r="6744" spans="1:7" x14ac:dyDescent="0.3">
      <c r="A6744" s="24">
        <v>41622</v>
      </c>
      <c r="B6744" s="66">
        <v>1191.6100000000001</v>
      </c>
      <c r="C6744" s="66">
        <v>940</v>
      </c>
      <c r="D6744" s="70">
        <v>0</v>
      </c>
      <c r="E6744" s="111">
        <f t="shared" si="109"/>
        <v>138710</v>
      </c>
      <c r="F6744" s="69">
        <v>4.4905432386970992E-2</v>
      </c>
      <c r="G6744" s="69">
        <v>4.507042253521127E-2</v>
      </c>
    </row>
    <row r="6745" spans="1:7" x14ac:dyDescent="0.3">
      <c r="A6745" s="24">
        <v>41623</v>
      </c>
      <c r="B6745" s="66">
        <v>1191.6100000000001</v>
      </c>
      <c r="C6745" s="66">
        <v>940</v>
      </c>
      <c r="D6745" s="70">
        <v>0</v>
      </c>
      <c r="E6745" s="111">
        <f t="shared" si="109"/>
        <v>138710</v>
      </c>
      <c r="F6745" s="69">
        <v>4.4905432386970992E-2</v>
      </c>
      <c r="G6745" s="69">
        <v>4.507042253521127E-2</v>
      </c>
    </row>
    <row r="6746" spans="1:7" x14ac:dyDescent="0.3">
      <c r="A6746" s="24">
        <v>41624</v>
      </c>
      <c r="B6746" s="66">
        <v>1191.6100000000001</v>
      </c>
      <c r="C6746" s="66">
        <v>940</v>
      </c>
      <c r="D6746" s="70">
        <v>0</v>
      </c>
      <c r="E6746" s="111">
        <f t="shared" si="109"/>
        <v>138710</v>
      </c>
      <c r="F6746" s="69">
        <v>4.4905432386970992E-2</v>
      </c>
      <c r="G6746" s="69">
        <v>4.5304388862671074E-2</v>
      </c>
    </row>
    <row r="6747" spans="1:7" x14ac:dyDescent="0.3">
      <c r="A6747" s="24">
        <v>41625</v>
      </c>
      <c r="B6747" s="66">
        <v>1191.6100000000001</v>
      </c>
      <c r="C6747" s="66">
        <v>940</v>
      </c>
      <c r="D6747" s="70">
        <v>0</v>
      </c>
      <c r="E6747" s="111">
        <f t="shared" si="109"/>
        <v>138710</v>
      </c>
      <c r="F6747" s="69">
        <v>4.4905432386970992E-2</v>
      </c>
      <c r="G6747" s="69">
        <v>4.5287291253891873E-2</v>
      </c>
    </row>
    <row r="6748" spans="1:7" x14ac:dyDescent="0.3">
      <c r="A6748" s="24">
        <v>41626</v>
      </c>
      <c r="B6748" s="66">
        <v>1191.6100000000001</v>
      </c>
      <c r="C6748" s="66">
        <v>930.1</v>
      </c>
      <c r="D6748" s="70">
        <v>0</v>
      </c>
      <c r="E6748" s="111">
        <f t="shared" si="109"/>
        <v>138710</v>
      </c>
      <c r="F6748" s="69">
        <v>4.4905432386970992E-2</v>
      </c>
      <c r="G6748" s="69">
        <v>4.5497630331753552E-2</v>
      </c>
    </row>
    <row r="6749" spans="1:7" x14ac:dyDescent="0.3">
      <c r="A6749" s="24">
        <v>41627</v>
      </c>
      <c r="B6749" s="66">
        <v>1191.6100000000001</v>
      </c>
      <c r="C6749" s="66">
        <v>931</v>
      </c>
      <c r="D6749" s="70">
        <v>0</v>
      </c>
      <c r="E6749" s="111">
        <f t="shared" si="109"/>
        <v>138710</v>
      </c>
      <c r="F6749" s="69">
        <v>4.4905432386970992E-2</v>
      </c>
      <c r="G6749" s="69">
        <v>4.5714285714285714E-2</v>
      </c>
    </row>
    <row r="6750" spans="1:7" x14ac:dyDescent="0.3">
      <c r="A6750" s="24">
        <v>41628</v>
      </c>
      <c r="B6750" s="66">
        <v>1191.6100000000001</v>
      </c>
      <c r="C6750" s="66">
        <v>931</v>
      </c>
      <c r="D6750" s="70">
        <v>10</v>
      </c>
      <c r="E6750" s="111">
        <f t="shared" si="109"/>
        <v>138710</v>
      </c>
      <c r="F6750" s="69">
        <v>4.724425699045906E-2</v>
      </c>
      <c r="G6750" s="69">
        <v>4.8557692307692309E-2</v>
      </c>
    </row>
    <row r="6751" spans="1:7" x14ac:dyDescent="0.3">
      <c r="A6751" s="24">
        <v>41629</v>
      </c>
      <c r="B6751" s="66">
        <v>1191.6100000000001</v>
      </c>
      <c r="C6751" s="66">
        <v>931</v>
      </c>
      <c r="D6751" s="70">
        <v>0</v>
      </c>
      <c r="E6751" s="111">
        <f t="shared" si="109"/>
        <v>138710</v>
      </c>
      <c r="F6751" s="69">
        <v>4.724425699045906E-2</v>
      </c>
      <c r="G6751" s="69">
        <v>4.8557692307692309E-2</v>
      </c>
    </row>
    <row r="6752" spans="1:7" x14ac:dyDescent="0.3">
      <c r="A6752" s="24">
        <v>41630</v>
      </c>
      <c r="B6752" s="66">
        <v>1191.6100000000001</v>
      </c>
      <c r="C6752" s="66">
        <v>931</v>
      </c>
      <c r="D6752" s="70">
        <v>0</v>
      </c>
      <c r="E6752" s="111">
        <f t="shared" si="109"/>
        <v>138710</v>
      </c>
      <c r="F6752" s="69">
        <v>4.724425699045906E-2</v>
      </c>
      <c r="G6752" s="69">
        <v>4.8557692307692309E-2</v>
      </c>
    </row>
    <row r="6753" spans="1:7" x14ac:dyDescent="0.3">
      <c r="A6753" s="24">
        <v>41631</v>
      </c>
      <c r="B6753" s="66">
        <v>1191.6100000000001</v>
      </c>
      <c r="C6753" s="66">
        <v>940</v>
      </c>
      <c r="D6753" s="70">
        <v>0</v>
      </c>
      <c r="E6753" s="111">
        <f t="shared" si="109"/>
        <v>138710</v>
      </c>
      <c r="F6753" s="69">
        <v>4.5947103783452847E-2</v>
      </c>
      <c r="G6753" s="69">
        <v>4.8557692307692309E-2</v>
      </c>
    </row>
    <row r="6754" spans="1:7" x14ac:dyDescent="0.3">
      <c r="A6754" s="24">
        <v>41632</v>
      </c>
      <c r="B6754" s="66">
        <v>1191.6100000000001</v>
      </c>
      <c r="C6754" s="66">
        <v>940</v>
      </c>
      <c r="D6754" s="70">
        <v>0</v>
      </c>
      <c r="E6754" s="111">
        <f t="shared" si="109"/>
        <v>138710</v>
      </c>
      <c r="F6754" s="69">
        <v>4.5947103783452847E-2</v>
      </c>
      <c r="G6754" s="69">
        <v>4.8557692307692309E-2</v>
      </c>
    </row>
    <row r="6755" spans="1:7" x14ac:dyDescent="0.3">
      <c r="A6755" s="24">
        <v>41633</v>
      </c>
      <c r="B6755" s="66">
        <v>1191.6100000000001</v>
      </c>
      <c r="C6755" s="66">
        <v>940</v>
      </c>
      <c r="D6755" s="70">
        <v>0</v>
      </c>
      <c r="E6755" s="111">
        <f t="shared" si="109"/>
        <v>138710</v>
      </c>
      <c r="F6755" s="69">
        <v>4.5947103783452847E-2</v>
      </c>
      <c r="G6755" s="69">
        <v>4.8557692307692309E-2</v>
      </c>
    </row>
    <row r="6756" spans="1:7" x14ac:dyDescent="0.3">
      <c r="A6756" s="24">
        <v>41634</v>
      </c>
      <c r="B6756" s="66">
        <v>1191.6100000000001</v>
      </c>
      <c r="C6756" s="66">
        <v>940</v>
      </c>
      <c r="D6756" s="70">
        <v>0</v>
      </c>
      <c r="E6756" s="111">
        <f t="shared" si="109"/>
        <v>138710</v>
      </c>
      <c r="F6756" s="69">
        <v>4.5947103783452847E-2</v>
      </c>
      <c r="G6756" s="69">
        <v>4.8557692307692309E-2</v>
      </c>
    </row>
    <row r="6757" spans="1:7" x14ac:dyDescent="0.3">
      <c r="A6757" s="24">
        <v>41635</v>
      </c>
      <c r="B6757" s="66">
        <v>1191.6100000000001</v>
      </c>
      <c r="C6757" s="66">
        <v>939.99</v>
      </c>
      <c r="D6757" s="70">
        <v>0</v>
      </c>
      <c r="E6757" s="111">
        <f t="shared" si="109"/>
        <v>138710</v>
      </c>
      <c r="F6757" s="69">
        <v>4.724425699045906E-2</v>
      </c>
      <c r="G6757" s="69">
        <v>4.8557692307692309E-2</v>
      </c>
    </row>
    <row r="6758" spans="1:7" x14ac:dyDescent="0.3">
      <c r="A6758" s="24">
        <v>41636</v>
      </c>
      <c r="B6758" s="66">
        <v>1191.6100000000001</v>
      </c>
      <c r="C6758" s="66">
        <v>939.99</v>
      </c>
      <c r="D6758" s="70">
        <v>0</v>
      </c>
      <c r="E6758" s="111">
        <f t="shared" si="109"/>
        <v>138710</v>
      </c>
      <c r="F6758" s="69">
        <v>4.724425699045906E-2</v>
      </c>
      <c r="G6758" s="69">
        <v>4.8557692307692309E-2</v>
      </c>
    </row>
    <row r="6759" spans="1:7" x14ac:dyDescent="0.3">
      <c r="A6759" s="24">
        <v>41637</v>
      </c>
      <c r="B6759" s="66">
        <v>1191.6100000000001</v>
      </c>
      <c r="C6759" s="66">
        <v>939.99</v>
      </c>
      <c r="D6759" s="70">
        <v>0</v>
      </c>
      <c r="E6759" s="111">
        <f t="shared" si="109"/>
        <v>138710</v>
      </c>
      <c r="F6759" s="69">
        <v>4.724425699045906E-2</v>
      </c>
      <c r="G6759" s="69">
        <v>4.8557692307692309E-2</v>
      </c>
    </row>
    <row r="6760" spans="1:7" x14ac:dyDescent="0.3">
      <c r="A6760" s="24">
        <v>41638</v>
      </c>
      <c r="B6760" s="66">
        <v>1191.6100000000001</v>
      </c>
      <c r="C6760" s="66">
        <v>940</v>
      </c>
      <c r="D6760" s="70">
        <v>0</v>
      </c>
      <c r="E6760" s="111">
        <f t="shared" si="109"/>
        <v>138710</v>
      </c>
      <c r="F6760" s="69">
        <v>4.5947103783452847E-2</v>
      </c>
      <c r="G6760" s="69">
        <v>4.8557692307692309E-2</v>
      </c>
    </row>
    <row r="6761" spans="1:7" x14ac:dyDescent="0.3">
      <c r="A6761" s="24">
        <v>41639</v>
      </c>
      <c r="B6761" s="66">
        <v>1191.6100000000001</v>
      </c>
      <c r="C6761" s="66">
        <v>940</v>
      </c>
      <c r="D6761" s="70">
        <v>0</v>
      </c>
      <c r="E6761" s="111">
        <f t="shared" si="109"/>
        <v>138710</v>
      </c>
      <c r="F6761" s="69">
        <v>4.5947103783452847E-2</v>
      </c>
      <c r="G6761" s="69">
        <v>4.8557692307692309E-2</v>
      </c>
    </row>
    <row r="6762" spans="1:7" x14ac:dyDescent="0.3">
      <c r="A6762" s="24">
        <v>41640</v>
      </c>
      <c r="B6762" s="66">
        <v>1191.6100000000001</v>
      </c>
      <c r="C6762" s="66">
        <v>940</v>
      </c>
      <c r="D6762" s="70">
        <v>0</v>
      </c>
      <c r="E6762" s="111">
        <f t="shared" si="109"/>
        <v>138710</v>
      </c>
      <c r="F6762" s="69">
        <v>4.5947103783452847E-2</v>
      </c>
      <c r="G6762" s="69">
        <v>4.8557692307692309E-2</v>
      </c>
    </row>
    <row r="6763" spans="1:7" x14ac:dyDescent="0.3">
      <c r="A6763" s="24">
        <v>41641</v>
      </c>
      <c r="B6763" s="66">
        <v>1191.6100000000001</v>
      </c>
      <c r="C6763" s="66">
        <v>940</v>
      </c>
      <c r="D6763" s="70">
        <v>0</v>
      </c>
      <c r="E6763" s="111">
        <f t="shared" si="109"/>
        <v>138710</v>
      </c>
      <c r="F6763" s="69">
        <v>4.5947103783452847E-2</v>
      </c>
      <c r="G6763" s="69">
        <v>4.8557692307692309E-2</v>
      </c>
    </row>
    <row r="6764" spans="1:7" x14ac:dyDescent="0.3">
      <c r="A6764" s="24">
        <v>41642</v>
      </c>
      <c r="B6764" s="66">
        <v>1191.6100000000001</v>
      </c>
      <c r="C6764" s="66">
        <v>940</v>
      </c>
      <c r="D6764" s="70">
        <v>0</v>
      </c>
      <c r="E6764" s="111">
        <f t="shared" si="109"/>
        <v>138710</v>
      </c>
      <c r="F6764" s="69">
        <v>4.5947103783452847E-2</v>
      </c>
      <c r="G6764" s="69">
        <v>4.8557692307692309E-2</v>
      </c>
    </row>
    <row r="6765" spans="1:7" x14ac:dyDescent="0.3">
      <c r="A6765" s="24">
        <v>41643</v>
      </c>
      <c r="B6765" s="66">
        <v>1191.6100000000001</v>
      </c>
      <c r="C6765" s="66">
        <v>940</v>
      </c>
      <c r="D6765" s="70">
        <v>0</v>
      </c>
      <c r="E6765" s="111">
        <f t="shared" si="109"/>
        <v>138710</v>
      </c>
      <c r="F6765" s="69">
        <v>4.5947103783452847E-2</v>
      </c>
      <c r="G6765" s="69">
        <v>4.8557692307692309E-2</v>
      </c>
    </row>
    <row r="6766" spans="1:7" x14ac:dyDescent="0.3">
      <c r="A6766" s="24">
        <v>41644</v>
      </c>
      <c r="B6766" s="66">
        <v>1191.6100000000001</v>
      </c>
      <c r="C6766" s="66">
        <v>940</v>
      </c>
      <c r="D6766" s="70">
        <v>0</v>
      </c>
      <c r="E6766" s="111">
        <f t="shared" si="109"/>
        <v>138710</v>
      </c>
      <c r="F6766" s="69">
        <v>4.5947103783452847E-2</v>
      </c>
      <c r="G6766" s="69">
        <v>4.8557692307692309E-2</v>
      </c>
    </row>
    <row r="6767" spans="1:7" x14ac:dyDescent="0.3">
      <c r="A6767" s="24">
        <v>41645</v>
      </c>
      <c r="B6767" s="66">
        <v>1191.6100000000001</v>
      </c>
      <c r="C6767" s="66">
        <v>939.9</v>
      </c>
      <c r="D6767" s="70">
        <v>0</v>
      </c>
      <c r="E6767" s="111">
        <f t="shared" si="109"/>
        <v>138710</v>
      </c>
      <c r="F6767" s="69">
        <v>4.5947103783452847E-2</v>
      </c>
      <c r="G6767" s="69">
        <v>4.8557692307692309E-2</v>
      </c>
    </row>
    <row r="6768" spans="1:7" x14ac:dyDescent="0.3">
      <c r="A6768" s="24">
        <v>41646</v>
      </c>
      <c r="B6768" s="66">
        <v>1202.163</v>
      </c>
      <c r="C6768" s="66">
        <v>930</v>
      </c>
      <c r="D6768" s="70">
        <v>0</v>
      </c>
      <c r="E6768" s="111">
        <f t="shared" si="109"/>
        <v>138710</v>
      </c>
      <c r="F6768" s="69">
        <v>4.5947103783452847E-2</v>
      </c>
      <c r="G6768" s="69">
        <v>4.8792270531400964E-2</v>
      </c>
    </row>
    <row r="6769" spans="1:7" x14ac:dyDescent="0.3">
      <c r="A6769" s="24">
        <v>41647</v>
      </c>
      <c r="B6769" s="66">
        <v>1202.163</v>
      </c>
      <c r="C6769" s="66">
        <v>930</v>
      </c>
      <c r="D6769" s="70">
        <v>0</v>
      </c>
      <c r="E6769" s="111">
        <f t="shared" si="109"/>
        <v>138710</v>
      </c>
      <c r="F6769" s="69">
        <v>4.5947103783452847E-2</v>
      </c>
      <c r="G6769" s="69">
        <v>4.9509803921568625E-2</v>
      </c>
    </row>
    <row r="6770" spans="1:7" x14ac:dyDescent="0.3">
      <c r="A6770" s="24">
        <v>41648</v>
      </c>
      <c r="B6770" s="66">
        <v>1202.163</v>
      </c>
      <c r="C6770" s="66">
        <v>930</v>
      </c>
      <c r="D6770" s="70">
        <v>0</v>
      </c>
      <c r="E6770" s="111">
        <f t="shared" si="109"/>
        <v>138710</v>
      </c>
      <c r="F6770" s="69">
        <v>4.5947103783452847E-2</v>
      </c>
      <c r="G6770" s="69">
        <v>4.9057703516611616E-2</v>
      </c>
    </row>
    <row r="6771" spans="1:7" x14ac:dyDescent="0.3">
      <c r="A6771" s="24">
        <v>41649</v>
      </c>
      <c r="B6771" s="66">
        <v>1202.163</v>
      </c>
      <c r="C6771" s="66">
        <v>930</v>
      </c>
      <c r="D6771" s="70">
        <v>0</v>
      </c>
      <c r="E6771" s="111">
        <f t="shared" si="109"/>
        <v>138710</v>
      </c>
      <c r="F6771" s="69">
        <v>4.5947103783452847E-2</v>
      </c>
      <c r="G6771" s="69">
        <v>4.9268292682926831E-2</v>
      </c>
    </row>
    <row r="6772" spans="1:7" x14ac:dyDescent="0.3">
      <c r="A6772" s="24">
        <v>41650</v>
      </c>
      <c r="B6772" s="66">
        <v>1202.163</v>
      </c>
      <c r="C6772" s="66">
        <v>930</v>
      </c>
      <c r="D6772" s="70">
        <v>0</v>
      </c>
      <c r="E6772" s="111">
        <f t="shared" si="109"/>
        <v>138710</v>
      </c>
      <c r="F6772" s="69">
        <v>4.5947103783452847E-2</v>
      </c>
      <c r="G6772" s="69">
        <v>4.9268292682926831E-2</v>
      </c>
    </row>
    <row r="6773" spans="1:7" x14ac:dyDescent="0.3">
      <c r="A6773" s="24">
        <v>41651</v>
      </c>
      <c r="B6773" s="66">
        <v>1202.163</v>
      </c>
      <c r="C6773" s="66">
        <v>930</v>
      </c>
      <c r="D6773" s="70">
        <v>0</v>
      </c>
      <c r="E6773" s="111">
        <f t="shared" si="109"/>
        <v>138710</v>
      </c>
      <c r="F6773" s="69">
        <v>4.5947103783452847E-2</v>
      </c>
      <c r="G6773" s="69">
        <v>4.9268292682926831E-2</v>
      </c>
    </row>
    <row r="6774" spans="1:7" x14ac:dyDescent="0.3">
      <c r="A6774" s="24">
        <v>41652</v>
      </c>
      <c r="B6774" s="66">
        <v>1202.163</v>
      </c>
      <c r="C6774" s="66">
        <v>930</v>
      </c>
      <c r="D6774" s="70">
        <v>0</v>
      </c>
      <c r="E6774" s="111">
        <f t="shared" si="109"/>
        <v>138710</v>
      </c>
      <c r="F6774" s="69">
        <v>4.5947103783452847E-2</v>
      </c>
      <c r="G6774" s="69">
        <v>4.9268292682926831E-2</v>
      </c>
    </row>
    <row r="6775" spans="1:7" x14ac:dyDescent="0.3">
      <c r="A6775" s="24">
        <v>41653</v>
      </c>
      <c r="B6775" s="66">
        <v>1202.163</v>
      </c>
      <c r="C6775" s="66">
        <v>930</v>
      </c>
      <c r="D6775" s="70">
        <v>0</v>
      </c>
      <c r="E6775" s="111">
        <f t="shared" si="109"/>
        <v>138710</v>
      </c>
      <c r="F6775" s="69">
        <v>4.5947103783452847E-2</v>
      </c>
      <c r="G6775" s="69">
        <v>4.9509803921568625E-2</v>
      </c>
    </row>
    <row r="6776" spans="1:7" x14ac:dyDescent="0.3">
      <c r="A6776" s="24">
        <v>41654</v>
      </c>
      <c r="B6776" s="66">
        <v>1202.163</v>
      </c>
      <c r="C6776" s="66">
        <v>930</v>
      </c>
      <c r="D6776" s="70">
        <v>0</v>
      </c>
      <c r="E6776" s="111">
        <f t="shared" si="109"/>
        <v>138710</v>
      </c>
      <c r="F6776" s="69">
        <v>4.5947103783452847E-2</v>
      </c>
      <c r="G6776" s="69">
        <v>4.9509803921568625E-2</v>
      </c>
    </row>
    <row r="6777" spans="1:7" x14ac:dyDescent="0.3">
      <c r="A6777" s="24">
        <v>41655</v>
      </c>
      <c r="B6777" s="66">
        <v>1202.163</v>
      </c>
      <c r="C6777" s="66">
        <v>930</v>
      </c>
      <c r="D6777" s="70">
        <v>0</v>
      </c>
      <c r="E6777" s="111">
        <f t="shared" si="109"/>
        <v>138710</v>
      </c>
      <c r="F6777" s="69">
        <v>4.5947103783452847E-2</v>
      </c>
      <c r="G6777" s="69">
        <v>4.9509803921568625E-2</v>
      </c>
    </row>
    <row r="6778" spans="1:7" x14ac:dyDescent="0.3">
      <c r="A6778" s="24">
        <v>41656</v>
      </c>
      <c r="B6778" s="66">
        <v>1202.163</v>
      </c>
      <c r="C6778" s="66">
        <v>930</v>
      </c>
      <c r="D6778" s="70">
        <v>0</v>
      </c>
      <c r="E6778" s="111">
        <f t="shared" si="109"/>
        <v>138710</v>
      </c>
      <c r="F6778" s="69">
        <v>4.5947103783452847E-2</v>
      </c>
      <c r="G6778" s="69">
        <v>4.9753694581280788E-2</v>
      </c>
    </row>
    <row r="6779" spans="1:7" x14ac:dyDescent="0.3">
      <c r="A6779" s="24">
        <v>41657</v>
      </c>
      <c r="B6779" s="66">
        <v>1202.163</v>
      </c>
      <c r="C6779" s="66">
        <v>930</v>
      </c>
      <c r="D6779" s="70">
        <v>0</v>
      </c>
      <c r="E6779" s="111">
        <f t="shared" si="109"/>
        <v>138710</v>
      </c>
      <c r="F6779" s="69">
        <v>4.5947103783452847E-2</v>
      </c>
      <c r="G6779" s="69">
        <v>4.9753694581280788E-2</v>
      </c>
    </row>
    <row r="6780" spans="1:7" x14ac:dyDescent="0.3">
      <c r="A6780" s="24">
        <v>41658</v>
      </c>
      <c r="B6780" s="66">
        <v>1202.163</v>
      </c>
      <c r="C6780" s="66">
        <v>930</v>
      </c>
      <c r="D6780" s="70">
        <v>0</v>
      </c>
      <c r="E6780" s="111">
        <f t="shared" si="109"/>
        <v>138710</v>
      </c>
      <c r="F6780" s="69">
        <v>4.5947103783452847E-2</v>
      </c>
      <c r="G6780" s="69">
        <v>4.9753694581280788E-2</v>
      </c>
    </row>
    <row r="6781" spans="1:7" x14ac:dyDescent="0.3">
      <c r="A6781" s="24">
        <v>41659</v>
      </c>
      <c r="B6781" s="66">
        <v>1202.163</v>
      </c>
      <c r="C6781" s="66">
        <v>940</v>
      </c>
      <c r="D6781" s="70">
        <v>0</v>
      </c>
      <c r="E6781" s="111">
        <f t="shared" si="109"/>
        <v>138710</v>
      </c>
      <c r="F6781" s="69">
        <v>4.5947103783452847E-2</v>
      </c>
      <c r="G6781" s="69">
        <v>4.9753694581280788E-2</v>
      </c>
    </row>
    <row r="6782" spans="1:7" x14ac:dyDescent="0.3">
      <c r="A6782" s="24">
        <v>41660</v>
      </c>
      <c r="B6782" s="66">
        <v>1202.163</v>
      </c>
      <c r="C6782" s="66">
        <v>930</v>
      </c>
      <c r="D6782" s="70">
        <v>0</v>
      </c>
      <c r="E6782" s="111">
        <f t="shared" si="109"/>
        <v>138710</v>
      </c>
      <c r="F6782" s="69">
        <v>4.5947103783452847E-2</v>
      </c>
      <c r="G6782" s="69">
        <v>0.05</v>
      </c>
    </row>
    <row r="6783" spans="1:7" x14ac:dyDescent="0.3">
      <c r="A6783" s="24">
        <v>41661</v>
      </c>
      <c r="B6783" s="66">
        <v>1202.163</v>
      </c>
      <c r="C6783" s="66">
        <v>925</v>
      </c>
      <c r="D6783" s="70">
        <v>0</v>
      </c>
      <c r="E6783" s="111">
        <f t="shared" si="109"/>
        <v>138710</v>
      </c>
      <c r="F6783" s="69">
        <v>4.5947103783452847E-2</v>
      </c>
      <c r="G6783" s="69">
        <v>5.0223769269020391E-2</v>
      </c>
    </row>
    <row r="6784" spans="1:7" x14ac:dyDescent="0.3">
      <c r="A6784" s="24">
        <v>41662</v>
      </c>
      <c r="B6784" s="66">
        <v>1202.163</v>
      </c>
      <c r="C6784" s="66">
        <v>925</v>
      </c>
      <c r="D6784" s="70">
        <v>0</v>
      </c>
      <c r="E6784" s="111">
        <f t="shared" si="109"/>
        <v>138710</v>
      </c>
      <c r="F6784" s="69">
        <v>4.5947103783452847E-2</v>
      </c>
      <c r="G6784" s="69">
        <v>0.05</v>
      </c>
    </row>
    <row r="6785" spans="1:7" x14ac:dyDescent="0.3">
      <c r="A6785" s="24">
        <v>41663</v>
      </c>
      <c r="B6785" s="66">
        <v>1202.163</v>
      </c>
      <c r="C6785" s="66">
        <v>925</v>
      </c>
      <c r="D6785" s="70">
        <v>0</v>
      </c>
      <c r="E6785" s="111">
        <f t="shared" si="109"/>
        <v>138710</v>
      </c>
      <c r="F6785" s="69">
        <v>4.5947103783452847E-2</v>
      </c>
      <c r="G6785" s="69">
        <v>5.0049554013875126E-2</v>
      </c>
    </row>
    <row r="6786" spans="1:7" x14ac:dyDescent="0.3">
      <c r="A6786" s="24">
        <v>41664</v>
      </c>
      <c r="B6786" s="66">
        <v>1202.163</v>
      </c>
      <c r="C6786" s="66">
        <v>925</v>
      </c>
      <c r="D6786" s="70">
        <v>0</v>
      </c>
      <c r="E6786" s="111">
        <f t="shared" si="109"/>
        <v>138710</v>
      </c>
      <c r="F6786" s="69">
        <v>4.5947103783452847E-2</v>
      </c>
      <c r="G6786" s="69">
        <v>5.0049554013875126E-2</v>
      </c>
    </row>
    <row r="6787" spans="1:7" x14ac:dyDescent="0.3">
      <c r="A6787" s="24">
        <v>41665</v>
      </c>
      <c r="B6787" s="66">
        <v>1202.163</v>
      </c>
      <c r="C6787" s="66">
        <v>925</v>
      </c>
      <c r="D6787" s="70">
        <v>0</v>
      </c>
      <c r="E6787" s="111">
        <f t="shared" si="109"/>
        <v>138710</v>
      </c>
      <c r="F6787" s="69">
        <v>4.5947103783452847E-2</v>
      </c>
      <c r="G6787" s="69">
        <v>5.0049554013875126E-2</v>
      </c>
    </row>
    <row r="6788" spans="1:7" x14ac:dyDescent="0.3">
      <c r="A6788" s="24">
        <v>41666</v>
      </c>
      <c r="B6788" s="66">
        <v>1202.163</v>
      </c>
      <c r="C6788" s="66">
        <v>925</v>
      </c>
      <c r="D6788" s="70">
        <v>0</v>
      </c>
      <c r="E6788" s="111">
        <f t="shared" si="109"/>
        <v>138710</v>
      </c>
      <c r="F6788" s="69">
        <v>4.5947103783452847E-2</v>
      </c>
      <c r="G6788" s="69">
        <v>0.05</v>
      </c>
    </row>
    <row r="6789" spans="1:7" x14ac:dyDescent="0.3">
      <c r="A6789" s="24">
        <v>41667</v>
      </c>
      <c r="B6789" s="66">
        <v>1202.163</v>
      </c>
      <c r="C6789" s="66">
        <v>925</v>
      </c>
      <c r="D6789" s="70">
        <v>0</v>
      </c>
      <c r="E6789" s="111">
        <f t="shared" si="109"/>
        <v>138710</v>
      </c>
      <c r="F6789" s="69">
        <v>4.5947103783452847E-2</v>
      </c>
      <c r="G6789" s="69">
        <v>0.05</v>
      </c>
    </row>
    <row r="6790" spans="1:7" x14ac:dyDescent="0.3">
      <c r="A6790" s="24">
        <v>41668</v>
      </c>
      <c r="B6790" s="66">
        <v>1202.163</v>
      </c>
      <c r="C6790" s="66">
        <v>920</v>
      </c>
      <c r="D6790" s="70">
        <v>0</v>
      </c>
      <c r="E6790" s="111">
        <f t="shared" si="109"/>
        <v>138710</v>
      </c>
      <c r="F6790" s="69">
        <v>4.5947103783452847E-2</v>
      </c>
      <c r="G6790" s="69">
        <v>0.05</v>
      </c>
    </row>
    <row r="6791" spans="1:7" x14ac:dyDescent="0.3">
      <c r="A6791" s="24">
        <v>41669</v>
      </c>
      <c r="B6791" s="66">
        <v>1202.163</v>
      </c>
      <c r="C6791" s="66">
        <v>924</v>
      </c>
      <c r="D6791" s="70">
        <v>0</v>
      </c>
      <c r="E6791" s="111">
        <f t="shared" si="109"/>
        <v>138710</v>
      </c>
      <c r="F6791" s="69">
        <v>4.5977507530182531E-2</v>
      </c>
      <c r="G6791" s="69">
        <v>0.05</v>
      </c>
    </row>
    <row r="6792" spans="1:7" x14ac:dyDescent="0.3">
      <c r="A6792" s="24">
        <v>41670</v>
      </c>
      <c r="B6792" s="66">
        <v>1202.163</v>
      </c>
      <c r="C6792" s="66">
        <v>925</v>
      </c>
      <c r="D6792" s="70">
        <v>0</v>
      </c>
      <c r="E6792" s="111">
        <f t="shared" si="109"/>
        <v>138710</v>
      </c>
      <c r="F6792" s="69">
        <v>4.5977507530182531E-2</v>
      </c>
      <c r="G6792" s="69">
        <v>0.05</v>
      </c>
    </row>
    <row r="6793" spans="1:7" x14ac:dyDescent="0.3">
      <c r="A6793" s="24">
        <v>41671</v>
      </c>
      <c r="B6793" s="66">
        <v>1202.163</v>
      </c>
      <c r="C6793" s="66">
        <v>925</v>
      </c>
      <c r="D6793" s="70">
        <v>0</v>
      </c>
      <c r="E6793" s="111">
        <f t="shared" ref="E6793:E6856" si="110">+E6792</f>
        <v>138710</v>
      </c>
      <c r="F6793" s="69">
        <v>4.5977507530182531E-2</v>
      </c>
      <c r="G6793" s="69">
        <v>0.05</v>
      </c>
    </row>
    <row r="6794" spans="1:7" x14ac:dyDescent="0.3">
      <c r="A6794" s="24">
        <v>41672</v>
      </c>
      <c r="B6794" s="66">
        <v>1202.163</v>
      </c>
      <c r="C6794" s="66">
        <v>925</v>
      </c>
      <c r="D6794" s="70">
        <v>0</v>
      </c>
      <c r="E6794" s="111">
        <f t="shared" si="110"/>
        <v>138710</v>
      </c>
      <c r="F6794" s="69">
        <v>4.5977507530182531E-2</v>
      </c>
      <c r="G6794" s="69">
        <v>0.05</v>
      </c>
    </row>
    <row r="6795" spans="1:7" x14ac:dyDescent="0.3">
      <c r="A6795" s="24">
        <v>41673</v>
      </c>
      <c r="B6795" s="66">
        <v>1202.163</v>
      </c>
      <c r="C6795" s="66">
        <v>920</v>
      </c>
      <c r="D6795" s="70">
        <v>0</v>
      </c>
      <c r="E6795" s="111">
        <f t="shared" si="110"/>
        <v>138710</v>
      </c>
      <c r="F6795" s="69">
        <v>4.5977507530182531E-2</v>
      </c>
      <c r="G6795" s="69">
        <v>0.05</v>
      </c>
    </row>
    <row r="6796" spans="1:7" x14ac:dyDescent="0.3">
      <c r="A6796" s="24">
        <v>41674</v>
      </c>
      <c r="B6796" s="66">
        <v>1202.163</v>
      </c>
      <c r="C6796" s="66">
        <v>925</v>
      </c>
      <c r="D6796" s="70">
        <v>0</v>
      </c>
      <c r="E6796" s="111">
        <f t="shared" si="110"/>
        <v>138710</v>
      </c>
      <c r="F6796" s="69">
        <v>4.5977507530182531E-2</v>
      </c>
      <c r="G6796" s="69">
        <v>0.05</v>
      </c>
    </row>
    <row r="6797" spans="1:7" x14ac:dyDescent="0.3">
      <c r="A6797" s="24">
        <v>41675</v>
      </c>
      <c r="B6797" s="66">
        <v>1202.163</v>
      </c>
      <c r="C6797" s="66">
        <v>915</v>
      </c>
      <c r="D6797" s="70">
        <v>0</v>
      </c>
      <c r="E6797" s="111">
        <f t="shared" si="110"/>
        <v>138710</v>
      </c>
      <c r="F6797" s="69">
        <v>4.5977507530182531E-2</v>
      </c>
      <c r="G6797" s="69">
        <v>0.05</v>
      </c>
    </row>
    <row r="6798" spans="1:7" x14ac:dyDescent="0.3">
      <c r="A6798" s="24">
        <v>41676</v>
      </c>
      <c r="B6798" s="66">
        <v>1202.163</v>
      </c>
      <c r="C6798" s="66">
        <v>920</v>
      </c>
      <c r="D6798" s="70">
        <v>0</v>
      </c>
      <c r="E6798" s="111">
        <f t="shared" si="110"/>
        <v>138710</v>
      </c>
      <c r="F6798" s="69">
        <v>4.5977507530182531E-2</v>
      </c>
      <c r="G6798" s="69">
        <v>0.05</v>
      </c>
    </row>
    <row r="6799" spans="1:7" x14ac:dyDescent="0.3">
      <c r="A6799" s="24">
        <v>41677</v>
      </c>
      <c r="B6799" s="66">
        <v>1202.163</v>
      </c>
      <c r="C6799" s="66">
        <v>915</v>
      </c>
      <c r="D6799" s="70">
        <v>0</v>
      </c>
      <c r="E6799" s="111">
        <f t="shared" si="110"/>
        <v>138710</v>
      </c>
      <c r="F6799" s="69">
        <v>4.5977507530182531E-2</v>
      </c>
      <c r="G6799" s="69">
        <v>5.0004950985246065E-2</v>
      </c>
    </row>
    <row r="6800" spans="1:7" x14ac:dyDescent="0.3">
      <c r="A6800" s="24">
        <v>41678</v>
      </c>
      <c r="B6800" s="66">
        <v>1202.163</v>
      </c>
      <c r="C6800" s="66">
        <v>915</v>
      </c>
      <c r="D6800" s="70">
        <v>0</v>
      </c>
      <c r="E6800" s="111">
        <f t="shared" si="110"/>
        <v>138710</v>
      </c>
      <c r="F6800" s="69">
        <v>4.5977507530182531E-2</v>
      </c>
      <c r="G6800" s="69">
        <v>5.0004950985246065E-2</v>
      </c>
    </row>
    <row r="6801" spans="1:7" x14ac:dyDescent="0.3">
      <c r="A6801" s="24">
        <v>41679</v>
      </c>
      <c r="B6801" s="66">
        <v>1202.163</v>
      </c>
      <c r="C6801" s="66">
        <v>915</v>
      </c>
      <c r="D6801" s="70">
        <v>0</v>
      </c>
      <c r="E6801" s="111">
        <f t="shared" si="110"/>
        <v>138710</v>
      </c>
      <c r="F6801" s="69">
        <v>4.5977507530182531E-2</v>
      </c>
      <c r="G6801" s="69">
        <v>5.0004950985246065E-2</v>
      </c>
    </row>
    <row r="6802" spans="1:7" x14ac:dyDescent="0.3">
      <c r="A6802" s="24">
        <v>41680</v>
      </c>
      <c r="B6802" s="66">
        <v>1202.163</v>
      </c>
      <c r="C6802" s="66">
        <v>915</v>
      </c>
      <c r="D6802" s="70">
        <v>0</v>
      </c>
      <c r="E6802" s="111">
        <f t="shared" si="110"/>
        <v>138710</v>
      </c>
      <c r="F6802" s="69">
        <v>4.5977507530182531E-2</v>
      </c>
      <c r="G6802" s="69">
        <v>5.0024764735017338E-2</v>
      </c>
    </row>
    <row r="6803" spans="1:7" x14ac:dyDescent="0.3">
      <c r="A6803" s="24">
        <v>41681</v>
      </c>
      <c r="B6803" s="66">
        <v>1202.163</v>
      </c>
      <c r="C6803" s="66">
        <v>915</v>
      </c>
      <c r="D6803" s="70">
        <v>0</v>
      </c>
      <c r="E6803" s="111">
        <f t="shared" si="110"/>
        <v>138710</v>
      </c>
      <c r="F6803" s="69">
        <v>4.5977507530182531E-2</v>
      </c>
      <c r="G6803" s="69">
        <v>5.0500000000000003E-2</v>
      </c>
    </row>
    <row r="6804" spans="1:7" x14ac:dyDescent="0.3">
      <c r="A6804" s="24">
        <v>41682</v>
      </c>
      <c r="B6804" s="66">
        <v>1202.163</v>
      </c>
      <c r="C6804" s="66">
        <v>910</v>
      </c>
      <c r="D6804" s="70">
        <v>0</v>
      </c>
      <c r="E6804" s="111">
        <f t="shared" si="110"/>
        <v>138710</v>
      </c>
      <c r="F6804" s="69">
        <v>4.5977507530182531E-2</v>
      </c>
      <c r="G6804" s="69">
        <v>5.0009902951079425E-2</v>
      </c>
    </row>
    <row r="6805" spans="1:7" x14ac:dyDescent="0.3">
      <c r="A6805" s="24">
        <v>41683</v>
      </c>
      <c r="B6805" s="66">
        <v>1202.163</v>
      </c>
      <c r="C6805" s="66">
        <v>910</v>
      </c>
      <c r="D6805" s="70">
        <v>0</v>
      </c>
      <c r="E6805" s="111">
        <f t="shared" si="110"/>
        <v>138710</v>
      </c>
      <c r="F6805" s="69">
        <v>4.5977507530182531E-2</v>
      </c>
      <c r="G6805" s="69">
        <v>5.0009902951079425E-2</v>
      </c>
    </row>
    <row r="6806" spans="1:7" x14ac:dyDescent="0.3">
      <c r="A6806" s="24">
        <v>41684</v>
      </c>
      <c r="B6806" s="66">
        <v>1202.163</v>
      </c>
      <c r="C6806" s="66">
        <v>910</v>
      </c>
      <c r="D6806" s="70">
        <v>0</v>
      </c>
      <c r="E6806" s="111">
        <f t="shared" si="110"/>
        <v>138710</v>
      </c>
      <c r="F6806" s="69">
        <v>4.5977507530182531E-2</v>
      </c>
      <c r="G6806" s="69">
        <v>5.0298804780876491E-2</v>
      </c>
    </row>
    <row r="6807" spans="1:7" x14ac:dyDescent="0.3">
      <c r="A6807" s="24">
        <v>41685</v>
      </c>
      <c r="B6807" s="66">
        <v>1202.163</v>
      </c>
      <c r="C6807" s="66">
        <v>910</v>
      </c>
      <c r="D6807" s="70">
        <v>0</v>
      </c>
      <c r="E6807" s="111">
        <f t="shared" si="110"/>
        <v>138710</v>
      </c>
      <c r="F6807" s="69">
        <v>4.5977507530182531E-2</v>
      </c>
      <c r="G6807" s="69">
        <v>5.0298804780876491E-2</v>
      </c>
    </row>
    <row r="6808" spans="1:7" x14ac:dyDescent="0.3">
      <c r="A6808" s="24">
        <v>41686</v>
      </c>
      <c r="B6808" s="66">
        <v>1202.163</v>
      </c>
      <c r="C6808" s="66">
        <v>910</v>
      </c>
      <c r="D6808" s="70">
        <v>0</v>
      </c>
      <c r="E6808" s="111">
        <f t="shared" si="110"/>
        <v>138710</v>
      </c>
      <c r="F6808" s="69">
        <v>4.5977507530182531E-2</v>
      </c>
      <c r="G6808" s="69">
        <v>5.0298804780876491E-2</v>
      </c>
    </row>
    <row r="6809" spans="1:7" x14ac:dyDescent="0.3">
      <c r="A6809" s="24">
        <v>41687</v>
      </c>
      <c r="B6809" s="66">
        <v>1202.163</v>
      </c>
      <c r="C6809" s="66">
        <v>910</v>
      </c>
      <c r="D6809" s="70">
        <v>0</v>
      </c>
      <c r="E6809" s="111">
        <f t="shared" si="110"/>
        <v>138710</v>
      </c>
      <c r="F6809" s="69">
        <v>4.5977507530182531E-2</v>
      </c>
      <c r="G6809" s="69">
        <v>5.0500000000000003E-2</v>
      </c>
    </row>
    <row r="6810" spans="1:7" x14ac:dyDescent="0.3">
      <c r="A6810" s="24">
        <v>41688</v>
      </c>
      <c r="B6810" s="66">
        <v>1202.163</v>
      </c>
      <c r="C6810" s="66">
        <v>915</v>
      </c>
      <c r="D6810" s="70">
        <v>0</v>
      </c>
      <c r="E6810" s="111">
        <f t="shared" si="110"/>
        <v>138710</v>
      </c>
      <c r="F6810" s="69">
        <v>4.5977507530182531E-2</v>
      </c>
      <c r="G6810" s="69">
        <v>5.0601202404809621E-2</v>
      </c>
    </row>
    <row r="6811" spans="1:7" x14ac:dyDescent="0.3">
      <c r="A6811" s="24">
        <v>41689</v>
      </c>
      <c r="B6811" s="66">
        <v>1202.163</v>
      </c>
      <c r="C6811" s="66">
        <v>915</v>
      </c>
      <c r="D6811" s="70">
        <v>0</v>
      </c>
      <c r="E6811" s="111">
        <f t="shared" si="110"/>
        <v>138710</v>
      </c>
      <c r="F6811" s="69">
        <v>4.5977507530182531E-2</v>
      </c>
      <c r="G6811" s="69">
        <v>5.1010101010101012E-2</v>
      </c>
    </row>
    <row r="6812" spans="1:7" x14ac:dyDescent="0.3">
      <c r="A6812" s="24">
        <v>41690</v>
      </c>
      <c r="B6812" s="66">
        <v>1202.163</v>
      </c>
      <c r="C6812" s="66">
        <v>915</v>
      </c>
      <c r="D6812" s="70">
        <v>0</v>
      </c>
      <c r="E6812" s="111">
        <f t="shared" si="110"/>
        <v>138710</v>
      </c>
      <c r="F6812" s="69">
        <v>4.5977507530182531E-2</v>
      </c>
      <c r="G6812" s="69">
        <v>5.2604166666666667E-2</v>
      </c>
    </row>
    <row r="6813" spans="1:7" x14ac:dyDescent="0.3">
      <c r="A6813" s="24">
        <v>41691</v>
      </c>
      <c r="B6813" s="66">
        <v>1202.163</v>
      </c>
      <c r="C6813" s="66">
        <v>915</v>
      </c>
      <c r="D6813" s="70">
        <v>0</v>
      </c>
      <c r="E6813" s="111">
        <f t="shared" si="110"/>
        <v>138710</v>
      </c>
      <c r="F6813" s="69">
        <v>4.5977507530182531E-2</v>
      </c>
      <c r="G6813" s="69">
        <v>5.1010101010101012E-2</v>
      </c>
    </row>
    <row r="6814" spans="1:7" x14ac:dyDescent="0.3">
      <c r="A6814" s="24">
        <v>41692</v>
      </c>
      <c r="B6814" s="66">
        <v>1202.163</v>
      </c>
      <c r="C6814" s="66">
        <v>915</v>
      </c>
      <c r="D6814" s="70">
        <v>0</v>
      </c>
      <c r="E6814" s="111">
        <f t="shared" si="110"/>
        <v>138710</v>
      </c>
      <c r="F6814" s="69">
        <v>4.5977507530182531E-2</v>
      </c>
      <c r="G6814" s="69">
        <v>5.1010101010101012E-2</v>
      </c>
    </row>
    <row r="6815" spans="1:7" x14ac:dyDescent="0.3">
      <c r="A6815" s="24">
        <v>41693</v>
      </c>
      <c r="B6815" s="66">
        <v>1202.163</v>
      </c>
      <c r="C6815" s="66">
        <v>915</v>
      </c>
      <c r="D6815" s="70">
        <v>0</v>
      </c>
      <c r="E6815" s="111">
        <f t="shared" si="110"/>
        <v>138710</v>
      </c>
      <c r="F6815" s="69">
        <v>4.5977507530182531E-2</v>
      </c>
      <c r="G6815" s="69">
        <v>5.1010101010101012E-2</v>
      </c>
    </row>
    <row r="6816" spans="1:7" x14ac:dyDescent="0.3">
      <c r="A6816" s="24">
        <v>41694</v>
      </c>
      <c r="B6816" s="66">
        <v>1202.163</v>
      </c>
      <c r="C6816" s="66">
        <v>915</v>
      </c>
      <c r="D6816" s="70">
        <v>0</v>
      </c>
      <c r="E6816" s="111">
        <f t="shared" si="110"/>
        <v>138710</v>
      </c>
      <c r="F6816" s="69">
        <v>4.5977507530182531E-2</v>
      </c>
      <c r="G6816" s="69">
        <v>5.0500000000000003E-2</v>
      </c>
    </row>
    <row r="6817" spans="1:7" x14ac:dyDescent="0.3">
      <c r="A6817" s="24">
        <v>41695</v>
      </c>
      <c r="B6817" s="66">
        <v>1202.163</v>
      </c>
      <c r="C6817" s="66">
        <v>915</v>
      </c>
      <c r="D6817" s="70">
        <v>0</v>
      </c>
      <c r="E6817" s="111">
        <f t="shared" si="110"/>
        <v>138710</v>
      </c>
      <c r="F6817" s="69">
        <v>4.5977507530182531E-2</v>
      </c>
      <c r="G6817" s="69">
        <v>5.1010101010101012E-2</v>
      </c>
    </row>
    <row r="6818" spans="1:7" x14ac:dyDescent="0.3">
      <c r="A6818" s="24">
        <v>41696</v>
      </c>
      <c r="B6818" s="66">
        <v>1202.163</v>
      </c>
      <c r="C6818" s="66">
        <v>915</v>
      </c>
      <c r="D6818" s="70">
        <v>0</v>
      </c>
      <c r="E6818" s="111">
        <f t="shared" si="110"/>
        <v>138710</v>
      </c>
      <c r="F6818" s="69">
        <v>4.5977507530182531E-2</v>
      </c>
      <c r="G6818" s="69">
        <v>5.1010101010101012E-2</v>
      </c>
    </row>
    <row r="6819" spans="1:7" x14ac:dyDescent="0.3">
      <c r="A6819" s="24">
        <v>41697</v>
      </c>
      <c r="B6819" s="66">
        <v>1202.163</v>
      </c>
      <c r="C6819" s="66">
        <v>909.99</v>
      </c>
      <c r="D6819" s="70">
        <v>0</v>
      </c>
      <c r="E6819" s="111">
        <f t="shared" si="110"/>
        <v>138710</v>
      </c>
      <c r="F6819" s="69">
        <v>4.5692431108503719E-2</v>
      </c>
      <c r="G6819" s="69">
        <v>5.0500000000000003E-2</v>
      </c>
    </row>
    <row r="6820" spans="1:7" x14ac:dyDescent="0.3">
      <c r="A6820" s="24">
        <v>41698</v>
      </c>
      <c r="B6820" s="66">
        <v>1202.163</v>
      </c>
      <c r="C6820" s="66">
        <v>910</v>
      </c>
      <c r="D6820" s="70">
        <v>0</v>
      </c>
      <c r="E6820" s="111">
        <f t="shared" si="110"/>
        <v>138710</v>
      </c>
      <c r="F6820" s="69">
        <v>4.5692431108503719E-2</v>
      </c>
      <c r="G6820" s="69">
        <v>5.0248756218905476E-2</v>
      </c>
    </row>
    <row r="6821" spans="1:7" x14ac:dyDescent="0.3">
      <c r="A6821" s="24">
        <v>41699</v>
      </c>
      <c r="B6821" s="66">
        <v>1202.163</v>
      </c>
      <c r="C6821" s="66">
        <v>910</v>
      </c>
      <c r="D6821" s="70">
        <v>0</v>
      </c>
      <c r="E6821" s="111">
        <f t="shared" si="110"/>
        <v>138710</v>
      </c>
      <c r="F6821" s="69">
        <v>4.5692431108503719E-2</v>
      </c>
      <c r="G6821" s="69">
        <v>5.0248756218905476E-2</v>
      </c>
    </row>
    <row r="6822" spans="1:7" x14ac:dyDescent="0.3">
      <c r="A6822" s="24">
        <v>41700</v>
      </c>
      <c r="B6822" s="66">
        <v>1202.163</v>
      </c>
      <c r="C6822" s="66">
        <v>910</v>
      </c>
      <c r="D6822" s="70">
        <v>0</v>
      </c>
      <c r="E6822" s="111">
        <f t="shared" si="110"/>
        <v>138710</v>
      </c>
      <c r="F6822" s="69">
        <v>4.5692431108503719E-2</v>
      </c>
      <c r="G6822" s="69">
        <v>5.0248756218905476E-2</v>
      </c>
    </row>
    <row r="6823" spans="1:7" x14ac:dyDescent="0.3">
      <c r="A6823" s="24">
        <v>41701</v>
      </c>
      <c r="B6823" s="66">
        <v>1202.163</v>
      </c>
      <c r="C6823" s="66">
        <v>910</v>
      </c>
      <c r="D6823" s="70">
        <v>0</v>
      </c>
      <c r="E6823" s="111">
        <f t="shared" si="110"/>
        <v>138710</v>
      </c>
      <c r="F6823" s="69">
        <v>4.5692431108503719E-2</v>
      </c>
      <c r="G6823" s="69">
        <v>0.05</v>
      </c>
    </row>
    <row r="6824" spans="1:7" x14ac:dyDescent="0.3">
      <c r="A6824" s="24">
        <v>41702</v>
      </c>
      <c r="B6824" s="66">
        <v>1202.163</v>
      </c>
      <c r="C6824" s="66">
        <v>915</v>
      </c>
      <c r="D6824" s="70">
        <v>0</v>
      </c>
      <c r="E6824" s="111">
        <f t="shared" si="110"/>
        <v>138710</v>
      </c>
      <c r="F6824" s="69">
        <v>4.5692431108503719E-2</v>
      </c>
      <c r="G6824" s="69">
        <v>4.9268292682926831E-2</v>
      </c>
    </row>
    <row r="6825" spans="1:7" x14ac:dyDescent="0.3">
      <c r="A6825" s="24">
        <v>41703</v>
      </c>
      <c r="B6825" s="66">
        <v>1202.163</v>
      </c>
      <c r="C6825" s="66">
        <v>910</v>
      </c>
      <c r="D6825" s="70">
        <v>0</v>
      </c>
      <c r="E6825" s="111">
        <f t="shared" si="110"/>
        <v>138710</v>
      </c>
      <c r="F6825" s="69">
        <v>4.5692431108503719E-2</v>
      </c>
      <c r="G6825" s="69">
        <v>4.7641509433962267E-2</v>
      </c>
    </row>
    <row r="6826" spans="1:7" x14ac:dyDescent="0.3">
      <c r="A6826" s="24">
        <v>41704</v>
      </c>
      <c r="B6826" s="66">
        <v>1202.163</v>
      </c>
      <c r="C6826" s="66">
        <v>910</v>
      </c>
      <c r="D6826" s="70">
        <v>0</v>
      </c>
      <c r="E6826" s="111">
        <f t="shared" si="110"/>
        <v>138710</v>
      </c>
      <c r="F6826" s="69">
        <v>4.5692431108503719E-2</v>
      </c>
      <c r="G6826" s="69">
        <v>4.7641509433962267E-2</v>
      </c>
    </row>
    <row r="6827" spans="1:7" x14ac:dyDescent="0.3">
      <c r="A6827" s="24">
        <v>41705</v>
      </c>
      <c r="B6827" s="66">
        <v>1202.163</v>
      </c>
      <c r="C6827" s="66">
        <v>915</v>
      </c>
      <c r="D6827" s="70">
        <v>0</v>
      </c>
      <c r="E6827" s="111">
        <f t="shared" si="110"/>
        <v>138710</v>
      </c>
      <c r="F6827" s="69">
        <v>4.5692431108503719E-2</v>
      </c>
      <c r="G6827" s="69">
        <v>4.7646004340032078E-2</v>
      </c>
    </row>
    <row r="6828" spans="1:7" x14ac:dyDescent="0.3">
      <c r="A6828" s="24">
        <v>41706</v>
      </c>
      <c r="B6828" s="66">
        <v>1202.163</v>
      </c>
      <c r="C6828" s="66">
        <v>915</v>
      </c>
      <c r="D6828" s="70">
        <v>0</v>
      </c>
      <c r="E6828" s="111">
        <f t="shared" si="110"/>
        <v>138710</v>
      </c>
      <c r="F6828" s="69">
        <v>4.5692431108503719E-2</v>
      </c>
      <c r="G6828" s="69">
        <v>4.7646004340032078E-2</v>
      </c>
    </row>
    <row r="6829" spans="1:7" x14ac:dyDescent="0.3">
      <c r="A6829" s="24">
        <v>41707</v>
      </c>
      <c r="B6829" s="66">
        <v>1202.163</v>
      </c>
      <c r="C6829" s="66">
        <v>915</v>
      </c>
      <c r="D6829" s="70">
        <v>0</v>
      </c>
      <c r="E6829" s="111">
        <f t="shared" si="110"/>
        <v>138710</v>
      </c>
      <c r="F6829" s="69">
        <v>4.5692431108503719E-2</v>
      </c>
      <c r="G6829" s="69">
        <v>4.7646004340032078E-2</v>
      </c>
    </row>
    <row r="6830" spans="1:7" x14ac:dyDescent="0.3">
      <c r="A6830" s="24">
        <v>41708</v>
      </c>
      <c r="B6830" s="66">
        <v>1202.163</v>
      </c>
      <c r="C6830" s="66">
        <v>915.03</v>
      </c>
      <c r="D6830" s="70">
        <v>0</v>
      </c>
      <c r="E6830" s="111">
        <f t="shared" si="110"/>
        <v>138710</v>
      </c>
      <c r="F6830" s="69">
        <v>4.5692431108503719E-2</v>
      </c>
      <c r="G6830" s="69">
        <v>4.7641958886404587E-2</v>
      </c>
    </row>
    <row r="6831" spans="1:7" x14ac:dyDescent="0.3">
      <c r="A6831" s="24">
        <v>41709</v>
      </c>
      <c r="B6831" s="66">
        <v>1202.163</v>
      </c>
      <c r="C6831" s="66">
        <v>920</v>
      </c>
      <c r="D6831" s="70">
        <v>0</v>
      </c>
      <c r="E6831" s="111">
        <f t="shared" si="110"/>
        <v>138710</v>
      </c>
      <c r="F6831" s="69">
        <v>4.5692431108503719E-2</v>
      </c>
      <c r="G6831" s="69">
        <v>4.7686496694995278E-2</v>
      </c>
    </row>
    <row r="6832" spans="1:7" x14ac:dyDescent="0.3">
      <c r="A6832" s="24">
        <v>41710</v>
      </c>
      <c r="B6832" s="66">
        <v>1202.163</v>
      </c>
      <c r="C6832" s="66">
        <v>915</v>
      </c>
      <c r="D6832" s="70">
        <v>0</v>
      </c>
      <c r="E6832" s="111">
        <f t="shared" si="110"/>
        <v>138710</v>
      </c>
      <c r="F6832" s="69">
        <v>4.5692431108503719E-2</v>
      </c>
      <c r="G6832" s="69">
        <v>4.7731568998109639E-2</v>
      </c>
    </row>
    <row r="6833" spans="1:7" x14ac:dyDescent="0.3">
      <c r="A6833" s="24">
        <v>41711</v>
      </c>
      <c r="B6833" s="66">
        <v>1202.163</v>
      </c>
      <c r="C6833" s="66">
        <v>915</v>
      </c>
      <c r="D6833" s="70">
        <v>0</v>
      </c>
      <c r="E6833" s="111">
        <f t="shared" si="110"/>
        <v>138710</v>
      </c>
      <c r="F6833" s="69">
        <v>4.5692431108503719E-2</v>
      </c>
      <c r="G6833" s="69">
        <v>4.7867298578199054E-2</v>
      </c>
    </row>
    <row r="6834" spans="1:7" x14ac:dyDescent="0.3">
      <c r="A6834" s="24">
        <v>41712</v>
      </c>
      <c r="B6834" s="66">
        <v>1202.163</v>
      </c>
      <c r="C6834" s="66">
        <v>920</v>
      </c>
      <c r="D6834" s="70">
        <v>0</v>
      </c>
      <c r="E6834" s="111">
        <f t="shared" si="110"/>
        <v>138710</v>
      </c>
      <c r="F6834" s="69">
        <v>4.5692431108503719E-2</v>
      </c>
      <c r="G6834" s="69">
        <v>4.7867298578199054E-2</v>
      </c>
    </row>
    <row r="6835" spans="1:7" x14ac:dyDescent="0.3">
      <c r="A6835" s="24">
        <v>41713</v>
      </c>
      <c r="B6835" s="66">
        <v>1202.163</v>
      </c>
      <c r="C6835" s="66">
        <v>920</v>
      </c>
      <c r="D6835" s="70">
        <v>0</v>
      </c>
      <c r="E6835" s="111">
        <f t="shared" si="110"/>
        <v>138710</v>
      </c>
      <c r="F6835" s="69">
        <v>4.5692431108503719E-2</v>
      </c>
      <c r="G6835" s="69">
        <v>4.7867298578199054E-2</v>
      </c>
    </row>
    <row r="6836" spans="1:7" x14ac:dyDescent="0.3">
      <c r="A6836" s="24">
        <v>41714</v>
      </c>
      <c r="B6836" s="66">
        <v>1202.163</v>
      </c>
      <c r="C6836" s="66">
        <v>920</v>
      </c>
      <c r="D6836" s="70">
        <v>0</v>
      </c>
      <c r="E6836" s="111">
        <f t="shared" si="110"/>
        <v>138710</v>
      </c>
      <c r="F6836" s="69">
        <v>4.5692431108503719E-2</v>
      </c>
      <c r="G6836" s="69">
        <v>4.7867298578199054E-2</v>
      </c>
    </row>
    <row r="6837" spans="1:7" x14ac:dyDescent="0.3">
      <c r="A6837" s="24">
        <v>41715</v>
      </c>
      <c r="B6837" s="66">
        <v>1202.163</v>
      </c>
      <c r="C6837" s="66">
        <v>915.1</v>
      </c>
      <c r="D6837" s="70">
        <v>0</v>
      </c>
      <c r="E6837" s="111">
        <f t="shared" si="110"/>
        <v>138710</v>
      </c>
      <c r="F6837" s="69">
        <v>4.5692431108503719E-2</v>
      </c>
      <c r="G6837" s="69">
        <v>4.8325358851674639E-2</v>
      </c>
    </row>
    <row r="6838" spans="1:7" x14ac:dyDescent="0.3">
      <c r="A6838" s="24">
        <v>41716</v>
      </c>
      <c r="B6838" s="66">
        <v>1202.163</v>
      </c>
      <c r="C6838" s="66">
        <v>925</v>
      </c>
      <c r="D6838" s="70">
        <v>0</v>
      </c>
      <c r="E6838" s="111">
        <f t="shared" si="110"/>
        <v>138710</v>
      </c>
      <c r="F6838" s="69">
        <v>4.5692431108503719E-2</v>
      </c>
      <c r="G6838" s="69">
        <v>4.8371647509578543E-2</v>
      </c>
    </row>
    <row r="6839" spans="1:7" x14ac:dyDescent="0.3">
      <c r="A6839" s="24">
        <v>41717</v>
      </c>
      <c r="B6839" s="66">
        <v>1202.163</v>
      </c>
      <c r="C6839" s="66">
        <v>935</v>
      </c>
      <c r="D6839" s="70">
        <v>0</v>
      </c>
      <c r="E6839" s="111">
        <f t="shared" si="110"/>
        <v>138710</v>
      </c>
      <c r="F6839" s="69">
        <v>4.5692431108503719E-2</v>
      </c>
      <c r="G6839" s="69">
        <v>4.8558159213069357E-2</v>
      </c>
    </row>
    <row r="6840" spans="1:7" x14ac:dyDescent="0.3">
      <c r="A6840" s="24">
        <v>41718</v>
      </c>
      <c r="B6840" s="66">
        <v>1202.163</v>
      </c>
      <c r="C6840" s="66">
        <v>935</v>
      </c>
      <c r="D6840" s="70">
        <v>0</v>
      </c>
      <c r="E6840" s="111">
        <f t="shared" si="110"/>
        <v>138710</v>
      </c>
      <c r="F6840" s="69">
        <v>4.5692431108503719E-2</v>
      </c>
      <c r="G6840" s="69">
        <v>4.8792270531400964E-2</v>
      </c>
    </row>
    <row r="6841" spans="1:7" x14ac:dyDescent="0.3">
      <c r="A6841" s="24">
        <v>41719</v>
      </c>
      <c r="B6841" s="66">
        <v>1202.163</v>
      </c>
      <c r="C6841" s="66">
        <v>935</v>
      </c>
      <c r="D6841" s="70">
        <v>0</v>
      </c>
      <c r="E6841" s="111">
        <f t="shared" si="110"/>
        <v>138710</v>
      </c>
      <c r="F6841" s="69">
        <v>4.5692431108503719E-2</v>
      </c>
      <c r="G6841" s="69">
        <v>4.9029126213592233E-2</v>
      </c>
    </row>
    <row r="6842" spans="1:7" x14ac:dyDescent="0.3">
      <c r="A6842" s="24">
        <v>41720</v>
      </c>
      <c r="B6842" s="66">
        <v>1202.163</v>
      </c>
      <c r="C6842" s="66">
        <v>935</v>
      </c>
      <c r="D6842" s="70">
        <v>0</v>
      </c>
      <c r="E6842" s="111">
        <f t="shared" si="110"/>
        <v>138710</v>
      </c>
      <c r="F6842" s="69">
        <v>4.5692431108503719E-2</v>
      </c>
      <c r="G6842" s="69">
        <v>4.9029126213592233E-2</v>
      </c>
    </row>
    <row r="6843" spans="1:7" x14ac:dyDescent="0.3">
      <c r="A6843" s="24">
        <v>41721</v>
      </c>
      <c r="B6843" s="66">
        <v>1202.163</v>
      </c>
      <c r="C6843" s="66">
        <v>935</v>
      </c>
      <c r="D6843" s="70">
        <v>0</v>
      </c>
      <c r="E6843" s="111">
        <f t="shared" si="110"/>
        <v>138710</v>
      </c>
      <c r="F6843" s="69">
        <v>4.5692431108503719E-2</v>
      </c>
      <c r="G6843" s="69">
        <v>4.9029126213592233E-2</v>
      </c>
    </row>
    <row r="6844" spans="1:7" x14ac:dyDescent="0.3">
      <c r="A6844" s="24">
        <v>41722</v>
      </c>
      <c r="B6844" s="66">
        <v>1202.163</v>
      </c>
      <c r="C6844" s="66">
        <v>935</v>
      </c>
      <c r="D6844" s="70">
        <v>0</v>
      </c>
      <c r="E6844" s="111">
        <f t="shared" si="110"/>
        <v>138710</v>
      </c>
      <c r="F6844" s="69">
        <v>4.5692431108503719E-2</v>
      </c>
      <c r="G6844" s="69">
        <v>4.9268292682926831E-2</v>
      </c>
    </row>
    <row r="6845" spans="1:7" x14ac:dyDescent="0.3">
      <c r="A6845" s="24">
        <v>41723</v>
      </c>
      <c r="B6845" s="66">
        <v>1202.163</v>
      </c>
      <c r="C6845" s="66">
        <v>935</v>
      </c>
      <c r="D6845" s="70">
        <v>0</v>
      </c>
      <c r="E6845" s="111">
        <f t="shared" si="110"/>
        <v>138710</v>
      </c>
      <c r="F6845" s="69">
        <v>4.5692431108503719E-2</v>
      </c>
      <c r="G6845" s="69">
        <v>4.9029126213592233E-2</v>
      </c>
    </row>
    <row r="6846" spans="1:7" x14ac:dyDescent="0.3">
      <c r="A6846" s="24">
        <v>41724</v>
      </c>
      <c r="B6846" s="66">
        <v>1202.163</v>
      </c>
      <c r="C6846" s="66">
        <v>935</v>
      </c>
      <c r="D6846" s="70">
        <v>0</v>
      </c>
      <c r="E6846" s="111">
        <f t="shared" si="110"/>
        <v>138710</v>
      </c>
      <c r="F6846" s="69">
        <v>4.5692431108503719E-2</v>
      </c>
      <c r="G6846" s="69">
        <v>4.9024366566352784E-2</v>
      </c>
    </row>
    <row r="6847" spans="1:7" x14ac:dyDescent="0.3">
      <c r="A6847" s="24">
        <v>41725</v>
      </c>
      <c r="B6847" s="66">
        <v>1202.163</v>
      </c>
      <c r="C6847" s="66">
        <v>935</v>
      </c>
      <c r="D6847" s="70">
        <v>0</v>
      </c>
      <c r="E6847" s="111">
        <f t="shared" si="110"/>
        <v>138710</v>
      </c>
      <c r="F6847" s="69">
        <v>4.5692431108503719E-2</v>
      </c>
      <c r="G6847" s="69">
        <v>4.8792270531400964E-2</v>
      </c>
    </row>
    <row r="6848" spans="1:7" x14ac:dyDescent="0.3">
      <c r="A6848" s="24">
        <v>41726</v>
      </c>
      <c r="B6848" s="66">
        <v>1202.163</v>
      </c>
      <c r="C6848" s="66">
        <v>930</v>
      </c>
      <c r="D6848" s="70">
        <v>0</v>
      </c>
      <c r="E6848" s="111">
        <f t="shared" si="110"/>
        <v>138710</v>
      </c>
      <c r="F6848" s="69">
        <v>4.5692431108503719E-2</v>
      </c>
      <c r="G6848" s="69">
        <v>4.8792270531400964E-2</v>
      </c>
    </row>
    <row r="6849" spans="1:7" x14ac:dyDescent="0.3">
      <c r="A6849" s="24">
        <v>41727</v>
      </c>
      <c r="B6849" s="66">
        <v>1202.163</v>
      </c>
      <c r="C6849" s="66">
        <v>930</v>
      </c>
      <c r="D6849" s="70">
        <v>0</v>
      </c>
      <c r="E6849" s="111">
        <f t="shared" si="110"/>
        <v>138710</v>
      </c>
      <c r="F6849" s="69">
        <v>4.5692431108503719E-2</v>
      </c>
      <c r="G6849" s="69">
        <v>4.8792270531400964E-2</v>
      </c>
    </row>
    <row r="6850" spans="1:7" x14ac:dyDescent="0.3">
      <c r="A6850" s="24">
        <v>41728</v>
      </c>
      <c r="B6850" s="66">
        <v>1202.163</v>
      </c>
      <c r="C6850" s="66">
        <v>930</v>
      </c>
      <c r="D6850" s="70">
        <v>0</v>
      </c>
      <c r="E6850" s="111">
        <f t="shared" si="110"/>
        <v>138710</v>
      </c>
      <c r="F6850" s="69">
        <v>4.5424530919758593E-2</v>
      </c>
      <c r="G6850" s="69">
        <v>4.8792270531400964E-2</v>
      </c>
    </row>
    <row r="6851" spans="1:7" x14ac:dyDescent="0.3">
      <c r="A6851" s="24">
        <v>41729</v>
      </c>
      <c r="B6851" s="66">
        <v>1183.0160280406105</v>
      </c>
      <c r="C6851" s="66">
        <v>935</v>
      </c>
      <c r="D6851" s="70">
        <v>0</v>
      </c>
      <c r="E6851" s="111">
        <f t="shared" si="110"/>
        <v>138710</v>
      </c>
      <c r="F6851" s="69">
        <v>4.5424530919758593E-2</v>
      </c>
      <c r="G6851" s="69">
        <v>4.8792270531400964E-2</v>
      </c>
    </row>
    <row r="6852" spans="1:7" x14ac:dyDescent="0.3">
      <c r="A6852" s="24">
        <v>41730</v>
      </c>
      <c r="B6852" s="66">
        <v>1183.0160280406105</v>
      </c>
      <c r="C6852" s="66">
        <v>935</v>
      </c>
      <c r="D6852" s="70">
        <v>0</v>
      </c>
      <c r="E6852" s="111">
        <f t="shared" si="110"/>
        <v>138710</v>
      </c>
      <c r="F6852" s="69">
        <v>4.5424530919758593E-2</v>
      </c>
      <c r="G6852" s="69">
        <v>4.8792270531400964E-2</v>
      </c>
    </row>
    <row r="6853" spans="1:7" x14ac:dyDescent="0.3">
      <c r="A6853" s="24">
        <v>41731</v>
      </c>
      <c r="B6853" s="66">
        <v>1183.0160280406105</v>
      </c>
      <c r="C6853" s="66">
        <v>935</v>
      </c>
      <c r="D6853" s="70">
        <v>0</v>
      </c>
      <c r="E6853" s="111">
        <f t="shared" si="110"/>
        <v>138710</v>
      </c>
      <c r="F6853" s="69">
        <v>4.5424530919758593E-2</v>
      </c>
      <c r="G6853" s="69">
        <v>4.9268292682926831E-2</v>
      </c>
    </row>
    <row r="6854" spans="1:7" x14ac:dyDescent="0.3">
      <c r="A6854" s="24">
        <v>41732</v>
      </c>
      <c r="B6854" s="66">
        <v>1183.0160280406105</v>
      </c>
      <c r="C6854" s="66">
        <v>935</v>
      </c>
      <c r="D6854" s="70">
        <v>0</v>
      </c>
      <c r="E6854" s="111">
        <f t="shared" si="110"/>
        <v>138710</v>
      </c>
      <c r="F6854" s="69">
        <v>4.5424530919758593E-2</v>
      </c>
      <c r="G6854" s="69">
        <v>4.9029126213592233E-2</v>
      </c>
    </row>
    <row r="6855" spans="1:7" x14ac:dyDescent="0.3">
      <c r="A6855" s="24">
        <v>41733</v>
      </c>
      <c r="B6855" s="66">
        <v>1183.0160280406105</v>
      </c>
      <c r="C6855" s="66">
        <v>930</v>
      </c>
      <c r="D6855" s="70">
        <v>0</v>
      </c>
      <c r="E6855" s="111">
        <f t="shared" si="110"/>
        <v>138710</v>
      </c>
      <c r="F6855" s="69">
        <v>4.5424530919758593E-2</v>
      </c>
      <c r="G6855" s="69">
        <v>4.9029126213592233E-2</v>
      </c>
    </row>
    <row r="6856" spans="1:7" x14ac:dyDescent="0.3">
      <c r="A6856" s="24">
        <v>41734</v>
      </c>
      <c r="B6856" s="66">
        <v>1183.0160280406105</v>
      </c>
      <c r="C6856" s="66">
        <v>930</v>
      </c>
      <c r="D6856" s="70">
        <v>0</v>
      </c>
      <c r="E6856" s="111">
        <f t="shared" si="110"/>
        <v>138710</v>
      </c>
      <c r="F6856" s="69">
        <v>4.5424530919758593E-2</v>
      </c>
      <c r="G6856" s="69">
        <v>4.9029126213592233E-2</v>
      </c>
    </row>
    <row r="6857" spans="1:7" x14ac:dyDescent="0.3">
      <c r="A6857" s="24">
        <v>41735</v>
      </c>
      <c r="B6857" s="66">
        <v>1183.0160280406105</v>
      </c>
      <c r="C6857" s="66">
        <v>930</v>
      </c>
      <c r="D6857" s="70">
        <v>0</v>
      </c>
      <c r="E6857" s="111">
        <f t="shared" ref="E6857:E6920" si="111">+E6856</f>
        <v>138710</v>
      </c>
      <c r="F6857" s="69">
        <v>4.5424530919758593E-2</v>
      </c>
      <c r="G6857" s="69">
        <v>4.9029126213592233E-2</v>
      </c>
    </row>
    <row r="6858" spans="1:7" x14ac:dyDescent="0.3">
      <c r="A6858" s="24">
        <v>41736</v>
      </c>
      <c r="B6858" s="66">
        <v>1183.0160280406105</v>
      </c>
      <c r="C6858" s="66">
        <v>930</v>
      </c>
      <c r="D6858" s="70">
        <v>0</v>
      </c>
      <c r="E6858" s="111">
        <f t="shared" si="111"/>
        <v>138710</v>
      </c>
      <c r="F6858" s="69">
        <v>4.5424530919758593E-2</v>
      </c>
      <c r="G6858" s="69">
        <v>4.9029126213592233E-2</v>
      </c>
    </row>
    <row r="6859" spans="1:7" x14ac:dyDescent="0.3">
      <c r="A6859" s="24">
        <v>41737</v>
      </c>
      <c r="B6859" s="66">
        <v>1183.0160280406105</v>
      </c>
      <c r="C6859" s="66">
        <v>930</v>
      </c>
      <c r="D6859" s="70">
        <v>0</v>
      </c>
      <c r="E6859" s="111">
        <f t="shared" si="111"/>
        <v>138710</v>
      </c>
      <c r="F6859" s="69">
        <v>4.5424530919758593E-2</v>
      </c>
      <c r="G6859" s="69">
        <v>4.9029126213592233E-2</v>
      </c>
    </row>
    <row r="6860" spans="1:7" x14ac:dyDescent="0.3">
      <c r="A6860" s="24">
        <v>41738</v>
      </c>
      <c r="B6860" s="66">
        <v>1183.0160280406105</v>
      </c>
      <c r="C6860" s="66">
        <v>925</v>
      </c>
      <c r="D6860" s="70">
        <v>0</v>
      </c>
      <c r="E6860" s="111">
        <f t="shared" si="111"/>
        <v>138710</v>
      </c>
      <c r="F6860" s="69">
        <v>4.5424530919758593E-2</v>
      </c>
      <c r="G6860" s="69">
        <v>4.9029126213592233E-2</v>
      </c>
    </row>
    <row r="6861" spans="1:7" x14ac:dyDescent="0.3">
      <c r="A6861" s="24">
        <v>41739</v>
      </c>
      <c r="B6861" s="66">
        <v>1183.0160280406105</v>
      </c>
      <c r="C6861" s="66">
        <v>925</v>
      </c>
      <c r="D6861" s="70">
        <v>0</v>
      </c>
      <c r="E6861" s="111">
        <f t="shared" si="111"/>
        <v>138710</v>
      </c>
      <c r="F6861" s="69">
        <v>4.5424530919758593E-2</v>
      </c>
      <c r="G6861" s="69">
        <v>4.9029126213592233E-2</v>
      </c>
    </row>
    <row r="6862" spans="1:7" x14ac:dyDescent="0.3">
      <c r="A6862" s="24">
        <v>41740</v>
      </c>
      <c r="B6862" s="66">
        <v>1183.0160280406105</v>
      </c>
      <c r="C6862" s="66">
        <v>925</v>
      </c>
      <c r="D6862" s="70">
        <v>0</v>
      </c>
      <c r="E6862" s="111">
        <f t="shared" si="111"/>
        <v>138710</v>
      </c>
      <c r="F6862" s="69">
        <v>4.5424530919758593E-2</v>
      </c>
      <c r="G6862" s="69">
        <v>4.9029126213592233E-2</v>
      </c>
    </row>
    <row r="6863" spans="1:7" x14ac:dyDescent="0.3">
      <c r="A6863" s="24">
        <v>41741</v>
      </c>
      <c r="B6863" s="66">
        <v>1183.0160280406105</v>
      </c>
      <c r="C6863" s="66">
        <v>925</v>
      </c>
      <c r="D6863" s="70">
        <v>0</v>
      </c>
      <c r="E6863" s="111">
        <f t="shared" si="111"/>
        <v>138710</v>
      </c>
      <c r="F6863" s="69">
        <v>4.5424530919758593E-2</v>
      </c>
      <c r="G6863" s="69">
        <v>4.9029126213592233E-2</v>
      </c>
    </row>
    <row r="6864" spans="1:7" x14ac:dyDescent="0.3">
      <c r="A6864" s="24">
        <v>41742</v>
      </c>
      <c r="B6864" s="66">
        <v>1183.0160280406105</v>
      </c>
      <c r="C6864" s="66">
        <v>925</v>
      </c>
      <c r="D6864" s="70">
        <v>0</v>
      </c>
      <c r="E6864" s="111">
        <f t="shared" si="111"/>
        <v>138710</v>
      </c>
      <c r="F6864" s="69">
        <v>4.5424530919758593E-2</v>
      </c>
      <c r="G6864" s="69">
        <v>4.9029126213592233E-2</v>
      </c>
    </row>
    <row r="6865" spans="1:7" x14ac:dyDescent="0.3">
      <c r="A6865" s="24">
        <v>41743</v>
      </c>
      <c r="B6865" s="66">
        <v>1183.0160280406105</v>
      </c>
      <c r="C6865" s="66">
        <v>925</v>
      </c>
      <c r="D6865" s="70">
        <v>0</v>
      </c>
      <c r="E6865" s="111">
        <f t="shared" si="111"/>
        <v>138710</v>
      </c>
      <c r="F6865" s="69">
        <v>4.5424530919758593E-2</v>
      </c>
      <c r="G6865" s="69">
        <v>4.9029126213592233E-2</v>
      </c>
    </row>
    <row r="6866" spans="1:7" x14ac:dyDescent="0.3">
      <c r="A6866" s="24">
        <v>41744</v>
      </c>
      <c r="B6866" s="66">
        <v>1183.0160280406105</v>
      </c>
      <c r="C6866" s="66">
        <v>920</v>
      </c>
      <c r="D6866" s="70">
        <v>0</v>
      </c>
      <c r="E6866" s="111">
        <f t="shared" si="111"/>
        <v>138710</v>
      </c>
      <c r="F6866" s="69">
        <v>4.5424530919758593E-2</v>
      </c>
      <c r="G6866" s="69">
        <v>4.9029126213592233E-2</v>
      </c>
    </row>
    <row r="6867" spans="1:7" x14ac:dyDescent="0.3">
      <c r="A6867" s="24">
        <v>41745</v>
      </c>
      <c r="B6867" s="66">
        <v>1183.0160280406105</v>
      </c>
      <c r="C6867" s="66">
        <v>910</v>
      </c>
      <c r="D6867" s="70">
        <v>0</v>
      </c>
      <c r="E6867" s="111">
        <f t="shared" si="111"/>
        <v>138710</v>
      </c>
      <c r="F6867" s="69">
        <v>4.5424530919758593E-2</v>
      </c>
      <c r="G6867" s="69">
        <v>4.9029126213592233E-2</v>
      </c>
    </row>
    <row r="6868" spans="1:7" x14ac:dyDescent="0.3">
      <c r="A6868" s="24">
        <v>41746</v>
      </c>
      <c r="B6868" s="66">
        <v>1183.0160280406105</v>
      </c>
      <c r="C6868" s="66">
        <v>910</v>
      </c>
      <c r="D6868" s="70">
        <v>0</v>
      </c>
      <c r="E6868" s="111">
        <f t="shared" si="111"/>
        <v>138710</v>
      </c>
      <c r="F6868" s="69">
        <v>4.5424530919758593E-2</v>
      </c>
      <c r="G6868" s="69">
        <v>4.9029126213592233E-2</v>
      </c>
    </row>
    <row r="6869" spans="1:7" x14ac:dyDescent="0.3">
      <c r="A6869" s="24">
        <v>41747</v>
      </c>
      <c r="B6869" s="66">
        <v>1183.0160280406105</v>
      </c>
      <c r="C6869" s="66">
        <v>910</v>
      </c>
      <c r="D6869" s="70">
        <v>0</v>
      </c>
      <c r="E6869" s="111">
        <f t="shared" si="111"/>
        <v>138710</v>
      </c>
      <c r="F6869" s="69">
        <v>4.5424530919758593E-2</v>
      </c>
      <c r="G6869" s="69">
        <v>4.9509803921568625E-2</v>
      </c>
    </row>
    <row r="6870" spans="1:7" x14ac:dyDescent="0.3">
      <c r="A6870" s="24">
        <v>41748</v>
      </c>
      <c r="B6870" s="66">
        <v>1183.0160280406105</v>
      </c>
      <c r="C6870" s="66">
        <v>910</v>
      </c>
      <c r="D6870" s="70">
        <v>0</v>
      </c>
      <c r="E6870" s="111">
        <f t="shared" si="111"/>
        <v>138710</v>
      </c>
      <c r="F6870" s="69">
        <v>4.5424530919758593E-2</v>
      </c>
      <c r="G6870" s="69">
        <v>4.9509803921568625E-2</v>
      </c>
    </row>
    <row r="6871" spans="1:7" x14ac:dyDescent="0.3">
      <c r="A6871" s="24">
        <v>41749</v>
      </c>
      <c r="B6871" s="66">
        <v>1183.0160280406105</v>
      </c>
      <c r="C6871" s="66">
        <v>910</v>
      </c>
      <c r="D6871" s="70">
        <v>0</v>
      </c>
      <c r="E6871" s="111">
        <f t="shared" si="111"/>
        <v>138710</v>
      </c>
      <c r="F6871" s="69">
        <v>4.5424530919758593E-2</v>
      </c>
      <c r="G6871" s="69">
        <v>4.9509803921568625E-2</v>
      </c>
    </row>
    <row r="6872" spans="1:7" x14ac:dyDescent="0.3">
      <c r="A6872" s="24">
        <v>41750</v>
      </c>
      <c r="B6872" s="66">
        <v>1183.0160280406105</v>
      </c>
      <c r="C6872" s="66">
        <v>910</v>
      </c>
      <c r="D6872" s="70">
        <v>0</v>
      </c>
      <c r="E6872" s="111">
        <f t="shared" si="111"/>
        <v>138710</v>
      </c>
      <c r="F6872" s="69">
        <v>4.5424530919758593E-2</v>
      </c>
      <c r="G6872" s="69">
        <v>4.9519513630123559E-2</v>
      </c>
    </row>
    <row r="6873" spans="1:7" x14ac:dyDescent="0.3">
      <c r="A6873" s="24">
        <v>41751</v>
      </c>
      <c r="B6873" s="66">
        <v>1183.0160280406105</v>
      </c>
      <c r="C6873" s="66">
        <v>910</v>
      </c>
      <c r="D6873" s="70">
        <v>0</v>
      </c>
      <c r="E6873" s="111">
        <f t="shared" si="111"/>
        <v>138710</v>
      </c>
      <c r="F6873" s="69">
        <v>4.5424530919758593E-2</v>
      </c>
      <c r="G6873" s="69">
        <v>4.9519513630123559E-2</v>
      </c>
    </row>
    <row r="6874" spans="1:7" x14ac:dyDescent="0.3">
      <c r="A6874" s="24">
        <v>41752</v>
      </c>
      <c r="B6874" s="66">
        <v>1183.0160280406105</v>
      </c>
      <c r="C6874" s="66">
        <v>890</v>
      </c>
      <c r="D6874" s="70">
        <v>0</v>
      </c>
      <c r="E6874" s="111">
        <f t="shared" si="111"/>
        <v>138710</v>
      </c>
      <c r="F6874" s="69">
        <v>4.5424530919758593E-2</v>
      </c>
      <c r="G6874" s="69">
        <v>4.9704724409448821E-2</v>
      </c>
    </row>
    <row r="6875" spans="1:7" x14ac:dyDescent="0.3">
      <c r="A6875" s="24">
        <v>41753</v>
      </c>
      <c r="B6875" s="66">
        <v>1183.0160280406105</v>
      </c>
      <c r="C6875" s="66">
        <v>890</v>
      </c>
      <c r="D6875" s="70">
        <v>0</v>
      </c>
      <c r="E6875" s="111">
        <f t="shared" si="111"/>
        <v>138710</v>
      </c>
      <c r="F6875" s="69">
        <v>4.5424530919758593E-2</v>
      </c>
      <c r="G6875" s="69">
        <v>4.9753694581280788E-2</v>
      </c>
    </row>
    <row r="6876" spans="1:7" x14ac:dyDescent="0.3">
      <c r="A6876" s="24">
        <v>41754</v>
      </c>
      <c r="B6876" s="66">
        <v>1183.0160280406105</v>
      </c>
      <c r="C6876" s="66">
        <v>890</v>
      </c>
      <c r="D6876" s="70">
        <v>0</v>
      </c>
      <c r="E6876" s="111">
        <f t="shared" si="111"/>
        <v>138710</v>
      </c>
      <c r="F6876" s="69">
        <v>4.5424530919758593E-2</v>
      </c>
      <c r="G6876" s="69">
        <v>4.9753694581280788E-2</v>
      </c>
    </row>
    <row r="6877" spans="1:7" x14ac:dyDescent="0.3">
      <c r="A6877" s="24">
        <v>41755</v>
      </c>
      <c r="B6877" s="66">
        <v>1183.0160280406105</v>
      </c>
      <c r="C6877" s="66">
        <v>890</v>
      </c>
      <c r="D6877" s="70">
        <v>0</v>
      </c>
      <c r="E6877" s="111">
        <f t="shared" si="111"/>
        <v>138710</v>
      </c>
      <c r="F6877" s="69">
        <v>4.5424530919758593E-2</v>
      </c>
      <c r="G6877" s="69">
        <v>4.9753694581280788E-2</v>
      </c>
    </row>
    <row r="6878" spans="1:7" x14ac:dyDescent="0.3">
      <c r="A6878" s="24">
        <v>41756</v>
      </c>
      <c r="B6878" s="66">
        <v>1183.0160280406105</v>
      </c>
      <c r="C6878" s="66">
        <v>890</v>
      </c>
      <c r="D6878" s="70">
        <v>0</v>
      </c>
      <c r="E6878" s="111">
        <f t="shared" si="111"/>
        <v>138710</v>
      </c>
      <c r="F6878" s="69">
        <v>4.5424530919758593E-2</v>
      </c>
      <c r="G6878" s="69">
        <v>4.9753694581280788E-2</v>
      </c>
    </row>
    <row r="6879" spans="1:7" x14ac:dyDescent="0.3">
      <c r="A6879" s="24">
        <v>41757</v>
      </c>
      <c r="B6879" s="66">
        <v>1183.0160280406105</v>
      </c>
      <c r="C6879" s="66">
        <v>900</v>
      </c>
      <c r="D6879" s="70">
        <v>0</v>
      </c>
      <c r="E6879" s="111">
        <f t="shared" si="111"/>
        <v>138710</v>
      </c>
      <c r="F6879" s="69">
        <v>4.5424530919758593E-2</v>
      </c>
      <c r="G6879" s="69">
        <v>4.9753694581280788E-2</v>
      </c>
    </row>
    <row r="6880" spans="1:7" x14ac:dyDescent="0.3">
      <c r="A6880" s="24">
        <v>41758</v>
      </c>
      <c r="B6880" s="66">
        <v>1183.0160280406105</v>
      </c>
      <c r="C6880" s="66">
        <v>918</v>
      </c>
      <c r="D6880" s="70">
        <v>0</v>
      </c>
      <c r="E6880" s="111">
        <f t="shared" si="111"/>
        <v>138710</v>
      </c>
      <c r="F6880" s="69">
        <v>4.5228136092088429E-2</v>
      </c>
      <c r="G6880" s="69">
        <v>4.9509803921568625E-2</v>
      </c>
    </row>
    <row r="6881" spans="1:7" x14ac:dyDescent="0.3">
      <c r="A6881" s="24">
        <v>41759</v>
      </c>
      <c r="B6881" s="66">
        <v>1222.1420130826366</v>
      </c>
      <c r="C6881" s="66">
        <v>918</v>
      </c>
      <c r="D6881" s="70">
        <v>0</v>
      </c>
      <c r="E6881" s="111">
        <f t="shared" si="111"/>
        <v>138710</v>
      </c>
      <c r="F6881" s="69">
        <v>4.5228136092088429E-2</v>
      </c>
      <c r="G6881" s="69">
        <v>4.9509803921568625E-2</v>
      </c>
    </row>
    <row r="6882" spans="1:7" x14ac:dyDescent="0.3">
      <c r="A6882" s="24">
        <v>41760</v>
      </c>
      <c r="B6882" s="66">
        <v>1222.1420130826366</v>
      </c>
      <c r="C6882" s="66">
        <v>918</v>
      </c>
      <c r="D6882" s="70">
        <v>0</v>
      </c>
      <c r="E6882" s="111">
        <f t="shared" si="111"/>
        <v>138710</v>
      </c>
      <c r="F6882" s="69">
        <v>4.5228136092088429E-2</v>
      </c>
      <c r="G6882" s="69">
        <v>4.9509803921568625E-2</v>
      </c>
    </row>
    <row r="6883" spans="1:7" x14ac:dyDescent="0.3">
      <c r="A6883" s="24">
        <v>41761</v>
      </c>
      <c r="B6883" s="66">
        <v>1222.1420130826366</v>
      </c>
      <c r="C6883" s="66">
        <v>906</v>
      </c>
      <c r="D6883" s="70">
        <v>0</v>
      </c>
      <c r="E6883" s="111">
        <f t="shared" si="111"/>
        <v>138710</v>
      </c>
      <c r="F6883" s="69">
        <v>4.5228136092088429E-2</v>
      </c>
      <c r="G6883" s="69">
        <v>4.9607072691552061E-2</v>
      </c>
    </row>
    <row r="6884" spans="1:7" x14ac:dyDescent="0.3">
      <c r="A6884" s="24">
        <v>41762</v>
      </c>
      <c r="B6884" s="66">
        <v>1222.1420130826366</v>
      </c>
      <c r="C6884" s="66">
        <v>906</v>
      </c>
      <c r="D6884" s="70">
        <v>0</v>
      </c>
      <c r="E6884" s="111">
        <f t="shared" si="111"/>
        <v>138710</v>
      </c>
      <c r="F6884" s="69">
        <v>4.5228136092088429E-2</v>
      </c>
      <c r="G6884" s="69">
        <v>4.9607072691552061E-2</v>
      </c>
    </row>
    <row r="6885" spans="1:7" x14ac:dyDescent="0.3">
      <c r="A6885" s="24">
        <v>41763</v>
      </c>
      <c r="B6885" s="66">
        <v>1222.1420130826366</v>
      </c>
      <c r="C6885" s="66">
        <v>906</v>
      </c>
      <c r="D6885" s="70">
        <v>0</v>
      </c>
      <c r="E6885" s="111">
        <f t="shared" si="111"/>
        <v>138710</v>
      </c>
      <c r="F6885" s="69">
        <v>4.5228136092088429E-2</v>
      </c>
      <c r="G6885" s="69">
        <v>4.9607072691552061E-2</v>
      </c>
    </row>
    <row r="6886" spans="1:7" x14ac:dyDescent="0.3">
      <c r="A6886" s="24">
        <v>41764</v>
      </c>
      <c r="B6886" s="66">
        <v>1222.1420130826366</v>
      </c>
      <c r="C6886" s="66">
        <v>905</v>
      </c>
      <c r="D6886" s="70">
        <v>0</v>
      </c>
      <c r="E6886" s="111">
        <f t="shared" si="111"/>
        <v>138710</v>
      </c>
      <c r="F6886" s="69">
        <v>4.5228136092088429E-2</v>
      </c>
      <c r="G6886" s="69">
        <v>4.9509803921568625E-2</v>
      </c>
    </row>
    <row r="6887" spans="1:7" x14ac:dyDescent="0.3">
      <c r="A6887" s="24">
        <v>41765</v>
      </c>
      <c r="B6887" s="66">
        <v>1222.1420130826366</v>
      </c>
      <c r="C6887" s="66">
        <v>905</v>
      </c>
      <c r="D6887" s="70">
        <v>0</v>
      </c>
      <c r="E6887" s="111">
        <f t="shared" si="111"/>
        <v>138710</v>
      </c>
      <c r="F6887" s="69">
        <v>4.5228136092088429E-2</v>
      </c>
      <c r="G6887" s="69">
        <v>4.9509803921568625E-2</v>
      </c>
    </row>
    <row r="6888" spans="1:7" x14ac:dyDescent="0.3">
      <c r="A6888" s="24">
        <v>41766</v>
      </c>
      <c r="B6888" s="66">
        <v>1222.1420130826366</v>
      </c>
      <c r="C6888" s="66">
        <v>905</v>
      </c>
      <c r="D6888" s="70">
        <v>0</v>
      </c>
      <c r="E6888" s="111">
        <f t="shared" si="111"/>
        <v>138710</v>
      </c>
      <c r="F6888" s="69">
        <v>4.5228136092088429E-2</v>
      </c>
      <c r="G6888" s="69">
        <v>4.9509803921568625E-2</v>
      </c>
    </row>
    <row r="6889" spans="1:7" x14ac:dyDescent="0.3">
      <c r="A6889" s="24">
        <v>41767</v>
      </c>
      <c r="B6889" s="66">
        <v>1222.1420130826366</v>
      </c>
      <c r="C6889" s="66">
        <v>910</v>
      </c>
      <c r="D6889" s="70">
        <v>0</v>
      </c>
      <c r="E6889" s="111">
        <f t="shared" si="111"/>
        <v>138710</v>
      </c>
      <c r="F6889" s="69">
        <v>4.5228136092088429E-2</v>
      </c>
      <c r="G6889" s="69">
        <v>4.9509803921568625E-2</v>
      </c>
    </row>
    <row r="6890" spans="1:7" x14ac:dyDescent="0.3">
      <c r="A6890" s="24">
        <v>41768</v>
      </c>
      <c r="B6890" s="66">
        <v>1222.1420130826366</v>
      </c>
      <c r="C6890" s="66">
        <v>910</v>
      </c>
      <c r="D6890" s="70">
        <v>0</v>
      </c>
      <c r="E6890" s="111">
        <f t="shared" si="111"/>
        <v>138710</v>
      </c>
      <c r="F6890" s="69">
        <v>4.5228136092088429E-2</v>
      </c>
      <c r="G6890" s="69">
        <v>4.9268292682926831E-2</v>
      </c>
    </row>
    <row r="6891" spans="1:7" x14ac:dyDescent="0.3">
      <c r="A6891" s="24">
        <v>41769</v>
      </c>
      <c r="B6891" s="66">
        <v>1222.1420130826366</v>
      </c>
      <c r="C6891" s="66">
        <v>910</v>
      </c>
      <c r="D6891" s="70">
        <v>0</v>
      </c>
      <c r="E6891" s="111">
        <f t="shared" si="111"/>
        <v>138710</v>
      </c>
      <c r="F6891" s="69">
        <v>4.5228136092088429E-2</v>
      </c>
      <c r="G6891" s="69">
        <v>4.9268292682926831E-2</v>
      </c>
    </row>
    <row r="6892" spans="1:7" x14ac:dyDescent="0.3">
      <c r="A6892" s="24">
        <v>41770</v>
      </c>
      <c r="B6892" s="66">
        <v>1222.1420130826366</v>
      </c>
      <c r="C6892" s="66">
        <v>910</v>
      </c>
      <c r="D6892" s="70">
        <v>0</v>
      </c>
      <c r="E6892" s="111">
        <f t="shared" si="111"/>
        <v>138710</v>
      </c>
      <c r="F6892" s="69">
        <v>4.5228136092088429E-2</v>
      </c>
      <c r="G6892" s="69">
        <v>4.9268292682926831E-2</v>
      </c>
    </row>
    <row r="6893" spans="1:7" x14ac:dyDescent="0.3">
      <c r="A6893" s="24">
        <v>41771</v>
      </c>
      <c r="B6893" s="66">
        <v>1222.1420130826366</v>
      </c>
      <c r="C6893" s="66">
        <v>910</v>
      </c>
      <c r="D6893" s="70">
        <v>0</v>
      </c>
      <c r="E6893" s="111">
        <f t="shared" si="111"/>
        <v>138710</v>
      </c>
      <c r="F6893" s="69">
        <v>4.5228136092088429E-2</v>
      </c>
      <c r="G6893" s="69">
        <v>0.05</v>
      </c>
    </row>
    <row r="6894" spans="1:7" x14ac:dyDescent="0.3">
      <c r="A6894" s="24">
        <v>41772</v>
      </c>
      <c r="B6894" s="66">
        <v>1222.1420130826366</v>
      </c>
      <c r="C6894" s="66">
        <v>907</v>
      </c>
      <c r="D6894" s="70">
        <v>0</v>
      </c>
      <c r="E6894" s="111">
        <f t="shared" si="111"/>
        <v>138710</v>
      </c>
      <c r="F6894" s="69">
        <v>4.5228136092088429E-2</v>
      </c>
      <c r="G6894" s="69">
        <v>0.05</v>
      </c>
    </row>
    <row r="6895" spans="1:7" x14ac:dyDescent="0.3">
      <c r="A6895" s="24">
        <v>41773</v>
      </c>
      <c r="B6895" s="66">
        <v>1222.1420130826366</v>
      </c>
      <c r="C6895" s="66">
        <v>910</v>
      </c>
      <c r="D6895" s="70">
        <v>0</v>
      </c>
      <c r="E6895" s="111">
        <f t="shared" si="111"/>
        <v>138710</v>
      </c>
      <c r="F6895" s="69">
        <v>4.5228136092088429E-2</v>
      </c>
      <c r="G6895" s="69">
        <v>0.05</v>
      </c>
    </row>
    <row r="6896" spans="1:7" x14ac:dyDescent="0.3">
      <c r="A6896" s="24">
        <v>41774</v>
      </c>
      <c r="B6896" s="66">
        <v>1222.1420130826366</v>
      </c>
      <c r="C6896" s="66">
        <v>910</v>
      </c>
      <c r="D6896" s="70">
        <v>0</v>
      </c>
      <c r="E6896" s="111">
        <f t="shared" si="111"/>
        <v>138710</v>
      </c>
      <c r="F6896" s="69">
        <v>4.5228136092088429E-2</v>
      </c>
      <c r="G6896" s="69">
        <v>0.05</v>
      </c>
    </row>
    <row r="6897" spans="1:7" x14ac:dyDescent="0.3">
      <c r="A6897" s="24">
        <v>41775</v>
      </c>
      <c r="B6897" s="66">
        <v>1222.1420130826366</v>
      </c>
      <c r="C6897" s="66">
        <v>910</v>
      </c>
      <c r="D6897" s="70">
        <v>0</v>
      </c>
      <c r="E6897" s="111">
        <f t="shared" si="111"/>
        <v>138710</v>
      </c>
      <c r="F6897" s="69">
        <v>4.5228136092088429E-2</v>
      </c>
      <c r="G6897" s="69">
        <v>5.0000049504999505E-2</v>
      </c>
    </row>
    <row r="6898" spans="1:7" x14ac:dyDescent="0.3">
      <c r="A6898" s="24">
        <v>41776</v>
      </c>
      <c r="B6898" s="66">
        <v>1222.1420130826366</v>
      </c>
      <c r="C6898" s="66">
        <v>910</v>
      </c>
      <c r="D6898" s="70">
        <v>0</v>
      </c>
      <c r="E6898" s="111">
        <f t="shared" si="111"/>
        <v>138710</v>
      </c>
      <c r="F6898" s="69">
        <v>2.2837969709866433E-2</v>
      </c>
      <c r="G6898" s="69">
        <v>2.5247549750049256E-2</v>
      </c>
    </row>
    <row r="6899" spans="1:7" x14ac:dyDescent="0.3">
      <c r="A6899" s="24">
        <v>41777</v>
      </c>
      <c r="B6899" s="66">
        <v>1222.1420130826366</v>
      </c>
      <c r="C6899" s="66">
        <v>910</v>
      </c>
      <c r="D6899" s="70">
        <v>0</v>
      </c>
      <c r="E6899" s="111">
        <f t="shared" si="111"/>
        <v>138710</v>
      </c>
      <c r="F6899" s="69">
        <v>2.2837969709866433E-2</v>
      </c>
      <c r="G6899" s="69">
        <v>2.5247549750049256E-2</v>
      </c>
    </row>
    <row r="6900" spans="1:7" x14ac:dyDescent="0.3">
      <c r="A6900" s="24">
        <v>41778</v>
      </c>
      <c r="B6900" s="66">
        <v>1222.1420130826366</v>
      </c>
      <c r="C6900" s="66">
        <v>910</v>
      </c>
      <c r="D6900" s="70">
        <v>0</v>
      </c>
      <c r="E6900" s="111">
        <f t="shared" si="111"/>
        <v>138710</v>
      </c>
      <c r="F6900" s="69">
        <v>2.2837969709866433E-2</v>
      </c>
      <c r="G6900" s="69">
        <v>2.5297619047619048E-2</v>
      </c>
    </row>
    <row r="6901" spans="1:7" x14ac:dyDescent="0.3">
      <c r="A6901" s="24">
        <v>41779</v>
      </c>
      <c r="B6901" s="66">
        <v>1222.1420130826366</v>
      </c>
      <c r="C6901" s="66">
        <v>910</v>
      </c>
      <c r="D6901" s="70">
        <v>0</v>
      </c>
      <c r="E6901" s="111">
        <f t="shared" si="111"/>
        <v>138710</v>
      </c>
      <c r="F6901" s="69">
        <v>2.2837969709866433E-2</v>
      </c>
      <c r="G6901" s="69">
        <v>2.5297619047619048E-2</v>
      </c>
    </row>
    <row r="6902" spans="1:7" x14ac:dyDescent="0.3">
      <c r="A6902" s="24">
        <v>41780</v>
      </c>
      <c r="B6902" s="66">
        <v>1222.1420130826366</v>
      </c>
      <c r="C6902" s="66">
        <v>910</v>
      </c>
      <c r="D6902" s="70">
        <v>0</v>
      </c>
      <c r="E6902" s="111">
        <f t="shared" si="111"/>
        <v>138710</v>
      </c>
      <c r="F6902" s="69">
        <v>2.2837969709866433E-2</v>
      </c>
      <c r="G6902" s="69">
        <v>2.5499999999999998E-2</v>
      </c>
    </row>
    <row r="6903" spans="1:7" x14ac:dyDescent="0.3">
      <c r="A6903" s="24">
        <v>41781</v>
      </c>
      <c r="B6903" s="66">
        <v>1222.1420130826366</v>
      </c>
      <c r="C6903" s="66">
        <v>907.5</v>
      </c>
      <c r="D6903" s="70">
        <v>0</v>
      </c>
      <c r="E6903" s="111">
        <f t="shared" si="111"/>
        <v>138710</v>
      </c>
      <c r="F6903" s="69">
        <v>2.2837969709866433E-2</v>
      </c>
      <c r="G6903" s="69">
        <v>2.5499999999999998E-2</v>
      </c>
    </row>
    <row r="6904" spans="1:7" x14ac:dyDescent="0.3">
      <c r="A6904" s="24">
        <v>41782</v>
      </c>
      <c r="B6904" s="66">
        <v>1222.1420130826366</v>
      </c>
      <c r="C6904" s="66">
        <v>907.5</v>
      </c>
      <c r="D6904" s="70">
        <v>0</v>
      </c>
      <c r="E6904" s="111">
        <f t="shared" si="111"/>
        <v>138710</v>
      </c>
      <c r="F6904" s="69">
        <v>2.2837969709866433E-2</v>
      </c>
      <c r="G6904" s="69">
        <v>2.5499999999999998E-2</v>
      </c>
    </row>
    <row r="6905" spans="1:7" x14ac:dyDescent="0.3">
      <c r="A6905" s="24">
        <v>41783</v>
      </c>
      <c r="B6905" s="66">
        <v>1222.1420130826366</v>
      </c>
      <c r="C6905" s="66">
        <v>907.5</v>
      </c>
      <c r="D6905" s="70">
        <v>0</v>
      </c>
      <c r="E6905" s="111">
        <f t="shared" si="111"/>
        <v>138710</v>
      </c>
      <c r="F6905" s="69">
        <v>2.2837969709866433E-2</v>
      </c>
      <c r="G6905" s="69">
        <v>2.5499999999999998E-2</v>
      </c>
    </row>
    <row r="6906" spans="1:7" x14ac:dyDescent="0.3">
      <c r="A6906" s="24">
        <v>41784</v>
      </c>
      <c r="B6906" s="66">
        <v>1222.1420130826366</v>
      </c>
      <c r="C6906" s="66">
        <v>907.5</v>
      </c>
      <c r="D6906" s="70">
        <v>0</v>
      </c>
      <c r="E6906" s="111">
        <f t="shared" si="111"/>
        <v>138710</v>
      </c>
      <c r="F6906" s="69">
        <v>2.2837969709866433E-2</v>
      </c>
      <c r="G6906" s="69">
        <v>2.5499999999999998E-2</v>
      </c>
    </row>
    <row r="6907" spans="1:7" x14ac:dyDescent="0.3">
      <c r="A6907" s="24">
        <v>41785</v>
      </c>
      <c r="B6907" s="66">
        <v>1222.1420130826366</v>
      </c>
      <c r="C6907" s="66">
        <v>903</v>
      </c>
      <c r="D6907" s="70">
        <v>0</v>
      </c>
      <c r="E6907" s="111">
        <f t="shared" si="111"/>
        <v>138710</v>
      </c>
      <c r="F6907" s="69">
        <v>2.2837969709866433E-2</v>
      </c>
      <c r="G6907" s="69">
        <v>2.5499999999999998E-2</v>
      </c>
    </row>
    <row r="6908" spans="1:7" x14ac:dyDescent="0.3">
      <c r="A6908" s="24">
        <v>41786</v>
      </c>
      <c r="B6908" s="66">
        <v>1222.1420130826366</v>
      </c>
      <c r="C6908" s="66">
        <v>900</v>
      </c>
      <c r="D6908" s="70">
        <v>0</v>
      </c>
      <c r="E6908" s="111">
        <f t="shared" si="111"/>
        <v>138710</v>
      </c>
      <c r="F6908" s="69">
        <v>2.2837969709866433E-2</v>
      </c>
      <c r="G6908" s="69">
        <v>2.5499999999999998E-2</v>
      </c>
    </row>
    <row r="6909" spans="1:7" x14ac:dyDescent="0.3">
      <c r="A6909" s="24">
        <v>41787</v>
      </c>
      <c r="B6909" s="66">
        <v>1222.1420130826366</v>
      </c>
      <c r="C6909" s="66">
        <v>900</v>
      </c>
      <c r="D6909" s="70">
        <v>0</v>
      </c>
      <c r="E6909" s="111">
        <f t="shared" si="111"/>
        <v>138710</v>
      </c>
      <c r="F6909" s="69">
        <v>2.2837969709866433E-2</v>
      </c>
      <c r="G6909" s="69">
        <v>2.6020408163265306E-2</v>
      </c>
    </row>
    <row r="6910" spans="1:7" x14ac:dyDescent="0.3">
      <c r="A6910" s="24">
        <v>41788</v>
      </c>
      <c r="B6910" s="66">
        <v>1222.1420130826366</v>
      </c>
      <c r="C6910" s="66">
        <v>910</v>
      </c>
      <c r="D6910" s="70">
        <v>27.5</v>
      </c>
      <c r="E6910" s="111">
        <f t="shared" si="111"/>
        <v>138710</v>
      </c>
      <c r="F6910" s="69">
        <v>4.7467152730310623E-2</v>
      </c>
      <c r="G6910" s="69">
        <v>5.4081632653061228E-2</v>
      </c>
    </row>
    <row r="6911" spans="1:7" x14ac:dyDescent="0.3">
      <c r="A6911" s="24">
        <v>41789</v>
      </c>
      <c r="B6911" s="66">
        <v>1222.1420130826366</v>
      </c>
      <c r="C6911" s="66">
        <v>920</v>
      </c>
      <c r="D6911" s="70">
        <v>0</v>
      </c>
      <c r="E6911" s="111">
        <f t="shared" si="111"/>
        <v>138710</v>
      </c>
      <c r="F6911" s="69">
        <v>4.7949539280018313E-2</v>
      </c>
      <c r="G6911" s="69">
        <v>5.4081632653061228E-2</v>
      </c>
    </row>
    <row r="6912" spans="1:7" x14ac:dyDescent="0.3">
      <c r="A6912" s="24">
        <v>41790</v>
      </c>
      <c r="B6912" s="66">
        <v>1222.1420130826366</v>
      </c>
      <c r="C6912" s="66">
        <v>920</v>
      </c>
      <c r="D6912" s="70">
        <v>0</v>
      </c>
      <c r="E6912" s="111">
        <f t="shared" si="111"/>
        <v>138710</v>
      </c>
      <c r="F6912" s="69">
        <v>4.7949539280018313E-2</v>
      </c>
      <c r="G6912" s="69">
        <v>5.4081632653061228E-2</v>
      </c>
    </row>
    <row r="6913" spans="1:7" x14ac:dyDescent="0.3">
      <c r="A6913" s="24">
        <v>41791</v>
      </c>
      <c r="B6913" s="66">
        <v>1222.1420130826366</v>
      </c>
      <c r="C6913" s="66">
        <v>920</v>
      </c>
      <c r="D6913" s="70">
        <v>0</v>
      </c>
      <c r="E6913" s="111">
        <f t="shared" si="111"/>
        <v>138710</v>
      </c>
      <c r="F6913" s="69">
        <v>4.7949539280018313E-2</v>
      </c>
      <c r="G6913" s="69">
        <v>5.4081632653061228E-2</v>
      </c>
    </row>
    <row r="6914" spans="1:7" x14ac:dyDescent="0.3">
      <c r="A6914" s="24">
        <v>41792</v>
      </c>
      <c r="B6914" s="66">
        <v>1222.1420130826366</v>
      </c>
      <c r="C6914" s="66">
        <v>920</v>
      </c>
      <c r="D6914" s="70">
        <v>0</v>
      </c>
      <c r="E6914" s="111">
        <f t="shared" si="111"/>
        <v>138710</v>
      </c>
      <c r="F6914" s="69">
        <v>4.7949539280018313E-2</v>
      </c>
      <c r="G6914" s="69">
        <v>5.4081632653061228E-2</v>
      </c>
    </row>
    <row r="6915" spans="1:7" x14ac:dyDescent="0.3">
      <c r="A6915" s="24">
        <v>41793</v>
      </c>
      <c r="B6915" s="66">
        <v>1222.1420130826366</v>
      </c>
      <c r="C6915" s="66">
        <v>910</v>
      </c>
      <c r="D6915" s="70">
        <v>0</v>
      </c>
      <c r="E6915" s="111">
        <f t="shared" si="111"/>
        <v>138710</v>
      </c>
      <c r="F6915" s="69">
        <v>4.7949539280018313E-2</v>
      </c>
      <c r="G6915" s="69">
        <v>5.4081632653061228E-2</v>
      </c>
    </row>
    <row r="6916" spans="1:7" x14ac:dyDescent="0.3">
      <c r="A6916" s="24">
        <v>41794</v>
      </c>
      <c r="B6916" s="66">
        <v>1222.1420130826366</v>
      </c>
      <c r="C6916" s="66">
        <v>915</v>
      </c>
      <c r="D6916" s="70">
        <v>0</v>
      </c>
      <c r="E6916" s="111">
        <f t="shared" si="111"/>
        <v>138710</v>
      </c>
      <c r="F6916" s="69">
        <v>4.7949539280018313E-2</v>
      </c>
      <c r="G6916" s="69">
        <v>5.4087151750178593E-2</v>
      </c>
    </row>
    <row r="6917" spans="1:7" x14ac:dyDescent="0.3">
      <c r="A6917" s="24">
        <v>41795</v>
      </c>
      <c r="B6917" s="66">
        <v>1222.1420130826366</v>
      </c>
      <c r="C6917" s="66">
        <v>910</v>
      </c>
      <c r="D6917" s="70">
        <v>0</v>
      </c>
      <c r="E6917" s="111">
        <f t="shared" si="111"/>
        <v>138710</v>
      </c>
      <c r="F6917" s="69">
        <v>4.7949539280018313E-2</v>
      </c>
      <c r="G6917" s="69">
        <v>5.4087151750178593E-2</v>
      </c>
    </row>
    <row r="6918" spans="1:7" x14ac:dyDescent="0.3">
      <c r="A6918" s="24">
        <v>41796</v>
      </c>
      <c r="B6918" s="66">
        <v>1237.2280000000001</v>
      </c>
      <c r="C6918" s="66">
        <v>915</v>
      </c>
      <c r="D6918" s="70">
        <v>0</v>
      </c>
      <c r="E6918" s="111">
        <f t="shared" si="111"/>
        <v>138710</v>
      </c>
      <c r="F6918" s="69">
        <v>4.7949539280018313E-2</v>
      </c>
      <c r="G6918" s="69">
        <v>5.5789473684210528E-2</v>
      </c>
    </row>
    <row r="6919" spans="1:7" x14ac:dyDescent="0.3">
      <c r="A6919" s="24">
        <v>41797</v>
      </c>
      <c r="B6919" s="66">
        <v>1237.2280000000001</v>
      </c>
      <c r="C6919" s="66">
        <v>915</v>
      </c>
      <c r="D6919" s="70">
        <v>0</v>
      </c>
      <c r="E6919" s="111">
        <f t="shared" si="111"/>
        <v>138710</v>
      </c>
      <c r="F6919" s="69">
        <v>4.7949539280018313E-2</v>
      </c>
      <c r="G6919" s="69">
        <v>5.5789473684210528E-2</v>
      </c>
    </row>
    <row r="6920" spans="1:7" x14ac:dyDescent="0.3">
      <c r="A6920" s="24">
        <v>41798</v>
      </c>
      <c r="B6920" s="66">
        <v>1237.2280000000001</v>
      </c>
      <c r="C6920" s="66">
        <v>915</v>
      </c>
      <c r="D6920" s="70">
        <v>0</v>
      </c>
      <c r="E6920" s="111">
        <f t="shared" si="111"/>
        <v>138710</v>
      </c>
      <c r="F6920" s="69">
        <v>4.7949539280018313E-2</v>
      </c>
      <c r="G6920" s="69">
        <v>5.5789473684210528E-2</v>
      </c>
    </row>
    <row r="6921" spans="1:7" x14ac:dyDescent="0.3">
      <c r="A6921" s="24">
        <v>41799</v>
      </c>
      <c r="B6921" s="66">
        <v>1237.2280000000001</v>
      </c>
      <c r="C6921" s="66">
        <v>915</v>
      </c>
      <c r="D6921" s="70">
        <v>0</v>
      </c>
      <c r="E6921" s="111">
        <f t="shared" ref="E6921:E6984" si="112">+E6920</f>
        <v>138710</v>
      </c>
      <c r="F6921" s="69">
        <v>4.7949539280018313E-2</v>
      </c>
      <c r="G6921" s="69">
        <v>5.6989247311827959E-2</v>
      </c>
    </row>
    <row r="6922" spans="1:7" x14ac:dyDescent="0.3">
      <c r="A6922" s="24">
        <v>41800</v>
      </c>
      <c r="B6922" s="66">
        <v>1237.2280000000001</v>
      </c>
      <c r="C6922" s="66">
        <v>915</v>
      </c>
      <c r="D6922" s="70">
        <v>0</v>
      </c>
      <c r="E6922" s="111">
        <f t="shared" si="112"/>
        <v>138710</v>
      </c>
      <c r="F6922" s="69">
        <v>4.7949539280018313E-2</v>
      </c>
      <c r="G6922" s="69">
        <v>5.6989247311827959E-2</v>
      </c>
    </row>
    <row r="6923" spans="1:7" x14ac:dyDescent="0.3">
      <c r="A6923" s="24">
        <v>41801</v>
      </c>
      <c r="B6923" s="66">
        <v>1237.2280000000001</v>
      </c>
      <c r="C6923" s="66">
        <v>910</v>
      </c>
      <c r="D6923" s="70">
        <v>0</v>
      </c>
      <c r="E6923" s="111">
        <f t="shared" si="112"/>
        <v>138710</v>
      </c>
      <c r="F6923" s="69">
        <v>4.7949539280018313E-2</v>
      </c>
      <c r="G6923" s="69">
        <v>5.7608695652173914E-2</v>
      </c>
    </row>
    <row r="6924" spans="1:7" x14ac:dyDescent="0.3">
      <c r="A6924" s="24">
        <v>41802</v>
      </c>
      <c r="B6924" s="66">
        <v>1237.2280000000001</v>
      </c>
      <c r="C6924" s="66">
        <v>910</v>
      </c>
      <c r="D6924" s="70">
        <v>0</v>
      </c>
      <c r="E6924" s="111">
        <f t="shared" si="112"/>
        <v>138710</v>
      </c>
      <c r="F6924" s="69">
        <v>4.7949539280018313E-2</v>
      </c>
      <c r="G6924" s="69">
        <v>5.7608695652173914E-2</v>
      </c>
    </row>
    <row r="6925" spans="1:7" x14ac:dyDescent="0.3">
      <c r="A6925" s="24">
        <v>41803</v>
      </c>
      <c r="B6925" s="66">
        <v>1237.2280000000001</v>
      </c>
      <c r="C6925" s="66">
        <v>900</v>
      </c>
      <c r="D6925" s="70">
        <v>0</v>
      </c>
      <c r="E6925" s="111">
        <f t="shared" si="112"/>
        <v>138710</v>
      </c>
      <c r="F6925" s="69">
        <v>4.7949539280018313E-2</v>
      </c>
      <c r="G6925" s="69">
        <v>5.8888888888888886E-2</v>
      </c>
    </row>
    <row r="6926" spans="1:7" x14ac:dyDescent="0.3">
      <c r="A6926" s="24">
        <v>41804</v>
      </c>
      <c r="B6926" s="66">
        <v>1237.2280000000001</v>
      </c>
      <c r="C6926" s="66">
        <v>900</v>
      </c>
      <c r="D6926" s="70">
        <v>0</v>
      </c>
      <c r="E6926" s="111">
        <f t="shared" si="112"/>
        <v>138710</v>
      </c>
      <c r="F6926" s="69">
        <v>4.7949539280018313E-2</v>
      </c>
      <c r="G6926" s="69">
        <v>5.8888888888888886E-2</v>
      </c>
    </row>
    <row r="6927" spans="1:7" x14ac:dyDescent="0.3">
      <c r="A6927" s="24">
        <v>41805</v>
      </c>
      <c r="B6927" s="66">
        <v>1237.2280000000001</v>
      </c>
      <c r="C6927" s="66">
        <v>900</v>
      </c>
      <c r="D6927" s="70">
        <v>0</v>
      </c>
      <c r="E6927" s="111">
        <f t="shared" si="112"/>
        <v>138710</v>
      </c>
      <c r="F6927" s="69">
        <v>4.7949539280018313E-2</v>
      </c>
      <c r="G6927" s="69">
        <v>5.8888888888888886E-2</v>
      </c>
    </row>
    <row r="6928" spans="1:7" x14ac:dyDescent="0.3">
      <c r="A6928" s="24">
        <v>41806</v>
      </c>
      <c r="B6928" s="66">
        <v>1237.2280000000001</v>
      </c>
      <c r="C6928" s="66">
        <v>900</v>
      </c>
      <c r="D6928" s="70">
        <v>0</v>
      </c>
      <c r="E6928" s="111">
        <f t="shared" si="112"/>
        <v>138710</v>
      </c>
      <c r="F6928" s="69">
        <v>4.7949539280018313E-2</v>
      </c>
      <c r="G6928" s="69">
        <v>5.8888234575171387E-2</v>
      </c>
    </row>
    <row r="6929" spans="1:7" x14ac:dyDescent="0.3">
      <c r="A6929" s="24">
        <v>41807</v>
      </c>
      <c r="B6929" s="66">
        <v>1237.2280000000001</v>
      </c>
      <c r="C6929" s="66">
        <v>900</v>
      </c>
      <c r="D6929" s="70">
        <v>0</v>
      </c>
      <c r="E6929" s="111">
        <f t="shared" si="112"/>
        <v>138710</v>
      </c>
      <c r="F6929" s="69">
        <v>4.7949539280018313E-2</v>
      </c>
      <c r="G6929" s="69">
        <v>5.8241758241758243E-2</v>
      </c>
    </row>
    <row r="6930" spans="1:7" x14ac:dyDescent="0.3">
      <c r="A6930" s="24">
        <v>41808</v>
      </c>
      <c r="B6930" s="66">
        <v>1237.2280000000001</v>
      </c>
      <c r="C6930" s="66">
        <v>900</v>
      </c>
      <c r="D6930" s="70">
        <v>0</v>
      </c>
      <c r="E6930" s="111">
        <f t="shared" si="112"/>
        <v>138710</v>
      </c>
      <c r="F6930" s="69">
        <v>4.7949539280018313E-2</v>
      </c>
      <c r="G6930" s="69">
        <v>5.8241758241758243E-2</v>
      </c>
    </row>
    <row r="6931" spans="1:7" x14ac:dyDescent="0.3">
      <c r="A6931" s="24">
        <v>41809</v>
      </c>
      <c r="B6931" s="66">
        <v>1237.2280000000001</v>
      </c>
      <c r="C6931" s="66">
        <v>900</v>
      </c>
      <c r="D6931" s="70">
        <v>0</v>
      </c>
      <c r="E6931" s="111">
        <f t="shared" si="112"/>
        <v>138710</v>
      </c>
      <c r="F6931" s="69">
        <v>4.7949539280018313E-2</v>
      </c>
      <c r="G6931" s="69">
        <v>5.8888888888888886E-2</v>
      </c>
    </row>
    <row r="6932" spans="1:7" x14ac:dyDescent="0.3">
      <c r="A6932" s="24">
        <v>41810</v>
      </c>
      <c r="B6932" s="66">
        <v>1237.2280000000001</v>
      </c>
      <c r="C6932" s="66">
        <v>900</v>
      </c>
      <c r="D6932" s="70">
        <v>0</v>
      </c>
      <c r="E6932" s="111">
        <f t="shared" si="112"/>
        <v>138710</v>
      </c>
      <c r="F6932" s="69">
        <v>4.7949539280018313E-2</v>
      </c>
      <c r="G6932" s="69">
        <v>5.8888888888888886E-2</v>
      </c>
    </row>
    <row r="6933" spans="1:7" x14ac:dyDescent="0.3">
      <c r="A6933" s="24">
        <v>41811</v>
      </c>
      <c r="B6933" s="66">
        <v>1237.2280000000001</v>
      </c>
      <c r="C6933" s="66">
        <v>900</v>
      </c>
      <c r="D6933" s="70">
        <v>0</v>
      </c>
      <c r="E6933" s="111">
        <f t="shared" si="112"/>
        <v>138710</v>
      </c>
      <c r="F6933" s="69">
        <v>4.7949539280018313E-2</v>
      </c>
      <c r="G6933" s="69">
        <v>5.8888888888888886E-2</v>
      </c>
    </row>
    <row r="6934" spans="1:7" x14ac:dyDescent="0.3">
      <c r="A6934" s="24">
        <v>41812</v>
      </c>
      <c r="B6934" s="66">
        <v>1237.2280000000001</v>
      </c>
      <c r="C6934" s="66">
        <v>900</v>
      </c>
      <c r="D6934" s="70">
        <v>0</v>
      </c>
      <c r="E6934" s="111">
        <f t="shared" si="112"/>
        <v>138710</v>
      </c>
      <c r="F6934" s="69">
        <v>4.7949539280018313E-2</v>
      </c>
      <c r="G6934" s="69">
        <v>5.8888888888888886E-2</v>
      </c>
    </row>
    <row r="6935" spans="1:7" x14ac:dyDescent="0.3">
      <c r="A6935" s="24">
        <v>41813</v>
      </c>
      <c r="B6935" s="66">
        <v>1237.2280000000001</v>
      </c>
      <c r="C6935" s="66">
        <v>900</v>
      </c>
      <c r="D6935" s="70">
        <v>0</v>
      </c>
      <c r="E6935" s="111">
        <f t="shared" si="112"/>
        <v>138710</v>
      </c>
      <c r="F6935" s="69">
        <v>4.7949539280018313E-2</v>
      </c>
      <c r="G6935" s="69">
        <v>5.955056179775281E-2</v>
      </c>
    </row>
    <row r="6936" spans="1:7" x14ac:dyDescent="0.3">
      <c r="A6936" s="24">
        <v>41814</v>
      </c>
      <c r="B6936" s="66">
        <v>1237.2280000000001</v>
      </c>
      <c r="C6936" s="66">
        <v>900</v>
      </c>
      <c r="D6936" s="70">
        <v>0</v>
      </c>
      <c r="E6936" s="111">
        <f t="shared" si="112"/>
        <v>138710</v>
      </c>
      <c r="F6936" s="69">
        <v>4.7949539280018313E-2</v>
      </c>
      <c r="G6936" s="69">
        <v>5.9217877094972067E-2</v>
      </c>
    </row>
    <row r="6937" spans="1:7" x14ac:dyDescent="0.3">
      <c r="A6937" s="24">
        <v>41815</v>
      </c>
      <c r="B6937" s="66">
        <v>1237.2280000000001</v>
      </c>
      <c r="C6937" s="66">
        <v>900</v>
      </c>
      <c r="D6937" s="70">
        <v>0</v>
      </c>
      <c r="E6937" s="111">
        <f t="shared" si="112"/>
        <v>138710</v>
      </c>
      <c r="F6937" s="69">
        <v>4.7949539280018313E-2</v>
      </c>
      <c r="G6937" s="69">
        <v>5.8888888888888886E-2</v>
      </c>
    </row>
    <row r="6938" spans="1:7" x14ac:dyDescent="0.3">
      <c r="A6938" s="24">
        <v>41816</v>
      </c>
      <c r="B6938" s="66">
        <v>1237.2280000000001</v>
      </c>
      <c r="C6938" s="66">
        <v>900</v>
      </c>
      <c r="D6938" s="70">
        <v>6</v>
      </c>
      <c r="E6938" s="111">
        <f t="shared" si="112"/>
        <v>138710</v>
      </c>
      <c r="F6938" s="69">
        <v>5.3377789009831707E-2</v>
      </c>
      <c r="G6938" s="69">
        <v>6.6292134831460681E-2</v>
      </c>
    </row>
    <row r="6939" spans="1:7" x14ac:dyDescent="0.3">
      <c r="A6939" s="24">
        <v>41817</v>
      </c>
      <c r="B6939" s="66">
        <v>1237.2280000000001</v>
      </c>
      <c r="C6939" s="66">
        <v>900</v>
      </c>
      <c r="D6939" s="70">
        <v>0</v>
      </c>
      <c r="E6939" s="111">
        <f t="shared" si="112"/>
        <v>138710</v>
      </c>
      <c r="F6939" s="69">
        <v>4.840189342416943E-2</v>
      </c>
      <c r="G6939" s="69">
        <v>5.9444444444444446E-2</v>
      </c>
    </row>
    <row r="6940" spans="1:7" x14ac:dyDescent="0.3">
      <c r="A6940" s="24">
        <v>41818</v>
      </c>
      <c r="B6940" s="66">
        <v>1237.2280000000001</v>
      </c>
      <c r="C6940" s="66">
        <v>900</v>
      </c>
      <c r="D6940" s="70">
        <v>0</v>
      </c>
      <c r="E6940" s="111">
        <f t="shared" si="112"/>
        <v>138710</v>
      </c>
      <c r="F6940" s="69">
        <v>4.840189342416943E-2</v>
      </c>
      <c r="G6940" s="69">
        <v>5.9444444444444446E-2</v>
      </c>
    </row>
    <row r="6941" spans="1:7" x14ac:dyDescent="0.3">
      <c r="A6941" s="24">
        <v>41819</v>
      </c>
      <c r="B6941" s="66">
        <v>1237.2280000000001</v>
      </c>
      <c r="C6941" s="66">
        <v>900</v>
      </c>
      <c r="D6941" s="70">
        <v>0</v>
      </c>
      <c r="E6941" s="111">
        <f t="shared" si="112"/>
        <v>138710</v>
      </c>
      <c r="F6941" s="69">
        <v>4.6211347554853947E-2</v>
      </c>
      <c r="G6941" s="69">
        <v>5.9444444444444446E-2</v>
      </c>
    </row>
    <row r="6942" spans="1:7" x14ac:dyDescent="0.3">
      <c r="A6942" s="24">
        <v>41820</v>
      </c>
      <c r="B6942" s="66">
        <v>1237.2280000000001</v>
      </c>
      <c r="C6942" s="66">
        <v>900</v>
      </c>
      <c r="D6942" s="70">
        <v>0</v>
      </c>
      <c r="E6942" s="111">
        <f t="shared" si="112"/>
        <v>138710</v>
      </c>
      <c r="F6942" s="69">
        <v>4.6211347554853947E-2</v>
      </c>
      <c r="G6942" s="69">
        <v>5.9444444444444446E-2</v>
      </c>
    </row>
    <row r="6943" spans="1:7" x14ac:dyDescent="0.3">
      <c r="A6943" s="24">
        <v>41821</v>
      </c>
      <c r="B6943" s="66">
        <v>1237.2280000000001</v>
      </c>
      <c r="C6943" s="66">
        <v>895</v>
      </c>
      <c r="D6943" s="70">
        <v>0</v>
      </c>
      <c r="E6943" s="111">
        <f t="shared" si="112"/>
        <v>138710</v>
      </c>
      <c r="F6943" s="69">
        <v>4.6211347554853947E-2</v>
      </c>
      <c r="G6943" s="69">
        <v>5.9444444444444446E-2</v>
      </c>
    </row>
    <row r="6944" spans="1:7" x14ac:dyDescent="0.3">
      <c r="A6944" s="24">
        <v>41822</v>
      </c>
      <c r="B6944" s="66">
        <v>1237.2280000000001</v>
      </c>
      <c r="C6944" s="66">
        <v>895</v>
      </c>
      <c r="D6944" s="70">
        <v>0</v>
      </c>
      <c r="E6944" s="111">
        <f t="shared" si="112"/>
        <v>138710</v>
      </c>
      <c r="F6944" s="69">
        <v>4.6211347554853947E-2</v>
      </c>
      <c r="G6944" s="69">
        <v>5.8469945355191254E-2</v>
      </c>
    </row>
    <row r="6945" spans="1:7" x14ac:dyDescent="0.3">
      <c r="A6945" s="24">
        <v>41823</v>
      </c>
      <c r="B6945" s="66">
        <v>1237.2280000000001</v>
      </c>
      <c r="C6945" s="66">
        <v>894</v>
      </c>
      <c r="D6945" s="70">
        <v>0</v>
      </c>
      <c r="E6945" s="111">
        <f t="shared" si="112"/>
        <v>138710</v>
      </c>
      <c r="F6945" s="69">
        <v>4.6211347554853947E-2</v>
      </c>
      <c r="G6945" s="69">
        <v>5.8152173913043476E-2</v>
      </c>
    </row>
    <row r="6946" spans="1:7" x14ac:dyDescent="0.3">
      <c r="A6946" s="24">
        <v>41824</v>
      </c>
      <c r="B6946" s="66">
        <v>1237.2280000000001</v>
      </c>
      <c r="C6946" s="66">
        <v>894</v>
      </c>
      <c r="D6946" s="70">
        <v>0</v>
      </c>
      <c r="E6946" s="111">
        <f t="shared" si="112"/>
        <v>138710</v>
      </c>
      <c r="F6946" s="69">
        <v>4.6211347554853947E-2</v>
      </c>
      <c r="G6946" s="69">
        <v>5.8152173913043476E-2</v>
      </c>
    </row>
    <row r="6947" spans="1:7" x14ac:dyDescent="0.3">
      <c r="A6947" s="24">
        <v>41825</v>
      </c>
      <c r="B6947" s="66">
        <v>1237.2280000000001</v>
      </c>
      <c r="C6947" s="66">
        <v>894</v>
      </c>
      <c r="D6947" s="70">
        <v>0</v>
      </c>
      <c r="E6947" s="111">
        <f t="shared" si="112"/>
        <v>138710</v>
      </c>
      <c r="F6947" s="69">
        <v>4.6211347554853947E-2</v>
      </c>
      <c r="G6947" s="69">
        <v>5.8152173913043476E-2</v>
      </c>
    </row>
    <row r="6948" spans="1:7" x14ac:dyDescent="0.3">
      <c r="A6948" s="24">
        <v>41826</v>
      </c>
      <c r="B6948" s="66">
        <v>1237.2280000000001</v>
      </c>
      <c r="C6948" s="66">
        <v>894</v>
      </c>
      <c r="D6948" s="70">
        <v>0</v>
      </c>
      <c r="E6948" s="111">
        <f t="shared" si="112"/>
        <v>138710</v>
      </c>
      <c r="F6948" s="69">
        <v>4.6211347554853947E-2</v>
      </c>
      <c r="G6948" s="69">
        <v>5.8152173913043476E-2</v>
      </c>
    </row>
    <row r="6949" spans="1:7" x14ac:dyDescent="0.3">
      <c r="A6949" s="24">
        <v>41827</v>
      </c>
      <c r="B6949" s="66">
        <v>1237.2280000000001</v>
      </c>
      <c r="C6949" s="66">
        <v>893</v>
      </c>
      <c r="D6949" s="70">
        <v>0</v>
      </c>
      <c r="E6949" s="111">
        <f t="shared" si="112"/>
        <v>138710</v>
      </c>
      <c r="F6949" s="69">
        <v>4.6211347554853947E-2</v>
      </c>
      <c r="G6949" s="69">
        <v>5.8469945355191254E-2</v>
      </c>
    </row>
    <row r="6950" spans="1:7" x14ac:dyDescent="0.3">
      <c r="A6950" s="24">
        <v>41828</v>
      </c>
      <c r="B6950" s="66">
        <v>1237.2280000000001</v>
      </c>
      <c r="C6950" s="66">
        <v>892.5</v>
      </c>
      <c r="D6950" s="70">
        <v>0</v>
      </c>
      <c r="E6950" s="111">
        <f t="shared" si="112"/>
        <v>138710</v>
      </c>
      <c r="F6950" s="69">
        <v>4.6211347554853947E-2</v>
      </c>
      <c r="G6950" s="69">
        <v>5.8469945355191254E-2</v>
      </c>
    </row>
    <row r="6951" spans="1:7" x14ac:dyDescent="0.3">
      <c r="A6951" s="24">
        <v>41829</v>
      </c>
      <c r="B6951" s="66">
        <v>1237.2280000000001</v>
      </c>
      <c r="C6951" s="66">
        <v>892.49</v>
      </c>
      <c r="D6951" s="70">
        <v>0</v>
      </c>
      <c r="E6951" s="111">
        <f t="shared" si="112"/>
        <v>138710</v>
      </c>
      <c r="F6951" s="69">
        <v>4.6211347554853947E-2</v>
      </c>
      <c r="G6951" s="69">
        <v>5.8791208791208791E-2</v>
      </c>
    </row>
    <row r="6952" spans="1:7" x14ac:dyDescent="0.3">
      <c r="A6952" s="24">
        <v>41830</v>
      </c>
      <c r="B6952" s="66">
        <v>1237.2280000000001</v>
      </c>
      <c r="C6952" s="66">
        <v>892.49</v>
      </c>
      <c r="D6952" s="70">
        <v>0</v>
      </c>
      <c r="E6952" s="111">
        <f t="shared" si="112"/>
        <v>138710</v>
      </c>
      <c r="F6952" s="69">
        <v>4.6211347554853947E-2</v>
      </c>
      <c r="G6952" s="69">
        <v>5.8791208791208791E-2</v>
      </c>
    </row>
    <row r="6953" spans="1:7" x14ac:dyDescent="0.3">
      <c r="A6953" s="24">
        <v>41831</v>
      </c>
      <c r="B6953" s="66">
        <v>1237.2280000000001</v>
      </c>
      <c r="C6953" s="66">
        <v>890</v>
      </c>
      <c r="D6953" s="70">
        <v>0</v>
      </c>
      <c r="E6953" s="111">
        <f t="shared" si="112"/>
        <v>138710</v>
      </c>
      <c r="F6953" s="69">
        <v>4.6211347554853947E-2</v>
      </c>
      <c r="G6953" s="69">
        <v>5.879767007363447E-2</v>
      </c>
    </row>
    <row r="6954" spans="1:7" x14ac:dyDescent="0.3">
      <c r="A6954" s="24">
        <v>41832</v>
      </c>
      <c r="B6954" s="66">
        <v>1237.2280000000001</v>
      </c>
      <c r="C6954" s="66">
        <v>890</v>
      </c>
      <c r="D6954" s="70">
        <v>0</v>
      </c>
      <c r="E6954" s="111">
        <f t="shared" si="112"/>
        <v>138710</v>
      </c>
      <c r="F6954" s="69">
        <v>4.6211347554853947E-2</v>
      </c>
      <c r="G6954" s="69">
        <v>5.879767007363447E-2</v>
      </c>
    </row>
    <row r="6955" spans="1:7" x14ac:dyDescent="0.3">
      <c r="A6955" s="24">
        <v>41833</v>
      </c>
      <c r="B6955" s="66">
        <v>1237.2280000000001</v>
      </c>
      <c r="C6955" s="66">
        <v>890</v>
      </c>
      <c r="D6955" s="70">
        <v>0</v>
      </c>
      <c r="E6955" s="111">
        <f t="shared" si="112"/>
        <v>138710</v>
      </c>
      <c r="F6955" s="69">
        <v>4.6211347554853947E-2</v>
      </c>
      <c r="G6955" s="69">
        <v>5.879767007363447E-2</v>
      </c>
    </row>
    <row r="6956" spans="1:7" x14ac:dyDescent="0.3">
      <c r="A6956" s="24">
        <v>41834</v>
      </c>
      <c r="B6956" s="66">
        <v>1237.2280000000001</v>
      </c>
      <c r="C6956" s="66">
        <v>890</v>
      </c>
      <c r="D6956" s="70">
        <v>0</v>
      </c>
      <c r="E6956" s="111">
        <f t="shared" si="112"/>
        <v>138710</v>
      </c>
      <c r="F6956" s="69">
        <v>4.6211347554853947E-2</v>
      </c>
      <c r="G6956" s="69">
        <v>5.9444444444444446E-2</v>
      </c>
    </row>
    <row r="6957" spans="1:7" x14ac:dyDescent="0.3">
      <c r="A6957" s="24">
        <v>41835</v>
      </c>
      <c r="B6957" s="66">
        <v>1237.2280000000001</v>
      </c>
      <c r="C6957" s="66">
        <v>890</v>
      </c>
      <c r="D6957" s="70">
        <v>0</v>
      </c>
      <c r="E6957" s="111">
        <f t="shared" si="112"/>
        <v>138710</v>
      </c>
      <c r="F6957" s="69">
        <v>4.6211347554853947E-2</v>
      </c>
      <c r="G6957" s="69">
        <v>5.9444444444444446E-2</v>
      </c>
    </row>
    <row r="6958" spans="1:7" x14ac:dyDescent="0.3">
      <c r="A6958" s="24">
        <v>41836</v>
      </c>
      <c r="B6958" s="66">
        <v>1237.2280000000001</v>
      </c>
      <c r="C6958" s="66">
        <v>890</v>
      </c>
      <c r="D6958" s="70">
        <v>0</v>
      </c>
      <c r="E6958" s="111">
        <f t="shared" si="112"/>
        <v>138710</v>
      </c>
      <c r="F6958" s="69">
        <v>4.6211347554853947E-2</v>
      </c>
      <c r="G6958" s="69">
        <v>5.9444444444444446E-2</v>
      </c>
    </row>
    <row r="6959" spans="1:7" x14ac:dyDescent="0.3">
      <c r="A6959" s="24">
        <v>41837</v>
      </c>
      <c r="B6959" s="66">
        <v>1237.2280000000001</v>
      </c>
      <c r="C6959" s="66">
        <v>890</v>
      </c>
      <c r="D6959" s="70">
        <v>0</v>
      </c>
      <c r="E6959" s="111">
        <f t="shared" si="112"/>
        <v>138710</v>
      </c>
      <c r="F6959" s="69">
        <v>4.6211347554853947E-2</v>
      </c>
      <c r="G6959" s="69">
        <v>6.0112359550561795E-2</v>
      </c>
    </row>
    <row r="6960" spans="1:7" x14ac:dyDescent="0.3">
      <c r="A6960" s="24">
        <v>41838</v>
      </c>
      <c r="B6960" s="66">
        <v>1237.2280000000001</v>
      </c>
      <c r="C6960" s="66">
        <v>885</v>
      </c>
      <c r="D6960" s="70">
        <v>0</v>
      </c>
      <c r="E6960" s="111">
        <f t="shared" si="112"/>
        <v>138710</v>
      </c>
      <c r="F6960" s="69">
        <v>4.6211347554853947E-2</v>
      </c>
      <c r="G6960" s="69">
        <v>6.0213843556555992E-2</v>
      </c>
    </row>
    <row r="6961" spans="1:7" x14ac:dyDescent="0.3">
      <c r="A6961" s="24">
        <v>41839</v>
      </c>
      <c r="B6961" s="66">
        <v>1237.2280000000001</v>
      </c>
      <c r="C6961" s="66">
        <v>885</v>
      </c>
      <c r="D6961" s="70">
        <v>0</v>
      </c>
      <c r="E6961" s="111">
        <f t="shared" si="112"/>
        <v>138710</v>
      </c>
      <c r="F6961" s="69">
        <v>4.6211347554853947E-2</v>
      </c>
      <c r="G6961" s="69">
        <v>6.0213843556555992E-2</v>
      </c>
    </row>
    <row r="6962" spans="1:7" x14ac:dyDescent="0.3">
      <c r="A6962" s="24">
        <v>41840</v>
      </c>
      <c r="B6962" s="66">
        <v>1237.2280000000001</v>
      </c>
      <c r="C6962" s="66">
        <v>885</v>
      </c>
      <c r="D6962" s="70">
        <v>0</v>
      </c>
      <c r="E6962" s="111">
        <f t="shared" si="112"/>
        <v>138710</v>
      </c>
      <c r="F6962" s="69">
        <v>4.6211347554853947E-2</v>
      </c>
      <c r="G6962" s="69">
        <v>6.0213843556555992E-2</v>
      </c>
    </row>
    <row r="6963" spans="1:7" x14ac:dyDescent="0.3">
      <c r="A6963" s="24">
        <v>41841</v>
      </c>
      <c r="B6963" s="66">
        <v>1237.2280000000001</v>
      </c>
      <c r="C6963" s="66">
        <v>885</v>
      </c>
      <c r="D6963" s="70">
        <v>0</v>
      </c>
      <c r="E6963" s="111">
        <f t="shared" si="112"/>
        <v>138710</v>
      </c>
      <c r="F6963" s="69">
        <v>4.6211347554853947E-2</v>
      </c>
      <c r="G6963" s="69">
        <v>6.0795454545454548E-2</v>
      </c>
    </row>
    <row r="6964" spans="1:7" x14ac:dyDescent="0.3">
      <c r="A6964" s="24">
        <v>41842</v>
      </c>
      <c r="B6964" s="66">
        <v>1237.2280000000001</v>
      </c>
      <c r="C6964" s="66">
        <v>885</v>
      </c>
      <c r="D6964" s="70">
        <v>0</v>
      </c>
      <c r="E6964" s="111">
        <f t="shared" si="112"/>
        <v>138710</v>
      </c>
      <c r="F6964" s="69">
        <v>4.6211347554853947E-2</v>
      </c>
      <c r="G6964" s="69">
        <v>6.0795454545454548E-2</v>
      </c>
    </row>
    <row r="6965" spans="1:7" x14ac:dyDescent="0.3">
      <c r="A6965" s="24">
        <v>41843</v>
      </c>
      <c r="B6965" s="66">
        <v>1237.2280000000001</v>
      </c>
      <c r="C6965" s="66">
        <v>885</v>
      </c>
      <c r="D6965" s="70">
        <v>0</v>
      </c>
      <c r="E6965" s="111">
        <f t="shared" si="112"/>
        <v>138710</v>
      </c>
      <c r="F6965" s="69">
        <v>4.6211347554853947E-2</v>
      </c>
      <c r="G6965" s="69">
        <v>6.0726447219069238E-2</v>
      </c>
    </row>
    <row r="6966" spans="1:7" x14ac:dyDescent="0.3">
      <c r="A6966" s="24">
        <v>41844</v>
      </c>
      <c r="B6966" s="66">
        <v>1225.0049999999999</v>
      </c>
      <c r="C6966" s="66">
        <v>885</v>
      </c>
      <c r="D6966" s="70">
        <v>0</v>
      </c>
      <c r="E6966" s="111">
        <f t="shared" si="112"/>
        <v>138710</v>
      </c>
      <c r="F6966" s="69">
        <v>4.6211347554853947E-2</v>
      </c>
      <c r="G6966" s="69">
        <v>6.0112359550561795E-2</v>
      </c>
    </row>
    <row r="6967" spans="1:7" x14ac:dyDescent="0.3">
      <c r="A6967" s="24">
        <v>41845</v>
      </c>
      <c r="B6967" s="66">
        <v>1225.0049999999999</v>
      </c>
      <c r="C6967" s="66">
        <v>885</v>
      </c>
      <c r="D6967" s="70">
        <v>0</v>
      </c>
      <c r="E6967" s="111">
        <f t="shared" si="112"/>
        <v>138710</v>
      </c>
      <c r="F6967" s="69">
        <v>4.6211347554853947E-2</v>
      </c>
      <c r="G6967" s="69">
        <v>6.0112359550561795E-2</v>
      </c>
    </row>
    <row r="6968" spans="1:7" x14ac:dyDescent="0.3">
      <c r="A6968" s="24">
        <v>41846</v>
      </c>
      <c r="B6968" s="66">
        <v>1225.0049999999999</v>
      </c>
      <c r="C6968" s="66">
        <v>885</v>
      </c>
      <c r="D6968" s="70">
        <v>0</v>
      </c>
      <c r="E6968" s="111">
        <f t="shared" si="112"/>
        <v>138710</v>
      </c>
      <c r="F6968" s="69">
        <v>4.6211347554853947E-2</v>
      </c>
      <c r="G6968" s="69">
        <v>6.0112359550561795E-2</v>
      </c>
    </row>
    <row r="6969" spans="1:7" x14ac:dyDescent="0.3">
      <c r="A6969" s="24">
        <v>41847</v>
      </c>
      <c r="B6969" s="66">
        <v>1225.0049999999999</v>
      </c>
      <c r="C6969" s="66">
        <v>885</v>
      </c>
      <c r="D6969" s="70">
        <v>0</v>
      </c>
      <c r="E6969" s="111">
        <f t="shared" si="112"/>
        <v>138710</v>
      </c>
      <c r="F6969" s="69">
        <v>4.6211347554853947E-2</v>
      </c>
      <c r="G6969" s="69">
        <v>6.0112359550561795E-2</v>
      </c>
    </row>
    <row r="6970" spans="1:7" x14ac:dyDescent="0.3">
      <c r="A6970" s="24">
        <v>41848</v>
      </c>
      <c r="B6970" s="66">
        <v>1225.0049999999999</v>
      </c>
      <c r="C6970" s="66">
        <v>880</v>
      </c>
      <c r="D6970" s="70">
        <v>0</v>
      </c>
      <c r="E6970" s="111">
        <f t="shared" si="112"/>
        <v>138710</v>
      </c>
      <c r="F6970" s="69">
        <v>4.6211347554853947E-2</v>
      </c>
      <c r="G6970" s="69">
        <v>6.0105606111672844E-2</v>
      </c>
    </row>
    <row r="6971" spans="1:7" x14ac:dyDescent="0.3">
      <c r="A6971" s="24">
        <v>41849</v>
      </c>
      <c r="B6971" s="66">
        <v>1225.0049999999999</v>
      </c>
      <c r="C6971" s="66">
        <v>880</v>
      </c>
      <c r="D6971" s="70">
        <v>0</v>
      </c>
      <c r="E6971" s="111">
        <f t="shared" si="112"/>
        <v>138710</v>
      </c>
      <c r="F6971" s="69">
        <v>4.6211347554853947E-2</v>
      </c>
      <c r="G6971" s="69">
        <v>6.0112359550561795E-2</v>
      </c>
    </row>
    <row r="6972" spans="1:7" x14ac:dyDescent="0.3">
      <c r="A6972" s="24">
        <v>41850</v>
      </c>
      <c r="B6972" s="66">
        <v>1225.0049999999999</v>
      </c>
      <c r="C6972" s="66">
        <v>880</v>
      </c>
      <c r="D6972" s="70">
        <v>0</v>
      </c>
      <c r="E6972" s="111">
        <f t="shared" si="112"/>
        <v>138710</v>
      </c>
      <c r="F6972" s="69">
        <v>4.6211347554853947E-2</v>
      </c>
      <c r="G6972" s="69">
        <v>6.0112359550561795E-2</v>
      </c>
    </row>
    <row r="6973" spans="1:7" x14ac:dyDescent="0.3">
      <c r="A6973" s="24">
        <v>41851</v>
      </c>
      <c r="B6973" s="66">
        <v>1225.0049999999999</v>
      </c>
      <c r="C6973" s="66">
        <v>895</v>
      </c>
      <c r="D6973" s="70">
        <v>0</v>
      </c>
      <c r="E6973" s="111">
        <f t="shared" si="112"/>
        <v>138710</v>
      </c>
      <c r="F6973" s="69">
        <v>4.6211347554853947E-2</v>
      </c>
      <c r="G6973" s="69">
        <v>6.0112359550561795E-2</v>
      </c>
    </row>
    <row r="6974" spans="1:7" x14ac:dyDescent="0.3">
      <c r="A6974" s="24">
        <v>41852</v>
      </c>
      <c r="B6974" s="66">
        <v>1225.0049999999999</v>
      </c>
      <c r="C6974" s="66">
        <v>870.01</v>
      </c>
      <c r="D6974" s="70">
        <v>0</v>
      </c>
      <c r="E6974" s="111">
        <f t="shared" si="112"/>
        <v>138710</v>
      </c>
      <c r="F6974" s="69">
        <v>4.6211347554853947E-2</v>
      </c>
      <c r="G6974" s="69">
        <v>6.0112359550561795E-2</v>
      </c>
    </row>
    <row r="6975" spans="1:7" x14ac:dyDescent="0.3">
      <c r="A6975" s="24">
        <v>41853</v>
      </c>
      <c r="B6975" s="66">
        <v>1225.0049999999999</v>
      </c>
      <c r="C6975" s="66">
        <v>870.01</v>
      </c>
      <c r="D6975" s="70">
        <v>0</v>
      </c>
      <c r="E6975" s="111">
        <f t="shared" si="112"/>
        <v>138710</v>
      </c>
      <c r="F6975" s="69">
        <v>4.6211347554853947E-2</v>
      </c>
      <c r="G6975" s="69">
        <v>6.0112359550561795E-2</v>
      </c>
    </row>
    <row r="6976" spans="1:7" x14ac:dyDescent="0.3">
      <c r="A6976" s="24">
        <v>41854</v>
      </c>
      <c r="B6976" s="66">
        <v>1225.0049999999999</v>
      </c>
      <c r="C6976" s="66">
        <v>870.01</v>
      </c>
      <c r="D6976" s="70">
        <v>0</v>
      </c>
      <c r="E6976" s="111">
        <f t="shared" si="112"/>
        <v>138710</v>
      </c>
      <c r="F6976" s="69">
        <v>4.6211347554853947E-2</v>
      </c>
      <c r="G6976" s="69">
        <v>6.0112359550561795E-2</v>
      </c>
    </row>
    <row r="6977" spans="1:7" x14ac:dyDescent="0.3">
      <c r="A6977" s="24">
        <v>41855</v>
      </c>
      <c r="B6977" s="66">
        <v>1225.0049999999999</v>
      </c>
      <c r="C6977" s="66">
        <v>880</v>
      </c>
      <c r="D6977" s="70">
        <v>0</v>
      </c>
      <c r="E6977" s="111">
        <f t="shared" si="112"/>
        <v>138710</v>
      </c>
      <c r="F6977" s="69">
        <v>4.6211347554853947E-2</v>
      </c>
      <c r="G6977" s="69">
        <v>5.9776536312849161E-2</v>
      </c>
    </row>
    <row r="6978" spans="1:7" x14ac:dyDescent="0.3">
      <c r="A6978" s="24">
        <v>41856</v>
      </c>
      <c r="B6978" s="66">
        <v>1225.0049999999999</v>
      </c>
      <c r="C6978" s="66">
        <v>875.01</v>
      </c>
      <c r="D6978" s="70">
        <v>0</v>
      </c>
      <c r="E6978" s="111">
        <f t="shared" si="112"/>
        <v>138710</v>
      </c>
      <c r="F6978" s="69">
        <v>4.6211347554853947E-2</v>
      </c>
      <c r="G6978" s="69">
        <v>6.0105606111672844E-2</v>
      </c>
    </row>
    <row r="6979" spans="1:7" x14ac:dyDescent="0.3">
      <c r="A6979" s="24">
        <v>41857</v>
      </c>
      <c r="B6979" s="66">
        <v>1225.0049999999999</v>
      </c>
      <c r="C6979" s="66">
        <v>875</v>
      </c>
      <c r="D6979" s="70">
        <v>0</v>
      </c>
      <c r="E6979" s="111">
        <f t="shared" si="112"/>
        <v>138710</v>
      </c>
      <c r="F6979" s="69">
        <v>4.6211347554853947E-2</v>
      </c>
      <c r="G6979" s="69">
        <v>6.0105606111672844E-2</v>
      </c>
    </row>
    <row r="6980" spans="1:7" x14ac:dyDescent="0.3">
      <c r="A6980" s="24">
        <v>41858</v>
      </c>
      <c r="B6980" s="66">
        <v>1225.0049999999999</v>
      </c>
      <c r="C6980" s="66">
        <v>880</v>
      </c>
      <c r="D6980" s="70">
        <v>0</v>
      </c>
      <c r="E6980" s="111">
        <f t="shared" si="112"/>
        <v>138710</v>
      </c>
      <c r="F6980" s="69">
        <v>4.6211347554853947E-2</v>
      </c>
      <c r="G6980" s="69">
        <v>6.0112359550561795E-2</v>
      </c>
    </row>
    <row r="6981" spans="1:7" x14ac:dyDescent="0.3">
      <c r="A6981" s="24">
        <v>41859</v>
      </c>
      <c r="B6981" s="66">
        <v>1225.0049999999999</v>
      </c>
      <c r="C6981" s="66">
        <v>890</v>
      </c>
      <c r="D6981" s="70">
        <v>0</v>
      </c>
      <c r="E6981" s="111">
        <f t="shared" si="112"/>
        <v>138710</v>
      </c>
      <c r="F6981" s="69">
        <v>4.6211347554853947E-2</v>
      </c>
      <c r="G6981" s="69">
        <v>5.9776536312849161E-2</v>
      </c>
    </row>
    <row r="6982" spans="1:7" x14ac:dyDescent="0.3">
      <c r="A6982" s="24">
        <v>41860</v>
      </c>
      <c r="B6982" s="66">
        <v>1225.0049999999999</v>
      </c>
      <c r="C6982" s="66">
        <v>890</v>
      </c>
      <c r="D6982" s="70">
        <v>0</v>
      </c>
      <c r="E6982" s="111">
        <f t="shared" si="112"/>
        <v>138710</v>
      </c>
      <c r="F6982" s="69">
        <v>4.6211347554853947E-2</v>
      </c>
      <c r="G6982" s="69">
        <v>5.9776536312849161E-2</v>
      </c>
    </row>
    <row r="6983" spans="1:7" x14ac:dyDescent="0.3">
      <c r="A6983" s="24">
        <v>41861</v>
      </c>
      <c r="B6983" s="66">
        <v>1225.0049999999999</v>
      </c>
      <c r="C6983" s="66">
        <v>890</v>
      </c>
      <c r="D6983" s="70">
        <v>0</v>
      </c>
      <c r="E6983" s="111">
        <f t="shared" si="112"/>
        <v>138710</v>
      </c>
      <c r="F6983" s="69">
        <v>4.6211347554853947E-2</v>
      </c>
      <c r="G6983" s="69">
        <v>5.9776536312849161E-2</v>
      </c>
    </row>
    <row r="6984" spans="1:7" x14ac:dyDescent="0.3">
      <c r="A6984" s="24">
        <v>41862</v>
      </c>
      <c r="B6984" s="66">
        <v>1225.0049999999999</v>
      </c>
      <c r="C6984" s="66">
        <v>890</v>
      </c>
      <c r="D6984" s="70">
        <v>0</v>
      </c>
      <c r="E6984" s="111">
        <f t="shared" si="112"/>
        <v>138710</v>
      </c>
      <c r="F6984" s="69">
        <v>4.6211347554853947E-2</v>
      </c>
      <c r="G6984" s="69">
        <v>5.9444444444444446E-2</v>
      </c>
    </row>
    <row r="6985" spans="1:7" x14ac:dyDescent="0.3">
      <c r="A6985" s="24">
        <v>41863</v>
      </c>
      <c r="B6985" s="66">
        <v>1225.0049999999999</v>
      </c>
      <c r="C6985" s="66">
        <v>895</v>
      </c>
      <c r="D6985" s="70">
        <v>0</v>
      </c>
      <c r="E6985" s="111">
        <f t="shared" ref="E6985:E7048" si="113">+E6984</f>
        <v>138710</v>
      </c>
      <c r="F6985" s="69">
        <v>4.6211347554853947E-2</v>
      </c>
      <c r="G6985" s="69">
        <v>5.9116022099447517E-2</v>
      </c>
    </row>
    <row r="6986" spans="1:7" x14ac:dyDescent="0.3">
      <c r="A6986" s="24">
        <v>41864</v>
      </c>
      <c r="B6986" s="66">
        <v>1225.0049999999999</v>
      </c>
      <c r="C6986" s="66">
        <v>895.1</v>
      </c>
      <c r="D6986" s="70">
        <v>0</v>
      </c>
      <c r="E6986" s="111">
        <f t="shared" si="113"/>
        <v>138710</v>
      </c>
      <c r="F6986" s="69">
        <v>4.6211347554853947E-2</v>
      </c>
      <c r="G6986" s="69">
        <v>5.9116022099447517E-2</v>
      </c>
    </row>
    <row r="6987" spans="1:7" x14ac:dyDescent="0.3">
      <c r="A6987" s="24">
        <v>41865</v>
      </c>
      <c r="B6987" s="66">
        <v>1236.6941400000001</v>
      </c>
      <c r="C6987" s="66">
        <v>900</v>
      </c>
      <c r="D6987" s="70">
        <v>0</v>
      </c>
      <c r="E6987" s="111">
        <f t="shared" si="113"/>
        <v>138710</v>
      </c>
      <c r="F6987" s="69">
        <v>4.6211347554853947E-2</v>
      </c>
      <c r="G6987" s="69">
        <v>5.9116022099447517E-2</v>
      </c>
    </row>
    <row r="6988" spans="1:7" x14ac:dyDescent="0.3">
      <c r="A6988" s="24">
        <v>41866</v>
      </c>
      <c r="B6988" s="66">
        <v>1236.6941400000001</v>
      </c>
      <c r="C6988" s="66">
        <v>900</v>
      </c>
      <c r="D6988" s="70">
        <v>0</v>
      </c>
      <c r="E6988" s="111">
        <f t="shared" si="113"/>
        <v>138710</v>
      </c>
      <c r="F6988" s="69">
        <v>4.6211347554853947E-2</v>
      </c>
      <c r="G6988" s="69">
        <v>5.8152173913043476E-2</v>
      </c>
    </row>
    <row r="6989" spans="1:7" x14ac:dyDescent="0.3">
      <c r="A6989" s="24">
        <v>41867</v>
      </c>
      <c r="B6989" s="66">
        <v>1236.6941400000001</v>
      </c>
      <c r="C6989" s="66">
        <v>900</v>
      </c>
      <c r="D6989" s="70">
        <v>0</v>
      </c>
      <c r="E6989" s="111">
        <f t="shared" si="113"/>
        <v>138710</v>
      </c>
      <c r="F6989" s="69">
        <v>4.6211347554853947E-2</v>
      </c>
      <c r="G6989" s="69">
        <v>5.8152173913043476E-2</v>
      </c>
    </row>
    <row r="6990" spans="1:7" x14ac:dyDescent="0.3">
      <c r="A6990" s="24">
        <v>41868</v>
      </c>
      <c r="B6990" s="66">
        <v>1236.6941400000001</v>
      </c>
      <c r="C6990" s="66">
        <v>900</v>
      </c>
      <c r="D6990" s="70">
        <v>0</v>
      </c>
      <c r="E6990" s="111">
        <f t="shared" si="113"/>
        <v>138710</v>
      </c>
      <c r="F6990" s="69">
        <v>4.6211347554853947E-2</v>
      </c>
      <c r="G6990" s="69">
        <v>5.8152173913043476E-2</v>
      </c>
    </row>
    <row r="6991" spans="1:7" x14ac:dyDescent="0.3">
      <c r="A6991" s="24">
        <v>41869</v>
      </c>
      <c r="B6991" s="66">
        <v>1236.6941400000001</v>
      </c>
      <c r="C6991" s="66">
        <v>900</v>
      </c>
      <c r="D6991" s="70">
        <v>0</v>
      </c>
      <c r="E6991" s="111">
        <f t="shared" si="113"/>
        <v>138710</v>
      </c>
      <c r="F6991" s="69">
        <v>4.6211347554853947E-2</v>
      </c>
      <c r="G6991" s="69">
        <v>5.8152173913043476E-2</v>
      </c>
    </row>
    <row r="6992" spans="1:7" x14ac:dyDescent="0.3">
      <c r="A6992" s="24">
        <v>41870</v>
      </c>
      <c r="B6992" s="66">
        <v>1236.6941400000001</v>
      </c>
      <c r="C6992" s="66">
        <v>910</v>
      </c>
      <c r="D6992" s="70">
        <v>0</v>
      </c>
      <c r="E6992" s="111">
        <f t="shared" si="113"/>
        <v>138710</v>
      </c>
      <c r="F6992" s="69">
        <v>4.6211347554853947E-2</v>
      </c>
      <c r="G6992" s="69">
        <v>5.8152173913043476E-2</v>
      </c>
    </row>
    <row r="6993" spans="1:7" x14ac:dyDescent="0.3">
      <c r="A6993" s="24">
        <v>41871</v>
      </c>
      <c r="B6993" s="66">
        <v>1236.6941400000001</v>
      </c>
      <c r="C6993" s="66">
        <v>912</v>
      </c>
      <c r="D6993" s="70">
        <v>0</v>
      </c>
      <c r="E6993" s="111">
        <f t="shared" si="113"/>
        <v>138710</v>
      </c>
      <c r="F6993" s="69">
        <v>4.6211347554853947E-2</v>
      </c>
      <c r="G6993" s="69">
        <v>5.7219251336898397E-2</v>
      </c>
    </row>
    <row r="6994" spans="1:7" x14ac:dyDescent="0.3">
      <c r="A6994" s="24">
        <v>41872</v>
      </c>
      <c r="B6994" s="66">
        <v>1236.6941400000001</v>
      </c>
      <c r="C6994" s="66">
        <v>912</v>
      </c>
      <c r="D6994" s="70">
        <v>0</v>
      </c>
      <c r="E6994" s="111">
        <f t="shared" si="113"/>
        <v>138710</v>
      </c>
      <c r="F6994" s="69">
        <v>4.6211347554853947E-2</v>
      </c>
      <c r="G6994" s="69">
        <v>5.6464379947229554E-2</v>
      </c>
    </row>
    <row r="6995" spans="1:7" x14ac:dyDescent="0.3">
      <c r="A6995" s="24">
        <v>41873</v>
      </c>
      <c r="B6995" s="66">
        <v>1236.6941400000001</v>
      </c>
      <c r="C6995" s="66">
        <v>915</v>
      </c>
      <c r="D6995" s="70">
        <v>0</v>
      </c>
      <c r="E6995" s="111">
        <f t="shared" si="113"/>
        <v>138710</v>
      </c>
      <c r="F6995" s="69">
        <v>4.6211347554853947E-2</v>
      </c>
      <c r="G6995" s="69">
        <v>5.6494192185850056E-2</v>
      </c>
    </row>
    <row r="6996" spans="1:7" x14ac:dyDescent="0.3">
      <c r="A6996" s="24">
        <v>41874</v>
      </c>
      <c r="B6996" s="66">
        <v>1236.6941400000001</v>
      </c>
      <c r="C6996" s="66">
        <v>915</v>
      </c>
      <c r="D6996" s="70">
        <v>0</v>
      </c>
      <c r="E6996" s="111">
        <f t="shared" si="113"/>
        <v>138710</v>
      </c>
      <c r="F6996" s="69">
        <v>4.6211347554853947E-2</v>
      </c>
      <c r="G6996" s="69">
        <v>5.6494192185850056E-2</v>
      </c>
    </row>
    <row r="6997" spans="1:7" x14ac:dyDescent="0.3">
      <c r="A6997" s="24">
        <v>41875</v>
      </c>
      <c r="B6997" s="66">
        <v>1236.6941400000001</v>
      </c>
      <c r="C6997" s="66">
        <v>915</v>
      </c>
      <c r="D6997" s="70">
        <v>0</v>
      </c>
      <c r="E6997" s="111">
        <f t="shared" si="113"/>
        <v>138710</v>
      </c>
      <c r="F6997" s="69">
        <v>4.6211347554853947E-2</v>
      </c>
      <c r="G6997" s="69">
        <v>5.6494192185850056E-2</v>
      </c>
    </row>
    <row r="6998" spans="1:7" x14ac:dyDescent="0.3">
      <c r="A6998" s="24">
        <v>41876</v>
      </c>
      <c r="B6998" s="66">
        <v>1236.6941400000001</v>
      </c>
      <c r="C6998" s="66">
        <v>915</v>
      </c>
      <c r="D6998" s="70">
        <v>0</v>
      </c>
      <c r="E6998" s="111">
        <f t="shared" si="113"/>
        <v>138710</v>
      </c>
      <c r="F6998" s="69">
        <v>4.6211347554853947E-2</v>
      </c>
      <c r="G6998" s="69">
        <v>5.6494192185850056E-2</v>
      </c>
    </row>
    <row r="6999" spans="1:7" x14ac:dyDescent="0.3">
      <c r="A6999" s="24">
        <v>41877</v>
      </c>
      <c r="B6999" s="66">
        <v>1236.6941400000001</v>
      </c>
      <c r="C6999" s="66">
        <v>915</v>
      </c>
      <c r="D6999" s="70">
        <v>0</v>
      </c>
      <c r="E6999" s="111">
        <f t="shared" si="113"/>
        <v>138710</v>
      </c>
      <c r="F6999" s="69">
        <v>4.6211347554853947E-2</v>
      </c>
      <c r="G6999" s="69">
        <v>5.6914893617021275E-2</v>
      </c>
    </row>
    <row r="7000" spans="1:7" x14ac:dyDescent="0.3">
      <c r="A7000" s="24">
        <v>41878</v>
      </c>
      <c r="B7000" s="66">
        <v>1236.6941400000001</v>
      </c>
      <c r="C7000" s="66">
        <v>915</v>
      </c>
      <c r="D7000" s="70">
        <v>0</v>
      </c>
      <c r="E7000" s="111">
        <f t="shared" si="113"/>
        <v>138710</v>
      </c>
      <c r="F7000" s="69">
        <v>4.6211347554853947E-2</v>
      </c>
      <c r="G7000" s="69">
        <v>5.7219251336898397E-2</v>
      </c>
    </row>
    <row r="7001" spans="1:7" x14ac:dyDescent="0.3">
      <c r="A7001" s="24">
        <v>41879</v>
      </c>
      <c r="B7001" s="66">
        <v>1236.6941400000001</v>
      </c>
      <c r="C7001" s="66">
        <v>910</v>
      </c>
      <c r="D7001" s="70">
        <v>0</v>
      </c>
      <c r="E7001" s="111">
        <f t="shared" si="113"/>
        <v>138710</v>
      </c>
      <c r="F7001" s="69">
        <v>4.6211347554853947E-2</v>
      </c>
      <c r="G7001" s="69">
        <v>5.7526881720430106E-2</v>
      </c>
    </row>
    <row r="7002" spans="1:7" x14ac:dyDescent="0.3">
      <c r="A7002" s="24">
        <v>41880</v>
      </c>
      <c r="B7002" s="66">
        <v>1236.6941400000001</v>
      </c>
      <c r="C7002" s="66">
        <v>915</v>
      </c>
      <c r="D7002" s="70">
        <v>0</v>
      </c>
      <c r="E7002" s="111">
        <f t="shared" si="113"/>
        <v>138710</v>
      </c>
      <c r="F7002" s="69">
        <v>4.6211347554853947E-2</v>
      </c>
      <c r="G7002" s="69">
        <v>5.7526881720430106E-2</v>
      </c>
    </row>
    <row r="7003" spans="1:7" x14ac:dyDescent="0.3">
      <c r="A7003" s="24">
        <v>41881</v>
      </c>
      <c r="B7003" s="66">
        <v>1236.6941400000001</v>
      </c>
      <c r="C7003" s="66">
        <v>915</v>
      </c>
      <c r="D7003" s="70">
        <v>0</v>
      </c>
      <c r="E7003" s="111">
        <f t="shared" si="113"/>
        <v>138710</v>
      </c>
      <c r="F7003" s="69">
        <v>4.6211347554853947E-2</v>
      </c>
      <c r="G7003" s="69">
        <v>5.7526881720430106E-2</v>
      </c>
    </row>
    <row r="7004" spans="1:7" x14ac:dyDescent="0.3">
      <c r="A7004" s="24">
        <v>41882</v>
      </c>
      <c r="B7004" s="66">
        <v>1236.6941400000001</v>
      </c>
      <c r="C7004" s="66">
        <v>915</v>
      </c>
      <c r="D7004" s="70">
        <v>0</v>
      </c>
      <c r="E7004" s="111">
        <f t="shared" si="113"/>
        <v>138710</v>
      </c>
      <c r="F7004" s="69">
        <v>4.6211347554853947E-2</v>
      </c>
      <c r="G7004" s="69">
        <v>5.7526881720430106E-2</v>
      </c>
    </row>
    <row r="7005" spans="1:7" x14ac:dyDescent="0.3">
      <c r="A7005" s="24">
        <v>41883</v>
      </c>
      <c r="B7005" s="66">
        <v>1236.6941400000001</v>
      </c>
      <c r="C7005" s="66">
        <v>915</v>
      </c>
      <c r="D7005" s="70">
        <v>0</v>
      </c>
      <c r="E7005" s="111">
        <f t="shared" si="113"/>
        <v>138710</v>
      </c>
      <c r="F7005" s="69">
        <v>4.6211347554853947E-2</v>
      </c>
      <c r="G7005" s="69">
        <v>5.7526881720430106E-2</v>
      </c>
    </row>
    <row r="7006" spans="1:7" x14ac:dyDescent="0.3">
      <c r="A7006" s="24">
        <v>41884</v>
      </c>
      <c r="B7006" s="66">
        <v>1236.6941400000001</v>
      </c>
      <c r="C7006" s="66">
        <v>915</v>
      </c>
      <c r="D7006" s="70">
        <v>0</v>
      </c>
      <c r="E7006" s="111">
        <f t="shared" si="113"/>
        <v>138710</v>
      </c>
      <c r="F7006" s="69">
        <v>4.6211347554853947E-2</v>
      </c>
      <c r="G7006" s="69">
        <v>5.7526881720430106E-2</v>
      </c>
    </row>
    <row r="7007" spans="1:7" x14ac:dyDescent="0.3">
      <c r="A7007" s="24">
        <v>41885</v>
      </c>
      <c r="B7007" s="66">
        <v>1236.6941400000001</v>
      </c>
      <c r="C7007" s="66">
        <v>915</v>
      </c>
      <c r="D7007" s="70">
        <v>0</v>
      </c>
      <c r="E7007" s="111">
        <f t="shared" si="113"/>
        <v>138710</v>
      </c>
      <c r="F7007" s="69">
        <v>4.6211347554853947E-2</v>
      </c>
      <c r="G7007" s="69">
        <v>5.8152173913043476E-2</v>
      </c>
    </row>
    <row r="7008" spans="1:7" x14ac:dyDescent="0.3">
      <c r="A7008" s="24">
        <v>41886</v>
      </c>
      <c r="B7008" s="66">
        <v>1236.6941400000001</v>
      </c>
      <c r="C7008" s="66">
        <v>915</v>
      </c>
      <c r="D7008" s="70">
        <v>0</v>
      </c>
      <c r="E7008" s="111">
        <f t="shared" si="113"/>
        <v>138710</v>
      </c>
      <c r="F7008" s="69">
        <v>4.6211347554853947E-2</v>
      </c>
      <c r="G7008" s="69">
        <v>5.8152173913043476E-2</v>
      </c>
    </row>
    <row r="7009" spans="1:7" x14ac:dyDescent="0.3">
      <c r="A7009" s="24">
        <v>41887</v>
      </c>
      <c r="B7009" s="66">
        <v>1236.6941400000001</v>
      </c>
      <c r="C7009" s="66">
        <v>915</v>
      </c>
      <c r="D7009" s="70">
        <v>0</v>
      </c>
      <c r="E7009" s="111">
        <f t="shared" si="113"/>
        <v>138710</v>
      </c>
      <c r="F7009" s="69">
        <v>4.6211347554853947E-2</v>
      </c>
      <c r="G7009" s="69">
        <v>5.9444444444444446E-2</v>
      </c>
    </row>
    <row r="7010" spans="1:7" x14ac:dyDescent="0.3">
      <c r="A7010" s="24">
        <v>41888</v>
      </c>
      <c r="B7010" s="66">
        <v>1236.6941400000001</v>
      </c>
      <c r="C7010" s="66">
        <v>915</v>
      </c>
      <c r="D7010" s="70">
        <v>0</v>
      </c>
      <c r="E7010" s="111">
        <f t="shared" si="113"/>
        <v>138710</v>
      </c>
      <c r="F7010" s="69">
        <v>4.6211347554853947E-2</v>
      </c>
      <c r="G7010" s="69">
        <v>5.9444444444444446E-2</v>
      </c>
    </row>
    <row r="7011" spans="1:7" x14ac:dyDescent="0.3">
      <c r="A7011" s="24">
        <v>41889</v>
      </c>
      <c r="B7011" s="66">
        <v>1236.6941400000001</v>
      </c>
      <c r="C7011" s="66">
        <v>915</v>
      </c>
      <c r="D7011" s="70">
        <v>0</v>
      </c>
      <c r="E7011" s="111">
        <f t="shared" si="113"/>
        <v>138710</v>
      </c>
      <c r="F7011" s="69">
        <v>4.6211347554853947E-2</v>
      </c>
      <c r="G7011" s="69">
        <v>5.9444444444444446E-2</v>
      </c>
    </row>
    <row r="7012" spans="1:7" x14ac:dyDescent="0.3">
      <c r="A7012" s="24">
        <v>41890</v>
      </c>
      <c r="B7012" s="66">
        <v>1236.6941400000001</v>
      </c>
      <c r="C7012" s="66">
        <v>920</v>
      </c>
      <c r="D7012" s="70">
        <v>0</v>
      </c>
      <c r="E7012" s="111">
        <f t="shared" si="113"/>
        <v>138710</v>
      </c>
      <c r="F7012" s="69">
        <v>4.6211347554853947E-2</v>
      </c>
      <c r="G7012" s="69">
        <v>5.9444444444444446E-2</v>
      </c>
    </row>
    <row r="7013" spans="1:7" x14ac:dyDescent="0.3">
      <c r="A7013" s="24">
        <v>41891</v>
      </c>
      <c r="B7013" s="66">
        <v>1236.6941400000001</v>
      </c>
      <c r="C7013" s="66">
        <v>920</v>
      </c>
      <c r="D7013" s="70">
        <v>0</v>
      </c>
      <c r="E7013" s="111">
        <f t="shared" si="113"/>
        <v>138710</v>
      </c>
      <c r="F7013" s="69">
        <v>4.6211347554853947E-2</v>
      </c>
      <c r="G7013" s="69">
        <v>5.8791208791208791E-2</v>
      </c>
    </row>
    <row r="7014" spans="1:7" x14ac:dyDescent="0.3">
      <c r="A7014" s="24">
        <v>41892</v>
      </c>
      <c r="B7014" s="66">
        <v>1236.6941400000001</v>
      </c>
      <c r="C7014" s="66">
        <v>915</v>
      </c>
      <c r="D7014" s="70">
        <v>0</v>
      </c>
      <c r="E7014" s="111">
        <f t="shared" si="113"/>
        <v>138710</v>
      </c>
      <c r="F7014" s="69">
        <v>4.6211347554853947E-2</v>
      </c>
      <c r="G7014" s="69">
        <v>5.9444444444444446E-2</v>
      </c>
    </row>
    <row r="7015" spans="1:7" x14ac:dyDescent="0.3">
      <c r="A7015" s="24">
        <v>41893</v>
      </c>
      <c r="B7015" s="66">
        <v>1236.6941400000001</v>
      </c>
      <c r="C7015" s="66">
        <v>920</v>
      </c>
      <c r="D7015" s="70">
        <v>0</v>
      </c>
      <c r="E7015" s="111">
        <f t="shared" si="113"/>
        <v>138710</v>
      </c>
      <c r="F7015" s="69">
        <v>4.6211347554853947E-2</v>
      </c>
      <c r="G7015" s="69">
        <v>5.8152173913043476E-2</v>
      </c>
    </row>
    <row r="7016" spans="1:7" x14ac:dyDescent="0.3">
      <c r="A7016" s="24">
        <v>41894</v>
      </c>
      <c r="B7016" s="66">
        <v>1236.6941400000001</v>
      </c>
      <c r="C7016" s="66">
        <v>915.1</v>
      </c>
      <c r="D7016" s="70">
        <v>0</v>
      </c>
      <c r="E7016" s="111">
        <f t="shared" si="113"/>
        <v>138710</v>
      </c>
      <c r="F7016" s="69">
        <v>4.6211347554853947E-2</v>
      </c>
      <c r="G7016" s="69">
        <v>5.8791208791208791E-2</v>
      </c>
    </row>
    <row r="7017" spans="1:7" x14ac:dyDescent="0.3">
      <c r="A7017" s="24">
        <v>41895</v>
      </c>
      <c r="B7017" s="66">
        <v>1236.6941400000001</v>
      </c>
      <c r="C7017" s="66">
        <v>915.1</v>
      </c>
      <c r="D7017" s="70">
        <v>0</v>
      </c>
      <c r="E7017" s="111">
        <f t="shared" si="113"/>
        <v>138710</v>
      </c>
      <c r="F7017" s="69">
        <v>4.6211347554853947E-2</v>
      </c>
      <c r="G7017" s="69">
        <v>5.8791208791208791E-2</v>
      </c>
    </row>
    <row r="7018" spans="1:7" x14ac:dyDescent="0.3">
      <c r="A7018" s="24">
        <v>41896</v>
      </c>
      <c r="B7018" s="66">
        <v>1236.6941400000001</v>
      </c>
      <c r="C7018" s="66">
        <v>915.1</v>
      </c>
      <c r="D7018" s="70">
        <v>0</v>
      </c>
      <c r="E7018" s="111">
        <f t="shared" si="113"/>
        <v>138710</v>
      </c>
      <c r="F7018" s="69">
        <v>4.6211347554853947E-2</v>
      </c>
      <c r="G7018" s="69">
        <v>5.8791208791208791E-2</v>
      </c>
    </row>
    <row r="7019" spans="1:7" x14ac:dyDescent="0.3">
      <c r="A7019" s="24">
        <v>41897</v>
      </c>
      <c r="B7019" s="66">
        <v>1236.6941400000001</v>
      </c>
      <c r="C7019" s="66">
        <v>915.1</v>
      </c>
      <c r="D7019" s="70">
        <v>0</v>
      </c>
      <c r="E7019" s="111">
        <f t="shared" si="113"/>
        <v>138710</v>
      </c>
      <c r="F7019" s="69">
        <v>4.6211347554853947E-2</v>
      </c>
      <c r="G7019" s="69">
        <v>5.8791208791208791E-2</v>
      </c>
    </row>
    <row r="7020" spans="1:7" x14ac:dyDescent="0.3">
      <c r="A7020" s="24">
        <v>41898</v>
      </c>
      <c r="B7020" s="66">
        <v>1246.6731302087076</v>
      </c>
      <c r="C7020" s="66">
        <v>920</v>
      </c>
      <c r="D7020" s="70">
        <v>0</v>
      </c>
      <c r="E7020" s="111">
        <f t="shared" si="113"/>
        <v>138710</v>
      </c>
      <c r="F7020" s="69">
        <v>4.6211347554853947E-2</v>
      </c>
      <c r="G7020" s="69">
        <v>5.8791208791208791E-2</v>
      </c>
    </row>
    <row r="7021" spans="1:7" x14ac:dyDescent="0.3">
      <c r="A7021" s="24">
        <v>41899</v>
      </c>
      <c r="B7021" s="66">
        <v>1246.6731302087076</v>
      </c>
      <c r="C7021" s="66">
        <v>920</v>
      </c>
      <c r="D7021" s="70">
        <v>0</v>
      </c>
      <c r="E7021" s="111">
        <f t="shared" si="113"/>
        <v>138710</v>
      </c>
      <c r="F7021" s="69">
        <v>4.6211347554853947E-2</v>
      </c>
      <c r="G7021" s="69">
        <v>5.8791208791208791E-2</v>
      </c>
    </row>
    <row r="7022" spans="1:7" x14ac:dyDescent="0.3">
      <c r="A7022" s="24">
        <v>41900</v>
      </c>
      <c r="B7022" s="66">
        <v>1246.6731302087076</v>
      </c>
      <c r="C7022" s="66">
        <v>920</v>
      </c>
      <c r="D7022" s="70">
        <v>0</v>
      </c>
      <c r="E7022" s="111">
        <f t="shared" si="113"/>
        <v>138710</v>
      </c>
      <c r="F7022" s="69">
        <v>4.6211347554853947E-2</v>
      </c>
      <c r="G7022" s="69">
        <v>5.8791208791208791E-2</v>
      </c>
    </row>
    <row r="7023" spans="1:7" x14ac:dyDescent="0.3">
      <c r="A7023" s="24">
        <v>41901</v>
      </c>
      <c r="B7023" s="66">
        <v>1246.6731302087076</v>
      </c>
      <c r="C7023" s="66">
        <v>920</v>
      </c>
      <c r="D7023" s="70">
        <v>0</v>
      </c>
      <c r="E7023" s="111">
        <f t="shared" si="113"/>
        <v>138710</v>
      </c>
      <c r="F7023" s="69">
        <v>4.6211347554853947E-2</v>
      </c>
      <c r="G7023" s="69">
        <v>5.8791208791208791E-2</v>
      </c>
    </row>
    <row r="7024" spans="1:7" x14ac:dyDescent="0.3">
      <c r="A7024" s="24">
        <v>41902</v>
      </c>
      <c r="B7024" s="66">
        <v>1246.6731302087076</v>
      </c>
      <c r="C7024" s="66">
        <v>920</v>
      </c>
      <c r="D7024" s="70">
        <v>0</v>
      </c>
      <c r="E7024" s="111">
        <f t="shared" si="113"/>
        <v>138710</v>
      </c>
      <c r="F7024" s="69">
        <v>4.6211347554853947E-2</v>
      </c>
      <c r="G7024" s="69">
        <v>5.8791208791208791E-2</v>
      </c>
    </row>
    <row r="7025" spans="1:7" x14ac:dyDescent="0.3">
      <c r="A7025" s="24">
        <v>41903</v>
      </c>
      <c r="B7025" s="66">
        <v>1246.6731302087076</v>
      </c>
      <c r="C7025" s="66">
        <v>920</v>
      </c>
      <c r="D7025" s="70">
        <v>0</v>
      </c>
      <c r="E7025" s="111">
        <f t="shared" si="113"/>
        <v>138710</v>
      </c>
      <c r="F7025" s="69">
        <v>4.6211347554853947E-2</v>
      </c>
      <c r="G7025" s="69">
        <v>5.8791208791208791E-2</v>
      </c>
    </row>
    <row r="7026" spans="1:7" x14ac:dyDescent="0.3">
      <c r="A7026" s="24">
        <v>41904</v>
      </c>
      <c r="B7026" s="66">
        <v>1246.6731302087076</v>
      </c>
      <c r="C7026" s="66">
        <v>920</v>
      </c>
      <c r="D7026" s="70">
        <v>0</v>
      </c>
      <c r="E7026" s="111">
        <f t="shared" si="113"/>
        <v>138710</v>
      </c>
      <c r="F7026" s="69">
        <v>4.6211347554853947E-2</v>
      </c>
      <c r="G7026" s="69">
        <v>5.8791208791208791E-2</v>
      </c>
    </row>
    <row r="7027" spans="1:7" x14ac:dyDescent="0.3">
      <c r="A7027" s="24">
        <v>41905</v>
      </c>
      <c r="B7027" s="66">
        <v>1246.6731302087076</v>
      </c>
      <c r="C7027" s="66">
        <v>920</v>
      </c>
      <c r="D7027" s="70">
        <v>0</v>
      </c>
      <c r="E7027" s="111">
        <f t="shared" si="113"/>
        <v>138710</v>
      </c>
      <c r="F7027" s="69">
        <v>4.6211347554853947E-2</v>
      </c>
      <c r="G7027" s="69">
        <v>5.8791208791208791E-2</v>
      </c>
    </row>
    <row r="7028" spans="1:7" x14ac:dyDescent="0.3">
      <c r="A7028" s="24">
        <v>41906</v>
      </c>
      <c r="B7028" s="66">
        <v>1246.6731302087076</v>
      </c>
      <c r="C7028" s="66">
        <v>920</v>
      </c>
      <c r="D7028" s="70">
        <v>0</v>
      </c>
      <c r="E7028" s="111">
        <f t="shared" si="113"/>
        <v>138710</v>
      </c>
      <c r="F7028" s="69">
        <v>4.6211347554853947E-2</v>
      </c>
      <c r="G7028" s="69">
        <v>5.8791208791208791E-2</v>
      </c>
    </row>
    <row r="7029" spans="1:7" x14ac:dyDescent="0.3">
      <c r="A7029" s="24">
        <v>41907</v>
      </c>
      <c r="B7029" s="66">
        <v>1246.6731302087076</v>
      </c>
      <c r="C7029" s="66">
        <v>914.99</v>
      </c>
      <c r="D7029" s="70">
        <v>0</v>
      </c>
      <c r="E7029" s="111">
        <f t="shared" si="113"/>
        <v>138710</v>
      </c>
      <c r="F7029" s="69">
        <v>4.6211347554853947E-2</v>
      </c>
      <c r="G7029" s="69">
        <v>5.8791208791208791E-2</v>
      </c>
    </row>
    <row r="7030" spans="1:7" x14ac:dyDescent="0.3">
      <c r="A7030" s="24">
        <v>41908</v>
      </c>
      <c r="B7030" s="66">
        <v>1246.6731302087076</v>
      </c>
      <c r="C7030" s="66">
        <v>915</v>
      </c>
      <c r="D7030" s="70">
        <v>0</v>
      </c>
      <c r="E7030" s="111">
        <f t="shared" si="113"/>
        <v>138710</v>
      </c>
      <c r="F7030" s="69">
        <v>4.6211347554853947E-2</v>
      </c>
      <c r="G7030" s="69">
        <v>5.8791208791208791E-2</v>
      </c>
    </row>
    <row r="7031" spans="1:7" x14ac:dyDescent="0.3">
      <c r="A7031" s="24">
        <v>41909</v>
      </c>
      <c r="B7031" s="66">
        <v>1246.6731302087076</v>
      </c>
      <c r="C7031" s="66">
        <v>915</v>
      </c>
      <c r="D7031" s="70">
        <v>0</v>
      </c>
      <c r="E7031" s="111">
        <f t="shared" si="113"/>
        <v>138710</v>
      </c>
      <c r="F7031" s="69">
        <v>4.6211347554853947E-2</v>
      </c>
      <c r="G7031" s="69">
        <v>5.8791208791208791E-2</v>
      </c>
    </row>
    <row r="7032" spans="1:7" x14ac:dyDescent="0.3">
      <c r="A7032" s="24">
        <v>41910</v>
      </c>
      <c r="B7032" s="66">
        <v>1246.6731302087076</v>
      </c>
      <c r="C7032" s="66">
        <v>915</v>
      </c>
      <c r="D7032" s="70">
        <v>0</v>
      </c>
      <c r="E7032" s="111">
        <f t="shared" si="113"/>
        <v>138710</v>
      </c>
      <c r="F7032" s="69">
        <v>4.6211347554853947E-2</v>
      </c>
      <c r="G7032" s="69">
        <v>5.8791208791208791E-2</v>
      </c>
    </row>
    <row r="7033" spans="1:7" x14ac:dyDescent="0.3">
      <c r="A7033" s="24">
        <v>41911</v>
      </c>
      <c r="B7033" s="66">
        <v>1246.6731302087076</v>
      </c>
      <c r="C7033" s="66">
        <v>915</v>
      </c>
      <c r="D7033" s="70">
        <v>0</v>
      </c>
      <c r="E7033" s="111">
        <f t="shared" si="113"/>
        <v>138710</v>
      </c>
      <c r="F7033" s="69">
        <v>4.6211347554853947E-2</v>
      </c>
      <c r="G7033" s="69">
        <v>5.9116675322379249E-2</v>
      </c>
    </row>
    <row r="7034" spans="1:7" x14ac:dyDescent="0.3">
      <c r="A7034" s="24">
        <v>41912</v>
      </c>
      <c r="B7034" s="66">
        <v>1246.6731302087076</v>
      </c>
      <c r="C7034" s="66">
        <v>915.05</v>
      </c>
      <c r="D7034" s="70">
        <v>11</v>
      </c>
      <c r="E7034" s="111">
        <f t="shared" si="113"/>
        <v>138710</v>
      </c>
      <c r="F7034" s="69">
        <v>4.7075111060552149E-2</v>
      </c>
      <c r="G7034" s="69">
        <v>6.0555555555555557E-2</v>
      </c>
    </row>
    <row r="7035" spans="1:7" x14ac:dyDescent="0.3">
      <c r="A7035" s="24">
        <v>41913</v>
      </c>
      <c r="B7035" s="66">
        <v>1246.6731302087076</v>
      </c>
      <c r="C7035" s="66">
        <v>918.4</v>
      </c>
      <c r="D7035" s="70">
        <v>0</v>
      </c>
      <c r="E7035" s="111">
        <f t="shared" si="113"/>
        <v>138710</v>
      </c>
      <c r="F7035" s="69">
        <v>4.7075111060552149E-2</v>
      </c>
      <c r="G7035" s="69">
        <v>6.0555555555555557E-2</v>
      </c>
    </row>
    <row r="7036" spans="1:7" x14ac:dyDescent="0.3">
      <c r="A7036" s="24">
        <v>41914</v>
      </c>
      <c r="B7036" s="66">
        <v>1246.6731302087076</v>
      </c>
      <c r="C7036" s="66">
        <v>915</v>
      </c>
      <c r="D7036" s="70">
        <v>0</v>
      </c>
      <c r="E7036" s="111">
        <f t="shared" si="113"/>
        <v>138710</v>
      </c>
      <c r="F7036" s="69">
        <v>4.7075111060552149E-2</v>
      </c>
      <c r="G7036" s="69">
        <v>6.0555555555555557E-2</v>
      </c>
    </row>
    <row r="7037" spans="1:7" x14ac:dyDescent="0.3">
      <c r="A7037" s="24">
        <v>41915</v>
      </c>
      <c r="B7037" s="66">
        <v>1246.6731302087076</v>
      </c>
      <c r="C7037" s="66">
        <v>915</v>
      </c>
      <c r="D7037" s="70">
        <v>0</v>
      </c>
      <c r="E7037" s="111">
        <f t="shared" si="113"/>
        <v>138710</v>
      </c>
      <c r="F7037" s="69">
        <v>4.7075111060552149E-2</v>
      </c>
      <c r="G7037" s="69">
        <v>6.0555555555555557E-2</v>
      </c>
    </row>
    <row r="7038" spans="1:7" x14ac:dyDescent="0.3">
      <c r="A7038" s="24">
        <v>41916</v>
      </c>
      <c r="B7038" s="66">
        <v>1246.6731302087076</v>
      </c>
      <c r="C7038" s="66">
        <v>915</v>
      </c>
      <c r="D7038" s="70">
        <v>0</v>
      </c>
      <c r="E7038" s="111">
        <f t="shared" si="113"/>
        <v>138710</v>
      </c>
      <c r="F7038" s="69">
        <v>4.7075111060552149E-2</v>
      </c>
      <c r="G7038" s="69">
        <v>6.0555555555555557E-2</v>
      </c>
    </row>
    <row r="7039" spans="1:7" x14ac:dyDescent="0.3">
      <c r="A7039" s="24">
        <v>41917</v>
      </c>
      <c r="B7039" s="66">
        <v>1246.6731302087076</v>
      </c>
      <c r="C7039" s="66">
        <v>915</v>
      </c>
      <c r="D7039" s="70">
        <v>0</v>
      </c>
      <c r="E7039" s="111">
        <f t="shared" si="113"/>
        <v>138710</v>
      </c>
      <c r="F7039" s="69">
        <v>4.7075111060552149E-2</v>
      </c>
      <c r="G7039" s="69">
        <v>6.0555555555555557E-2</v>
      </c>
    </row>
    <row r="7040" spans="1:7" x14ac:dyDescent="0.3">
      <c r="A7040" s="24">
        <v>41918</v>
      </c>
      <c r="B7040" s="66">
        <v>1246.6731302087076</v>
      </c>
      <c r="C7040" s="66">
        <v>915.1</v>
      </c>
      <c r="D7040" s="70">
        <v>0</v>
      </c>
      <c r="E7040" s="111">
        <f t="shared" si="113"/>
        <v>138710</v>
      </c>
      <c r="F7040" s="69">
        <v>4.7075111060552149E-2</v>
      </c>
      <c r="G7040" s="69">
        <v>6.0555555555555557E-2</v>
      </c>
    </row>
    <row r="7041" spans="1:7" x14ac:dyDescent="0.3">
      <c r="A7041" s="24">
        <v>41919</v>
      </c>
      <c r="B7041" s="66">
        <v>1246.6731302087076</v>
      </c>
      <c r="C7041" s="66">
        <v>920</v>
      </c>
      <c r="D7041" s="70">
        <v>0</v>
      </c>
      <c r="E7041" s="111">
        <f t="shared" si="113"/>
        <v>138710</v>
      </c>
      <c r="F7041" s="69">
        <v>4.7075111060552149E-2</v>
      </c>
      <c r="G7041" s="69">
        <v>6.0555555555555557E-2</v>
      </c>
    </row>
    <row r="7042" spans="1:7" x14ac:dyDescent="0.3">
      <c r="A7042" s="24">
        <v>41920</v>
      </c>
      <c r="B7042" s="66">
        <v>1246.6731302087076</v>
      </c>
      <c r="C7042" s="66">
        <v>920</v>
      </c>
      <c r="D7042" s="70">
        <v>0</v>
      </c>
      <c r="E7042" s="111">
        <f t="shared" si="113"/>
        <v>138710</v>
      </c>
      <c r="F7042" s="69">
        <v>4.7075111060552149E-2</v>
      </c>
      <c r="G7042" s="69">
        <v>6.0555555555555557E-2</v>
      </c>
    </row>
    <row r="7043" spans="1:7" x14ac:dyDescent="0.3">
      <c r="A7043" s="24">
        <v>41921</v>
      </c>
      <c r="B7043" s="66">
        <v>1246.6731302087076</v>
      </c>
      <c r="C7043" s="66">
        <v>915</v>
      </c>
      <c r="D7043" s="70">
        <v>0</v>
      </c>
      <c r="E7043" s="111">
        <f t="shared" si="113"/>
        <v>138710</v>
      </c>
      <c r="F7043" s="69">
        <v>4.7075111060552149E-2</v>
      </c>
      <c r="G7043" s="69">
        <v>6.0555555555555557E-2</v>
      </c>
    </row>
    <row r="7044" spans="1:7" x14ac:dyDescent="0.3">
      <c r="A7044" s="24">
        <v>41922</v>
      </c>
      <c r="B7044" s="66">
        <v>1246.6731302087076</v>
      </c>
      <c r="C7044" s="66">
        <v>920</v>
      </c>
      <c r="D7044" s="70">
        <v>0</v>
      </c>
      <c r="E7044" s="111">
        <f t="shared" si="113"/>
        <v>138710</v>
      </c>
      <c r="F7044" s="69">
        <v>4.7075111060552149E-2</v>
      </c>
      <c r="G7044" s="69">
        <v>6.0220994475138123E-2</v>
      </c>
    </row>
    <row r="7045" spans="1:7" x14ac:dyDescent="0.3">
      <c r="A7045" s="24">
        <v>41923</v>
      </c>
      <c r="B7045" s="66">
        <v>1246.6731302087076</v>
      </c>
      <c r="C7045" s="66">
        <v>920</v>
      </c>
      <c r="D7045" s="70">
        <v>0</v>
      </c>
      <c r="E7045" s="111">
        <f t="shared" si="113"/>
        <v>138710</v>
      </c>
      <c r="F7045" s="69">
        <v>4.7075111060552149E-2</v>
      </c>
      <c r="G7045" s="69">
        <v>6.0220994475138123E-2</v>
      </c>
    </row>
    <row r="7046" spans="1:7" x14ac:dyDescent="0.3">
      <c r="A7046" s="24">
        <v>41924</v>
      </c>
      <c r="B7046" s="66">
        <v>1246.6731302087076</v>
      </c>
      <c r="C7046" s="66">
        <v>920</v>
      </c>
      <c r="D7046" s="70">
        <v>0</v>
      </c>
      <c r="E7046" s="111">
        <f t="shared" si="113"/>
        <v>138710</v>
      </c>
      <c r="F7046" s="69">
        <v>4.7075111060552149E-2</v>
      </c>
      <c r="G7046" s="69">
        <v>6.0220994475138123E-2</v>
      </c>
    </row>
    <row r="7047" spans="1:7" x14ac:dyDescent="0.3">
      <c r="A7047" s="24">
        <v>41925</v>
      </c>
      <c r="B7047" s="66">
        <v>1246.6731302087076</v>
      </c>
      <c r="C7047" s="66">
        <v>920.1</v>
      </c>
      <c r="D7047" s="70">
        <v>0</v>
      </c>
      <c r="E7047" s="111">
        <f t="shared" si="113"/>
        <v>138710</v>
      </c>
      <c r="F7047" s="69">
        <v>4.7075111060552149E-2</v>
      </c>
      <c r="G7047" s="69">
        <v>6.0220994475138123E-2</v>
      </c>
    </row>
    <row r="7048" spans="1:7" x14ac:dyDescent="0.3">
      <c r="A7048" s="24">
        <v>41926</v>
      </c>
      <c r="B7048" s="66">
        <v>1246.6731302087076</v>
      </c>
      <c r="C7048" s="66">
        <v>920</v>
      </c>
      <c r="D7048" s="70">
        <v>0</v>
      </c>
      <c r="E7048" s="111">
        <f t="shared" si="113"/>
        <v>138710</v>
      </c>
      <c r="F7048" s="69">
        <v>4.7075111060552149E-2</v>
      </c>
      <c r="G7048" s="69">
        <v>6.0555555555555557E-2</v>
      </c>
    </row>
    <row r="7049" spans="1:7" x14ac:dyDescent="0.3">
      <c r="A7049" s="24">
        <v>41927</v>
      </c>
      <c r="B7049" s="66">
        <v>1260.52</v>
      </c>
      <c r="C7049" s="66">
        <v>920</v>
      </c>
      <c r="D7049" s="70">
        <v>0</v>
      </c>
      <c r="E7049" s="111">
        <f t="shared" ref="E7049:E7112" si="114">+E7048</f>
        <v>138710</v>
      </c>
      <c r="F7049" s="69">
        <v>4.7075111060552149E-2</v>
      </c>
      <c r="G7049" s="69">
        <v>6.0555555555555557E-2</v>
      </c>
    </row>
    <row r="7050" spans="1:7" x14ac:dyDescent="0.3">
      <c r="A7050" s="24">
        <v>41928</v>
      </c>
      <c r="B7050" s="66">
        <v>1260.52</v>
      </c>
      <c r="C7050" s="66">
        <v>919.99</v>
      </c>
      <c r="D7050" s="70">
        <v>0</v>
      </c>
      <c r="E7050" s="111">
        <f t="shared" si="114"/>
        <v>138710</v>
      </c>
      <c r="F7050" s="69">
        <v>4.7075111060552149E-2</v>
      </c>
      <c r="G7050" s="69">
        <v>6.0555555555555557E-2</v>
      </c>
    </row>
    <row r="7051" spans="1:7" x14ac:dyDescent="0.3">
      <c r="A7051" s="24">
        <v>41929</v>
      </c>
      <c r="B7051" s="66">
        <v>1260.52</v>
      </c>
      <c r="C7051" s="66">
        <v>920</v>
      </c>
      <c r="D7051" s="70">
        <v>0</v>
      </c>
      <c r="E7051" s="111">
        <f t="shared" si="114"/>
        <v>138710</v>
      </c>
      <c r="F7051" s="69">
        <v>4.7075111060552149E-2</v>
      </c>
      <c r="G7051" s="69">
        <v>6.0555555555555557E-2</v>
      </c>
    </row>
    <row r="7052" spans="1:7" x14ac:dyDescent="0.3">
      <c r="A7052" s="24">
        <v>41930</v>
      </c>
      <c r="B7052" s="66">
        <v>1260.52</v>
      </c>
      <c r="C7052" s="66">
        <v>920</v>
      </c>
      <c r="D7052" s="70">
        <v>0</v>
      </c>
      <c r="E7052" s="111">
        <f t="shared" si="114"/>
        <v>138710</v>
      </c>
      <c r="F7052" s="69">
        <v>4.7075111060552149E-2</v>
      </c>
      <c r="G7052" s="69">
        <v>6.0555555555555557E-2</v>
      </c>
    </row>
    <row r="7053" spans="1:7" x14ac:dyDescent="0.3">
      <c r="A7053" s="24">
        <v>41931</v>
      </c>
      <c r="B7053" s="66">
        <v>1260.52</v>
      </c>
      <c r="C7053" s="66">
        <v>920</v>
      </c>
      <c r="D7053" s="70">
        <v>0</v>
      </c>
      <c r="E7053" s="111">
        <f t="shared" si="114"/>
        <v>138710</v>
      </c>
      <c r="F7053" s="69">
        <v>4.7075111060552149E-2</v>
      </c>
      <c r="G7053" s="69">
        <v>6.0555555555555557E-2</v>
      </c>
    </row>
    <row r="7054" spans="1:7" x14ac:dyDescent="0.3">
      <c r="A7054" s="24">
        <v>41932</v>
      </c>
      <c r="B7054" s="66">
        <v>1260.52</v>
      </c>
      <c r="C7054" s="66">
        <v>920</v>
      </c>
      <c r="D7054" s="70">
        <v>0</v>
      </c>
      <c r="E7054" s="111">
        <f t="shared" si="114"/>
        <v>138710</v>
      </c>
      <c r="F7054" s="69">
        <v>4.7075111060552149E-2</v>
      </c>
      <c r="G7054" s="69">
        <v>6.0555555555555557E-2</v>
      </c>
    </row>
    <row r="7055" spans="1:7" x14ac:dyDescent="0.3">
      <c r="A7055" s="24">
        <v>41933</v>
      </c>
      <c r="B7055" s="66">
        <v>1260.52</v>
      </c>
      <c r="C7055" s="66">
        <v>915</v>
      </c>
      <c r="D7055" s="70">
        <v>0</v>
      </c>
      <c r="E7055" s="111">
        <f t="shared" si="114"/>
        <v>138710</v>
      </c>
      <c r="F7055" s="69">
        <v>4.7075111060552149E-2</v>
      </c>
      <c r="G7055" s="69">
        <v>6.0555555555555557E-2</v>
      </c>
    </row>
    <row r="7056" spans="1:7" x14ac:dyDescent="0.3">
      <c r="A7056" s="24">
        <v>41934</v>
      </c>
      <c r="B7056" s="66">
        <v>1260.52</v>
      </c>
      <c r="C7056" s="66">
        <v>915</v>
      </c>
      <c r="D7056" s="70">
        <v>0</v>
      </c>
      <c r="E7056" s="111">
        <f t="shared" si="114"/>
        <v>138710</v>
      </c>
      <c r="F7056" s="69">
        <v>4.7075111060552149E-2</v>
      </c>
      <c r="G7056" s="69">
        <v>6.0555555555555557E-2</v>
      </c>
    </row>
    <row r="7057" spans="1:7" x14ac:dyDescent="0.3">
      <c r="A7057" s="24">
        <v>41935</v>
      </c>
      <c r="B7057" s="66">
        <v>1260.52</v>
      </c>
      <c r="C7057" s="66">
        <v>910</v>
      </c>
      <c r="D7057" s="70">
        <v>0</v>
      </c>
      <c r="E7057" s="111">
        <f t="shared" si="114"/>
        <v>138710</v>
      </c>
      <c r="F7057" s="69">
        <v>4.7075111060552149E-2</v>
      </c>
      <c r="G7057" s="69">
        <v>6.0555555555555557E-2</v>
      </c>
    </row>
    <row r="7058" spans="1:7" x14ac:dyDescent="0.3">
      <c r="A7058" s="24">
        <v>41936</v>
      </c>
      <c r="B7058" s="66">
        <v>1260.52</v>
      </c>
      <c r="C7058" s="66">
        <v>910</v>
      </c>
      <c r="D7058" s="70">
        <v>0</v>
      </c>
      <c r="E7058" s="111">
        <f t="shared" si="114"/>
        <v>138710</v>
      </c>
      <c r="F7058" s="69">
        <v>4.7075111060552149E-2</v>
      </c>
      <c r="G7058" s="69">
        <v>6.0562284698299815E-2</v>
      </c>
    </row>
    <row r="7059" spans="1:7" x14ac:dyDescent="0.3">
      <c r="A7059" s="24">
        <v>41937</v>
      </c>
      <c r="B7059" s="66">
        <v>1260.52</v>
      </c>
      <c r="C7059" s="66">
        <v>910</v>
      </c>
      <c r="D7059" s="70">
        <v>0</v>
      </c>
      <c r="E7059" s="111">
        <f t="shared" si="114"/>
        <v>138710</v>
      </c>
      <c r="F7059" s="69">
        <v>4.7075111060552149E-2</v>
      </c>
      <c r="G7059" s="69">
        <v>6.0562284698299815E-2</v>
      </c>
    </row>
    <row r="7060" spans="1:7" x14ac:dyDescent="0.3">
      <c r="A7060" s="24">
        <v>41938</v>
      </c>
      <c r="B7060" s="66">
        <v>1260.52</v>
      </c>
      <c r="C7060" s="66">
        <v>910</v>
      </c>
      <c r="D7060" s="70">
        <v>0</v>
      </c>
      <c r="E7060" s="111">
        <f t="shared" si="114"/>
        <v>138710</v>
      </c>
      <c r="F7060" s="69">
        <v>4.7075111060552149E-2</v>
      </c>
      <c r="G7060" s="69">
        <v>6.0562284698299815E-2</v>
      </c>
    </row>
    <row r="7061" spans="1:7" x14ac:dyDescent="0.3">
      <c r="A7061" s="24">
        <v>41939</v>
      </c>
      <c r="B7061" s="66">
        <v>1260.52</v>
      </c>
      <c r="C7061" s="66">
        <v>910</v>
      </c>
      <c r="D7061" s="70">
        <v>0</v>
      </c>
      <c r="E7061" s="111">
        <f t="shared" si="114"/>
        <v>138710</v>
      </c>
      <c r="F7061" s="69">
        <v>4.7075111060552149E-2</v>
      </c>
      <c r="G7061" s="69">
        <v>6.0562284698299815E-2</v>
      </c>
    </row>
    <row r="7062" spans="1:7" x14ac:dyDescent="0.3">
      <c r="A7062" s="24">
        <v>41940</v>
      </c>
      <c r="B7062" s="66">
        <v>1260.52</v>
      </c>
      <c r="C7062" s="66">
        <v>910</v>
      </c>
      <c r="D7062" s="70">
        <v>0</v>
      </c>
      <c r="E7062" s="111">
        <f t="shared" si="114"/>
        <v>138710</v>
      </c>
      <c r="F7062" s="69">
        <v>4.7075111060552149E-2</v>
      </c>
      <c r="G7062" s="69">
        <v>6.0623588693978797E-2</v>
      </c>
    </row>
    <row r="7063" spans="1:7" x14ac:dyDescent="0.3">
      <c r="A7063" s="24">
        <v>41941</v>
      </c>
      <c r="B7063" s="66">
        <v>1260.52</v>
      </c>
      <c r="C7063" s="66">
        <v>900.1</v>
      </c>
      <c r="D7063" s="70">
        <v>0</v>
      </c>
      <c r="E7063" s="111">
        <f t="shared" si="114"/>
        <v>138710</v>
      </c>
      <c r="F7063" s="69">
        <v>4.6171024251224588E-2</v>
      </c>
      <c r="G7063" s="69">
        <v>6.2643678160919536E-2</v>
      </c>
    </row>
    <row r="7064" spans="1:7" x14ac:dyDescent="0.3">
      <c r="A7064" s="24">
        <v>41942</v>
      </c>
      <c r="B7064" s="66">
        <v>1243.3690000000001</v>
      </c>
      <c r="C7064" s="66">
        <v>900.1</v>
      </c>
      <c r="D7064" s="70">
        <v>0</v>
      </c>
      <c r="E7064" s="111">
        <f t="shared" si="114"/>
        <v>138710</v>
      </c>
      <c r="F7064" s="69">
        <v>4.6171024251224588E-2</v>
      </c>
      <c r="G7064" s="69">
        <v>6.2643678160919536E-2</v>
      </c>
    </row>
    <row r="7065" spans="1:7" x14ac:dyDescent="0.3">
      <c r="A7065" s="24">
        <v>41943</v>
      </c>
      <c r="B7065" s="66">
        <v>1243.3690000000001</v>
      </c>
      <c r="C7065" s="66">
        <v>900.1</v>
      </c>
      <c r="D7065" s="70">
        <v>0</v>
      </c>
      <c r="E7065" s="111">
        <f t="shared" si="114"/>
        <v>138710</v>
      </c>
      <c r="F7065" s="69">
        <v>4.6171024251224588E-2</v>
      </c>
      <c r="G7065" s="69">
        <v>6.2643678160919536E-2</v>
      </c>
    </row>
    <row r="7066" spans="1:7" x14ac:dyDescent="0.3">
      <c r="A7066" s="24">
        <v>41944</v>
      </c>
      <c r="B7066" s="66">
        <v>1243.3690000000001</v>
      </c>
      <c r="C7066" s="66">
        <v>900.1</v>
      </c>
      <c r="D7066" s="70">
        <v>0</v>
      </c>
      <c r="E7066" s="111">
        <f t="shared" si="114"/>
        <v>138710</v>
      </c>
      <c r="F7066" s="69">
        <v>4.6171024251224588E-2</v>
      </c>
      <c r="G7066" s="69">
        <v>6.2643678160919536E-2</v>
      </c>
    </row>
    <row r="7067" spans="1:7" x14ac:dyDescent="0.3">
      <c r="A7067" s="24">
        <v>41945</v>
      </c>
      <c r="B7067" s="66">
        <v>1243.3690000000001</v>
      </c>
      <c r="C7067" s="66">
        <v>900.1</v>
      </c>
      <c r="D7067" s="70">
        <v>0</v>
      </c>
      <c r="E7067" s="111">
        <f t="shared" si="114"/>
        <v>138710</v>
      </c>
      <c r="F7067" s="69">
        <v>4.6171024251224588E-2</v>
      </c>
      <c r="G7067" s="69">
        <v>6.2643678160919536E-2</v>
      </c>
    </row>
    <row r="7068" spans="1:7" x14ac:dyDescent="0.3">
      <c r="A7068" s="24">
        <v>41946</v>
      </c>
      <c r="B7068" s="66">
        <v>1243.3690000000001</v>
      </c>
      <c r="C7068" s="66">
        <v>900</v>
      </c>
      <c r="D7068" s="70">
        <v>0</v>
      </c>
      <c r="E7068" s="111">
        <f t="shared" si="114"/>
        <v>138710</v>
      </c>
      <c r="F7068" s="69">
        <v>4.6171024251224588E-2</v>
      </c>
      <c r="G7068" s="69">
        <v>6.2643678160919536E-2</v>
      </c>
    </row>
    <row r="7069" spans="1:7" x14ac:dyDescent="0.3">
      <c r="A7069" s="24">
        <v>41947</v>
      </c>
      <c r="B7069" s="66">
        <v>1243.3690000000001</v>
      </c>
      <c r="C7069" s="66">
        <v>905</v>
      </c>
      <c r="D7069" s="70">
        <v>0</v>
      </c>
      <c r="E7069" s="111">
        <f t="shared" si="114"/>
        <v>138710</v>
      </c>
      <c r="F7069" s="69">
        <v>4.6171024251224588E-2</v>
      </c>
      <c r="G7069" s="69">
        <v>6.2285714285714285E-2</v>
      </c>
    </row>
    <row r="7070" spans="1:7" x14ac:dyDescent="0.3">
      <c r="A7070" s="24">
        <v>41948</v>
      </c>
      <c r="B7070" s="66">
        <v>1243.3690000000001</v>
      </c>
      <c r="C7070" s="66">
        <v>905.01</v>
      </c>
      <c r="D7070" s="70">
        <v>0</v>
      </c>
      <c r="E7070" s="111">
        <f t="shared" si="114"/>
        <v>138710</v>
      </c>
      <c r="F7070" s="69">
        <v>4.6171024251224588E-2</v>
      </c>
      <c r="G7070" s="69">
        <v>6.2285714285714285E-2</v>
      </c>
    </row>
    <row r="7071" spans="1:7" x14ac:dyDescent="0.3">
      <c r="A7071" s="24">
        <v>41949</v>
      </c>
      <c r="B7071" s="66">
        <v>1243.3690000000001</v>
      </c>
      <c r="C7071" s="66">
        <v>905.01</v>
      </c>
      <c r="D7071" s="70">
        <v>0</v>
      </c>
      <c r="E7071" s="111">
        <f t="shared" si="114"/>
        <v>138710</v>
      </c>
      <c r="F7071" s="69">
        <v>4.6171024251224588E-2</v>
      </c>
      <c r="G7071" s="69">
        <v>6.1235955056179778E-2</v>
      </c>
    </row>
    <row r="7072" spans="1:7" x14ac:dyDescent="0.3">
      <c r="A7072" s="24">
        <v>41950</v>
      </c>
      <c r="B7072" s="66">
        <v>1243.3690000000001</v>
      </c>
      <c r="C7072" s="66">
        <v>905</v>
      </c>
      <c r="D7072" s="70">
        <v>0</v>
      </c>
      <c r="E7072" s="111">
        <f t="shared" si="114"/>
        <v>138710</v>
      </c>
      <c r="F7072" s="69">
        <v>4.6171024251224588E-2</v>
      </c>
      <c r="G7072" s="69">
        <v>6.0555555555555557E-2</v>
      </c>
    </row>
    <row r="7073" spans="1:7" x14ac:dyDescent="0.3">
      <c r="A7073" s="24">
        <v>41951</v>
      </c>
      <c r="B7073" s="66">
        <v>1243.3690000000001</v>
      </c>
      <c r="C7073" s="66">
        <v>905</v>
      </c>
      <c r="D7073" s="70">
        <v>0</v>
      </c>
      <c r="E7073" s="111">
        <f t="shared" si="114"/>
        <v>138710</v>
      </c>
      <c r="F7073" s="69">
        <v>4.6171024251224588E-2</v>
      </c>
      <c r="G7073" s="69">
        <v>6.0555555555555557E-2</v>
      </c>
    </row>
    <row r="7074" spans="1:7" x14ac:dyDescent="0.3">
      <c r="A7074" s="24">
        <v>41952</v>
      </c>
      <c r="B7074" s="66">
        <v>1243.3690000000001</v>
      </c>
      <c r="C7074" s="66">
        <v>905</v>
      </c>
      <c r="D7074" s="70">
        <v>0</v>
      </c>
      <c r="E7074" s="111">
        <f t="shared" si="114"/>
        <v>138710</v>
      </c>
      <c r="F7074" s="69">
        <v>4.6171024251224588E-2</v>
      </c>
      <c r="G7074" s="69">
        <v>6.0555555555555557E-2</v>
      </c>
    </row>
    <row r="7075" spans="1:7" x14ac:dyDescent="0.3">
      <c r="A7075" s="24">
        <v>41953</v>
      </c>
      <c r="B7075" s="66">
        <v>1243.3690000000001</v>
      </c>
      <c r="C7075" s="66">
        <v>909</v>
      </c>
      <c r="D7075" s="70">
        <v>0</v>
      </c>
      <c r="E7075" s="111">
        <f t="shared" si="114"/>
        <v>138710</v>
      </c>
      <c r="F7075" s="69">
        <v>4.6171024251224588E-2</v>
      </c>
      <c r="G7075" s="69">
        <v>6.0556228402537805E-2</v>
      </c>
    </row>
    <row r="7076" spans="1:7" x14ac:dyDescent="0.3">
      <c r="A7076" s="24">
        <v>41954</v>
      </c>
      <c r="B7076" s="66">
        <v>1243.3690000000001</v>
      </c>
      <c r="C7076" s="66">
        <v>905</v>
      </c>
      <c r="D7076" s="70">
        <v>0</v>
      </c>
      <c r="E7076" s="111">
        <f t="shared" si="114"/>
        <v>138710</v>
      </c>
      <c r="F7076" s="69">
        <v>4.6171024251224588E-2</v>
      </c>
      <c r="G7076" s="69">
        <v>6.0555555555555557E-2</v>
      </c>
    </row>
    <row r="7077" spans="1:7" x14ac:dyDescent="0.3">
      <c r="A7077" s="24">
        <v>41955</v>
      </c>
      <c r="B7077" s="66">
        <v>1243.3690000000001</v>
      </c>
      <c r="C7077" s="66">
        <v>905</v>
      </c>
      <c r="D7077" s="70">
        <v>0</v>
      </c>
      <c r="E7077" s="111">
        <f t="shared" si="114"/>
        <v>138710</v>
      </c>
      <c r="F7077" s="69">
        <v>4.6171024251224588E-2</v>
      </c>
      <c r="G7077" s="69">
        <v>6.0220994475138123E-2</v>
      </c>
    </row>
    <row r="7078" spans="1:7" x14ac:dyDescent="0.3">
      <c r="A7078" s="24">
        <v>41956</v>
      </c>
      <c r="B7078" s="66">
        <v>1243.3690000000001</v>
      </c>
      <c r="C7078" s="66">
        <v>909</v>
      </c>
      <c r="D7078" s="70">
        <v>0</v>
      </c>
      <c r="E7078" s="111">
        <f t="shared" si="114"/>
        <v>138710</v>
      </c>
      <c r="F7078" s="69">
        <v>4.6171024251224588E-2</v>
      </c>
      <c r="G7078" s="69">
        <v>6.0220994475138123E-2</v>
      </c>
    </row>
    <row r="7079" spans="1:7" x14ac:dyDescent="0.3">
      <c r="A7079" s="24">
        <v>41957</v>
      </c>
      <c r="B7079" s="66">
        <v>1243.3690000000001</v>
      </c>
      <c r="C7079" s="66">
        <v>920</v>
      </c>
      <c r="D7079" s="70">
        <v>0</v>
      </c>
      <c r="E7079" s="111">
        <f t="shared" si="114"/>
        <v>138710</v>
      </c>
      <c r="F7079" s="69">
        <v>4.6171024251224588E-2</v>
      </c>
      <c r="G7079" s="69">
        <v>6.0220994475138123E-2</v>
      </c>
    </row>
    <row r="7080" spans="1:7" x14ac:dyDescent="0.3">
      <c r="A7080" s="24">
        <v>41958</v>
      </c>
      <c r="B7080" s="66">
        <v>1243.3690000000001</v>
      </c>
      <c r="C7080" s="66">
        <v>920</v>
      </c>
      <c r="D7080" s="70">
        <v>0</v>
      </c>
      <c r="E7080" s="111">
        <f t="shared" si="114"/>
        <v>138710</v>
      </c>
      <c r="F7080" s="69">
        <v>4.6171024251224588E-2</v>
      </c>
      <c r="G7080" s="69">
        <v>6.0220994475138123E-2</v>
      </c>
    </row>
    <row r="7081" spans="1:7" x14ac:dyDescent="0.3">
      <c r="A7081" s="24">
        <v>41959</v>
      </c>
      <c r="B7081" s="66">
        <v>1243.3690000000001</v>
      </c>
      <c r="C7081" s="66">
        <v>920</v>
      </c>
      <c r="D7081" s="70">
        <v>0</v>
      </c>
      <c r="E7081" s="111">
        <f t="shared" si="114"/>
        <v>138710</v>
      </c>
      <c r="F7081" s="69">
        <v>4.6171024251224588E-2</v>
      </c>
      <c r="G7081" s="69">
        <v>6.0220994475138123E-2</v>
      </c>
    </row>
    <row r="7082" spans="1:7" x14ac:dyDescent="0.3">
      <c r="A7082" s="24">
        <v>41960</v>
      </c>
      <c r="B7082" s="66">
        <v>1243.3690000000001</v>
      </c>
      <c r="C7082" s="66">
        <v>920</v>
      </c>
      <c r="D7082" s="70">
        <v>0</v>
      </c>
      <c r="E7082" s="111">
        <f t="shared" si="114"/>
        <v>138710</v>
      </c>
      <c r="F7082" s="69">
        <v>4.6171024251224588E-2</v>
      </c>
      <c r="G7082" s="69">
        <v>5.9890109890109892E-2</v>
      </c>
    </row>
    <row r="7083" spans="1:7" x14ac:dyDescent="0.3">
      <c r="A7083" s="24">
        <v>41961</v>
      </c>
      <c r="B7083" s="66">
        <v>1243.3690000000001</v>
      </c>
      <c r="C7083" s="66">
        <v>920.5</v>
      </c>
      <c r="D7083" s="70">
        <v>0</v>
      </c>
      <c r="E7083" s="111">
        <f t="shared" si="114"/>
        <v>138710</v>
      </c>
      <c r="F7083" s="69">
        <v>4.6171024251224588E-2</v>
      </c>
      <c r="G7083" s="69">
        <v>6.0220994475138123E-2</v>
      </c>
    </row>
    <row r="7084" spans="1:7" x14ac:dyDescent="0.3">
      <c r="A7084" s="24">
        <v>41962</v>
      </c>
      <c r="B7084" s="66">
        <v>1243.3690000000001</v>
      </c>
      <c r="C7084" s="66">
        <v>920.5</v>
      </c>
      <c r="D7084" s="70">
        <v>0</v>
      </c>
      <c r="E7084" s="111">
        <f t="shared" si="114"/>
        <v>138710</v>
      </c>
      <c r="F7084" s="69">
        <v>4.6171024251224588E-2</v>
      </c>
      <c r="G7084" s="69">
        <v>6.0187741579237987E-2</v>
      </c>
    </row>
    <row r="7085" spans="1:7" x14ac:dyDescent="0.3">
      <c r="A7085" s="24">
        <v>41963</v>
      </c>
      <c r="B7085" s="66">
        <v>1243.3690000000001</v>
      </c>
      <c r="C7085" s="66">
        <v>920.6</v>
      </c>
      <c r="D7085" s="70">
        <v>0</v>
      </c>
      <c r="E7085" s="111">
        <f t="shared" si="114"/>
        <v>138710</v>
      </c>
      <c r="F7085" s="69">
        <v>4.6171024251224588E-2</v>
      </c>
      <c r="G7085" s="69">
        <v>6.0181095406360421E-2</v>
      </c>
    </row>
    <row r="7086" spans="1:7" x14ac:dyDescent="0.3">
      <c r="A7086" s="24">
        <v>41964</v>
      </c>
      <c r="B7086" s="66">
        <v>1243.3690000000001</v>
      </c>
      <c r="C7086" s="66">
        <v>935</v>
      </c>
      <c r="D7086" s="70">
        <v>0</v>
      </c>
      <c r="E7086" s="111">
        <f t="shared" si="114"/>
        <v>138710</v>
      </c>
      <c r="F7086" s="69">
        <v>4.6171024251224588E-2</v>
      </c>
      <c r="G7086" s="69">
        <v>6.0153861436407989E-2</v>
      </c>
    </row>
    <row r="7087" spans="1:7" x14ac:dyDescent="0.3">
      <c r="A7087" s="24">
        <v>41965</v>
      </c>
      <c r="B7087" s="66">
        <v>1243.3690000000001</v>
      </c>
      <c r="C7087" s="66">
        <v>935</v>
      </c>
      <c r="D7087" s="70">
        <v>0</v>
      </c>
      <c r="E7087" s="111">
        <f t="shared" si="114"/>
        <v>138710</v>
      </c>
      <c r="F7087" s="69">
        <v>4.6171024251224588E-2</v>
      </c>
      <c r="G7087" s="69">
        <v>6.0153861436407989E-2</v>
      </c>
    </row>
    <row r="7088" spans="1:7" x14ac:dyDescent="0.3">
      <c r="A7088" s="24">
        <v>41966</v>
      </c>
      <c r="B7088" s="66">
        <v>1243.3690000000001</v>
      </c>
      <c r="C7088" s="66">
        <v>935</v>
      </c>
      <c r="D7088" s="70">
        <v>0</v>
      </c>
      <c r="E7088" s="111">
        <f t="shared" si="114"/>
        <v>138710</v>
      </c>
      <c r="F7088" s="69">
        <v>4.6171024251224588E-2</v>
      </c>
      <c r="G7088" s="69">
        <v>6.0153861436407989E-2</v>
      </c>
    </row>
    <row r="7089" spans="1:7" x14ac:dyDescent="0.3">
      <c r="A7089" s="24">
        <v>41967</v>
      </c>
      <c r="B7089" s="66">
        <v>1243.3690000000001</v>
      </c>
      <c r="C7089" s="66">
        <v>930.1</v>
      </c>
      <c r="D7089" s="70">
        <v>0</v>
      </c>
      <c r="E7089" s="111">
        <f t="shared" si="114"/>
        <v>138710</v>
      </c>
      <c r="F7089" s="69">
        <v>4.6171024251224588E-2</v>
      </c>
      <c r="G7089" s="69">
        <v>5.9890109890109892E-2</v>
      </c>
    </row>
    <row r="7090" spans="1:7" x14ac:dyDescent="0.3">
      <c r="A7090" s="24">
        <v>41968</v>
      </c>
      <c r="B7090" s="66">
        <v>1243.3690000000001</v>
      </c>
      <c r="C7090" s="66">
        <v>930.2</v>
      </c>
      <c r="D7090" s="70">
        <v>0</v>
      </c>
      <c r="E7090" s="111">
        <f t="shared" si="114"/>
        <v>138710</v>
      </c>
      <c r="F7090" s="69">
        <v>4.6171024251224588E-2</v>
      </c>
      <c r="G7090" s="69">
        <v>5.9889451764266327E-2</v>
      </c>
    </row>
    <row r="7091" spans="1:7" x14ac:dyDescent="0.3">
      <c r="A7091" s="24">
        <v>41969</v>
      </c>
      <c r="B7091" s="66">
        <v>1243.3690000000001</v>
      </c>
      <c r="C7091" s="66">
        <v>940</v>
      </c>
      <c r="D7091" s="70">
        <v>0</v>
      </c>
      <c r="E7091" s="111">
        <f t="shared" si="114"/>
        <v>138710</v>
      </c>
      <c r="F7091" s="69">
        <v>4.6171024251224588E-2</v>
      </c>
      <c r="G7091" s="69">
        <v>5.955633264124139E-2</v>
      </c>
    </row>
    <row r="7092" spans="1:7" x14ac:dyDescent="0.3">
      <c r="A7092" s="24">
        <v>41970</v>
      </c>
      <c r="B7092" s="66">
        <v>1243.3690000000001</v>
      </c>
      <c r="C7092" s="66">
        <v>951</v>
      </c>
      <c r="D7092" s="70">
        <v>0</v>
      </c>
      <c r="E7092" s="111">
        <f t="shared" si="114"/>
        <v>138710</v>
      </c>
      <c r="F7092" s="69">
        <v>4.6171024251224588E-2</v>
      </c>
      <c r="G7092" s="69">
        <v>5.9239130434782607E-2</v>
      </c>
    </row>
    <row r="7093" spans="1:7" x14ac:dyDescent="0.3">
      <c r="A7093" s="24">
        <v>41971</v>
      </c>
      <c r="B7093" s="66">
        <v>1243.3690000000001</v>
      </c>
      <c r="C7093" s="66">
        <v>958.51</v>
      </c>
      <c r="D7093" s="70">
        <v>0</v>
      </c>
      <c r="E7093" s="111">
        <f t="shared" si="114"/>
        <v>138710</v>
      </c>
      <c r="F7093" s="69">
        <v>4.6171024251224588E-2</v>
      </c>
      <c r="G7093" s="69">
        <v>5.797872340425532E-2</v>
      </c>
    </row>
    <row r="7094" spans="1:7" x14ac:dyDescent="0.3">
      <c r="A7094" s="24">
        <v>41972</v>
      </c>
      <c r="B7094" s="66">
        <v>1243.3690000000001</v>
      </c>
      <c r="C7094" s="66">
        <v>958.51</v>
      </c>
      <c r="D7094" s="70">
        <v>0</v>
      </c>
      <c r="E7094" s="111">
        <f t="shared" si="114"/>
        <v>138710</v>
      </c>
      <c r="F7094" s="69">
        <v>4.6171024251224588E-2</v>
      </c>
      <c r="G7094" s="69">
        <v>5.797872340425532E-2</v>
      </c>
    </row>
    <row r="7095" spans="1:7" x14ac:dyDescent="0.3">
      <c r="A7095" s="24">
        <v>41973</v>
      </c>
      <c r="B7095" s="66">
        <v>1243.3690000000001</v>
      </c>
      <c r="C7095" s="66">
        <v>958.51</v>
      </c>
      <c r="D7095" s="70">
        <v>0</v>
      </c>
      <c r="E7095" s="111">
        <f t="shared" si="114"/>
        <v>138710</v>
      </c>
      <c r="F7095" s="69">
        <v>4.6171024251224588E-2</v>
      </c>
      <c r="G7095" s="69">
        <v>5.797872340425532E-2</v>
      </c>
    </row>
    <row r="7096" spans="1:7" x14ac:dyDescent="0.3">
      <c r="A7096" s="24">
        <v>41974</v>
      </c>
      <c r="B7096" s="66">
        <v>1243.3690000000001</v>
      </c>
      <c r="C7096" s="66">
        <v>980</v>
      </c>
      <c r="D7096" s="70">
        <v>0</v>
      </c>
      <c r="E7096" s="111">
        <f t="shared" si="114"/>
        <v>138710</v>
      </c>
      <c r="F7096" s="69">
        <v>4.6171024251224588E-2</v>
      </c>
      <c r="G7096" s="69">
        <v>5.7977489840641681E-2</v>
      </c>
    </row>
    <row r="7097" spans="1:7" x14ac:dyDescent="0.3">
      <c r="A7097" s="24">
        <v>41975</v>
      </c>
      <c r="B7097" s="66">
        <v>1243.3690000000001</v>
      </c>
      <c r="C7097" s="66">
        <v>975</v>
      </c>
      <c r="D7097" s="70">
        <v>0</v>
      </c>
      <c r="E7097" s="111">
        <f t="shared" si="114"/>
        <v>138710</v>
      </c>
      <c r="F7097" s="69">
        <v>4.6171024251224588E-2</v>
      </c>
      <c r="G7097" s="69">
        <v>5.7368421052631575E-2</v>
      </c>
    </row>
    <row r="7098" spans="1:7" x14ac:dyDescent="0.3">
      <c r="A7098" s="24">
        <v>41976</v>
      </c>
      <c r="B7098" s="66">
        <v>1243.3690000000001</v>
      </c>
      <c r="C7098" s="66">
        <v>974</v>
      </c>
      <c r="D7098" s="70">
        <v>0</v>
      </c>
      <c r="E7098" s="111">
        <f t="shared" si="114"/>
        <v>138710</v>
      </c>
      <c r="F7098" s="69">
        <v>4.6171024251224588E-2</v>
      </c>
      <c r="G7098" s="69">
        <v>5.717582878724297E-2</v>
      </c>
    </row>
    <row r="7099" spans="1:7" x14ac:dyDescent="0.3">
      <c r="A7099" s="24">
        <v>41977</v>
      </c>
      <c r="B7099" s="66">
        <v>1243.3690000000001</v>
      </c>
      <c r="C7099" s="66">
        <v>974</v>
      </c>
      <c r="D7099" s="70">
        <v>0</v>
      </c>
      <c r="E7099" s="111">
        <f t="shared" si="114"/>
        <v>138710</v>
      </c>
      <c r="F7099" s="69">
        <v>4.5736440613959262E-2</v>
      </c>
      <c r="G7099" s="69">
        <v>5.7368421052631575E-2</v>
      </c>
    </row>
    <row r="7100" spans="1:7" x14ac:dyDescent="0.3">
      <c r="A7100" s="24">
        <v>41978</v>
      </c>
      <c r="B7100" s="66">
        <v>1243.3690000000001</v>
      </c>
      <c r="C7100" s="66">
        <v>950</v>
      </c>
      <c r="D7100" s="70">
        <v>0</v>
      </c>
      <c r="E7100" s="111">
        <f t="shared" si="114"/>
        <v>138710</v>
      </c>
      <c r="F7100" s="69">
        <v>4.5736440613959262E-2</v>
      </c>
      <c r="G7100" s="69">
        <v>5.7368421052631575E-2</v>
      </c>
    </row>
    <row r="7101" spans="1:7" x14ac:dyDescent="0.3">
      <c r="A7101" s="24">
        <v>41979</v>
      </c>
      <c r="B7101" s="66">
        <v>1243.3690000000001</v>
      </c>
      <c r="C7101" s="66">
        <v>950</v>
      </c>
      <c r="D7101" s="70">
        <v>0</v>
      </c>
      <c r="E7101" s="111">
        <f t="shared" si="114"/>
        <v>138710</v>
      </c>
      <c r="F7101" s="69">
        <v>4.5736440613959262E-2</v>
      </c>
      <c r="G7101" s="69">
        <v>5.7368421052631575E-2</v>
      </c>
    </row>
    <row r="7102" spans="1:7" x14ac:dyDescent="0.3">
      <c r="A7102" s="24">
        <v>41980</v>
      </c>
      <c r="B7102" s="66">
        <v>1243.3690000000001</v>
      </c>
      <c r="C7102" s="66">
        <v>950</v>
      </c>
      <c r="D7102" s="70">
        <v>0</v>
      </c>
      <c r="E7102" s="111">
        <f t="shared" si="114"/>
        <v>138710</v>
      </c>
      <c r="F7102" s="69">
        <v>4.5736440613959262E-2</v>
      </c>
      <c r="G7102" s="69">
        <v>5.7368421052631575E-2</v>
      </c>
    </row>
    <row r="7103" spans="1:7" x14ac:dyDescent="0.3">
      <c r="A7103" s="24">
        <v>41981</v>
      </c>
      <c r="B7103" s="66">
        <v>1243.3690000000001</v>
      </c>
      <c r="C7103" s="66">
        <v>950</v>
      </c>
      <c r="D7103" s="70">
        <v>0</v>
      </c>
      <c r="E7103" s="111">
        <f t="shared" si="114"/>
        <v>138710</v>
      </c>
      <c r="F7103" s="69">
        <v>4.5736440613959262E-2</v>
      </c>
      <c r="G7103" s="69">
        <v>5.7368421052631575E-2</v>
      </c>
    </row>
    <row r="7104" spans="1:7" x14ac:dyDescent="0.3">
      <c r="A7104" s="24">
        <v>41982</v>
      </c>
      <c r="B7104" s="66">
        <v>1243.3690000000001</v>
      </c>
      <c r="C7104" s="66">
        <v>950</v>
      </c>
      <c r="D7104" s="70">
        <v>0</v>
      </c>
      <c r="E7104" s="111">
        <f t="shared" si="114"/>
        <v>138710</v>
      </c>
      <c r="F7104" s="69">
        <v>4.5736440613959262E-2</v>
      </c>
      <c r="G7104" s="69">
        <v>5.7368421052631575E-2</v>
      </c>
    </row>
    <row r="7105" spans="1:7" x14ac:dyDescent="0.3">
      <c r="A7105" s="24">
        <v>41983</v>
      </c>
      <c r="B7105" s="66">
        <v>1243.3690000000001</v>
      </c>
      <c r="C7105" s="66">
        <v>950</v>
      </c>
      <c r="D7105" s="70">
        <v>0</v>
      </c>
      <c r="E7105" s="111">
        <f t="shared" si="114"/>
        <v>138710</v>
      </c>
      <c r="F7105" s="69">
        <v>4.5736440613959262E-2</v>
      </c>
      <c r="G7105" s="69">
        <v>5.797872340425532E-2</v>
      </c>
    </row>
    <row r="7106" spans="1:7" x14ac:dyDescent="0.3">
      <c r="A7106" s="24">
        <v>41984</v>
      </c>
      <c r="B7106" s="66">
        <v>1243.3690000000001</v>
      </c>
      <c r="C7106" s="66">
        <v>950</v>
      </c>
      <c r="D7106" s="70">
        <v>0</v>
      </c>
      <c r="E7106" s="111">
        <f t="shared" si="114"/>
        <v>138710</v>
      </c>
      <c r="F7106" s="69">
        <v>4.5736440613959262E-2</v>
      </c>
      <c r="G7106" s="69">
        <v>5.797872340425532E-2</v>
      </c>
    </row>
    <row r="7107" spans="1:7" x14ac:dyDescent="0.3">
      <c r="A7107" s="24">
        <v>41985</v>
      </c>
      <c r="B7107" s="66">
        <v>1243.3690000000001</v>
      </c>
      <c r="C7107" s="66">
        <v>950.1</v>
      </c>
      <c r="D7107" s="70">
        <v>0</v>
      </c>
      <c r="E7107" s="111">
        <f t="shared" si="114"/>
        <v>138710</v>
      </c>
      <c r="F7107" s="69">
        <v>4.5736440613959262E-2</v>
      </c>
      <c r="G7107" s="69">
        <v>5.797872340425532E-2</v>
      </c>
    </row>
    <row r="7108" spans="1:7" x14ac:dyDescent="0.3">
      <c r="A7108" s="24">
        <v>41986</v>
      </c>
      <c r="B7108" s="66">
        <v>1243.3690000000001</v>
      </c>
      <c r="C7108" s="66">
        <v>950.1</v>
      </c>
      <c r="D7108" s="70">
        <v>0</v>
      </c>
      <c r="E7108" s="111">
        <f t="shared" si="114"/>
        <v>138710</v>
      </c>
      <c r="F7108" s="69">
        <v>4.5736440613959262E-2</v>
      </c>
      <c r="G7108" s="69">
        <v>5.797872340425532E-2</v>
      </c>
    </row>
    <row r="7109" spans="1:7" x14ac:dyDescent="0.3">
      <c r="A7109" s="24">
        <v>41987</v>
      </c>
      <c r="B7109" s="66">
        <v>1243.3690000000001</v>
      </c>
      <c r="C7109" s="66">
        <v>950.1</v>
      </c>
      <c r="D7109" s="70">
        <v>0</v>
      </c>
      <c r="E7109" s="111">
        <f t="shared" si="114"/>
        <v>138710</v>
      </c>
      <c r="F7109" s="69">
        <v>4.5736440613959262E-2</v>
      </c>
      <c r="G7109" s="69">
        <v>5.797872340425532E-2</v>
      </c>
    </row>
    <row r="7110" spans="1:7" x14ac:dyDescent="0.3">
      <c r="A7110" s="24">
        <v>41988</v>
      </c>
      <c r="B7110" s="66">
        <v>1243.3690000000001</v>
      </c>
      <c r="C7110" s="66">
        <v>950</v>
      </c>
      <c r="D7110" s="70">
        <v>0</v>
      </c>
      <c r="E7110" s="111">
        <f t="shared" si="114"/>
        <v>138710</v>
      </c>
      <c r="F7110" s="69">
        <v>4.5736440613959262E-2</v>
      </c>
      <c r="G7110" s="69">
        <v>5.797872340425532E-2</v>
      </c>
    </row>
    <row r="7111" spans="1:7" x14ac:dyDescent="0.3">
      <c r="A7111" s="24">
        <v>41989</v>
      </c>
      <c r="B7111" s="66">
        <v>1265.0170000000001</v>
      </c>
      <c r="C7111" s="66">
        <v>935</v>
      </c>
      <c r="D7111" s="70">
        <v>0</v>
      </c>
      <c r="E7111" s="111">
        <f t="shared" si="114"/>
        <v>138710</v>
      </c>
      <c r="F7111" s="69">
        <v>4.5736440613959262E-2</v>
      </c>
      <c r="G7111" s="69">
        <v>5.797872340425532E-2</v>
      </c>
    </row>
    <row r="7112" spans="1:7" x14ac:dyDescent="0.3">
      <c r="A7112" s="24">
        <v>41990</v>
      </c>
      <c r="B7112" s="66">
        <v>1265.0170000000001</v>
      </c>
      <c r="C7112" s="66">
        <v>930.1</v>
      </c>
      <c r="D7112" s="70">
        <v>0</v>
      </c>
      <c r="E7112" s="111">
        <f t="shared" si="114"/>
        <v>138710</v>
      </c>
      <c r="F7112" s="69">
        <v>4.5736440613959262E-2</v>
      </c>
      <c r="G7112" s="69">
        <v>5.8595849908611976E-2</v>
      </c>
    </row>
    <row r="7113" spans="1:7" x14ac:dyDescent="0.3">
      <c r="A7113" s="24">
        <v>41991</v>
      </c>
      <c r="B7113" s="66">
        <v>1265.0170000000001</v>
      </c>
      <c r="C7113" s="66">
        <v>935</v>
      </c>
      <c r="D7113" s="70">
        <v>0</v>
      </c>
      <c r="E7113" s="111">
        <f t="shared" ref="E7113:E7176" si="115">+E7112</f>
        <v>138710</v>
      </c>
      <c r="F7113" s="69">
        <v>4.5736440613959262E-2</v>
      </c>
      <c r="G7113" s="69">
        <v>5.853920515574651E-2</v>
      </c>
    </row>
    <row r="7114" spans="1:7" x14ac:dyDescent="0.3">
      <c r="A7114" s="24">
        <v>41992</v>
      </c>
      <c r="B7114" s="66">
        <v>1265.0170000000001</v>
      </c>
      <c r="C7114" s="66">
        <v>949</v>
      </c>
      <c r="D7114" s="70">
        <v>0</v>
      </c>
      <c r="E7114" s="111">
        <f t="shared" si="115"/>
        <v>138710</v>
      </c>
      <c r="F7114" s="69">
        <v>4.5736440613959262E-2</v>
      </c>
      <c r="G7114" s="69">
        <v>5.853920515574651E-2</v>
      </c>
    </row>
    <row r="7115" spans="1:7" x14ac:dyDescent="0.3">
      <c r="A7115" s="24">
        <v>41993</v>
      </c>
      <c r="B7115" s="66">
        <v>1265.0170000000001</v>
      </c>
      <c r="C7115" s="66">
        <v>949</v>
      </c>
      <c r="D7115" s="70">
        <v>0</v>
      </c>
      <c r="E7115" s="111">
        <f t="shared" si="115"/>
        <v>138710</v>
      </c>
      <c r="F7115" s="69">
        <v>3.7344433161856642E-2</v>
      </c>
      <c r="G7115" s="69">
        <v>4.7798066595059079E-2</v>
      </c>
    </row>
    <row r="7116" spans="1:7" x14ac:dyDescent="0.3">
      <c r="A7116" s="24">
        <v>41994</v>
      </c>
      <c r="B7116" s="66">
        <v>1265.0170000000001</v>
      </c>
      <c r="C7116" s="66">
        <v>949</v>
      </c>
      <c r="D7116" s="70">
        <v>0</v>
      </c>
      <c r="E7116" s="111">
        <f t="shared" si="115"/>
        <v>138710</v>
      </c>
      <c r="F7116" s="69">
        <v>3.7344433161856642E-2</v>
      </c>
      <c r="G7116" s="69">
        <v>4.7798066595059079E-2</v>
      </c>
    </row>
    <row r="7117" spans="1:7" x14ac:dyDescent="0.3">
      <c r="A7117" s="24">
        <v>41995</v>
      </c>
      <c r="B7117" s="66">
        <v>1265.0170000000001</v>
      </c>
      <c r="C7117" s="66">
        <v>950</v>
      </c>
      <c r="D7117" s="70">
        <v>0</v>
      </c>
      <c r="E7117" s="111">
        <f t="shared" si="115"/>
        <v>138710</v>
      </c>
      <c r="F7117" s="69">
        <v>3.7344433161856642E-2</v>
      </c>
      <c r="G7117" s="69">
        <v>4.7340425531914893E-2</v>
      </c>
    </row>
    <row r="7118" spans="1:7" x14ac:dyDescent="0.3">
      <c r="A7118" s="24">
        <v>41996</v>
      </c>
      <c r="B7118" s="66">
        <v>1265.0170000000001</v>
      </c>
      <c r="C7118" s="66">
        <v>950</v>
      </c>
      <c r="D7118" s="70">
        <v>11</v>
      </c>
      <c r="E7118" s="111">
        <f t="shared" si="115"/>
        <v>138710</v>
      </c>
      <c r="F7118" s="69">
        <v>4.6575641359169521E-2</v>
      </c>
      <c r="G7118" s="69">
        <v>5.9042553191489364E-2</v>
      </c>
    </row>
    <row r="7119" spans="1:7" x14ac:dyDescent="0.3">
      <c r="A7119" s="24">
        <v>41997</v>
      </c>
      <c r="B7119" s="66">
        <v>1265.0170000000001</v>
      </c>
      <c r="C7119" s="66">
        <v>950</v>
      </c>
      <c r="D7119" s="70">
        <v>0</v>
      </c>
      <c r="E7119" s="111">
        <f t="shared" si="115"/>
        <v>138710</v>
      </c>
      <c r="F7119" s="69">
        <v>4.6575641359169521E-2</v>
      </c>
      <c r="G7119" s="69">
        <v>5.9042553191489364E-2</v>
      </c>
    </row>
    <row r="7120" spans="1:7" x14ac:dyDescent="0.3">
      <c r="A7120" s="24">
        <v>41998</v>
      </c>
      <c r="B7120" s="66">
        <v>1265.0170000000001</v>
      </c>
      <c r="C7120" s="66">
        <v>950</v>
      </c>
      <c r="D7120" s="70">
        <v>0</v>
      </c>
      <c r="E7120" s="111">
        <f t="shared" si="115"/>
        <v>138710</v>
      </c>
      <c r="F7120" s="69">
        <v>4.6575641359169521E-2</v>
      </c>
      <c r="G7120" s="69">
        <v>5.9042553191489364E-2</v>
      </c>
    </row>
    <row r="7121" spans="1:7" x14ac:dyDescent="0.3">
      <c r="A7121" s="24">
        <v>41999</v>
      </c>
      <c r="B7121" s="66">
        <v>1265.0170000000001</v>
      </c>
      <c r="C7121" s="66">
        <v>950</v>
      </c>
      <c r="D7121" s="70">
        <v>0</v>
      </c>
      <c r="E7121" s="111">
        <f t="shared" si="115"/>
        <v>138710</v>
      </c>
      <c r="F7121" s="69">
        <v>4.6575641359169521E-2</v>
      </c>
      <c r="G7121" s="69">
        <v>5.9043181310439473E-2</v>
      </c>
    </row>
    <row r="7122" spans="1:7" x14ac:dyDescent="0.3">
      <c r="A7122" s="24">
        <v>42000</v>
      </c>
      <c r="B7122" s="66">
        <v>1265.0170000000001</v>
      </c>
      <c r="C7122" s="66">
        <v>950</v>
      </c>
      <c r="D7122" s="70">
        <v>0</v>
      </c>
      <c r="E7122" s="111">
        <f t="shared" si="115"/>
        <v>138710</v>
      </c>
      <c r="F7122" s="69">
        <v>4.6575641359169521E-2</v>
      </c>
      <c r="G7122" s="69">
        <v>5.9043181310439473E-2</v>
      </c>
    </row>
    <row r="7123" spans="1:7" x14ac:dyDescent="0.3">
      <c r="A7123" s="24">
        <v>42001</v>
      </c>
      <c r="B7123" s="66">
        <v>1265.0170000000001</v>
      </c>
      <c r="C7123" s="66">
        <v>950</v>
      </c>
      <c r="D7123" s="70">
        <v>0</v>
      </c>
      <c r="E7123" s="111">
        <f t="shared" si="115"/>
        <v>138710</v>
      </c>
      <c r="F7123" s="69">
        <v>4.6575641359169521E-2</v>
      </c>
      <c r="G7123" s="69">
        <v>5.9043181310439473E-2</v>
      </c>
    </row>
    <row r="7124" spans="1:7" x14ac:dyDescent="0.3">
      <c r="A7124" s="24">
        <v>42002</v>
      </c>
      <c r="B7124" s="66">
        <v>1265.0170000000001</v>
      </c>
      <c r="C7124" s="66">
        <v>950</v>
      </c>
      <c r="D7124" s="70">
        <v>0</v>
      </c>
      <c r="E7124" s="111">
        <f t="shared" si="115"/>
        <v>138710</v>
      </c>
      <c r="F7124" s="69">
        <v>4.6575641359169521E-2</v>
      </c>
      <c r="G7124" s="69">
        <v>5.9042553191489364E-2</v>
      </c>
    </row>
    <row r="7125" spans="1:7" x14ac:dyDescent="0.3">
      <c r="A7125" s="24">
        <v>42003</v>
      </c>
      <c r="B7125" s="66">
        <v>1265.0170000000001</v>
      </c>
      <c r="C7125" s="66">
        <v>950.1</v>
      </c>
      <c r="D7125" s="70">
        <v>0</v>
      </c>
      <c r="E7125" s="111">
        <f t="shared" si="115"/>
        <v>138710</v>
      </c>
      <c r="F7125" s="69">
        <v>4.6575641359169521E-2</v>
      </c>
      <c r="G7125" s="69">
        <v>5.9042553191489364E-2</v>
      </c>
    </row>
    <row r="7126" spans="1:7" x14ac:dyDescent="0.3">
      <c r="A7126" s="24">
        <v>42004</v>
      </c>
      <c r="B7126" s="66">
        <v>1265.0170000000001</v>
      </c>
      <c r="C7126" s="66">
        <v>950.1</v>
      </c>
      <c r="D7126" s="70">
        <v>0</v>
      </c>
      <c r="E7126" s="111">
        <f t="shared" si="115"/>
        <v>138710</v>
      </c>
      <c r="F7126" s="69">
        <v>4.6575641359169521E-2</v>
      </c>
      <c r="G7126" s="69">
        <v>5.9042553191489364E-2</v>
      </c>
    </row>
    <row r="7127" spans="1:7" x14ac:dyDescent="0.3">
      <c r="A7127" s="24">
        <v>42005</v>
      </c>
      <c r="B7127" s="66">
        <v>1265.0170000000001</v>
      </c>
      <c r="C7127" s="66">
        <v>950.1</v>
      </c>
      <c r="D7127" s="70">
        <v>0</v>
      </c>
      <c r="E7127" s="111">
        <f t="shared" si="115"/>
        <v>138710</v>
      </c>
      <c r="F7127" s="69">
        <v>4.6575641359169521E-2</v>
      </c>
      <c r="G7127" s="69">
        <v>5.9042553191489364E-2</v>
      </c>
    </row>
    <row r="7128" spans="1:7" x14ac:dyDescent="0.3">
      <c r="A7128" s="24">
        <v>42006</v>
      </c>
      <c r="B7128" s="66">
        <v>1265.0170000000001</v>
      </c>
      <c r="C7128" s="66">
        <v>950</v>
      </c>
      <c r="D7128" s="70">
        <v>0</v>
      </c>
      <c r="E7128" s="111">
        <f t="shared" si="115"/>
        <v>138710</v>
      </c>
      <c r="F7128" s="69">
        <v>4.6575641359169521E-2</v>
      </c>
      <c r="G7128" s="69">
        <v>5.9042553191489364E-2</v>
      </c>
    </row>
    <row r="7129" spans="1:7" x14ac:dyDescent="0.3">
      <c r="A7129" s="24">
        <v>42007</v>
      </c>
      <c r="B7129" s="66">
        <v>1265.0170000000001</v>
      </c>
      <c r="C7129" s="66">
        <v>950</v>
      </c>
      <c r="D7129" s="70">
        <v>0</v>
      </c>
      <c r="E7129" s="111">
        <f t="shared" si="115"/>
        <v>138710</v>
      </c>
      <c r="F7129" s="69">
        <v>4.6575641359169521E-2</v>
      </c>
      <c r="G7129" s="69">
        <v>5.9042553191489364E-2</v>
      </c>
    </row>
    <row r="7130" spans="1:7" x14ac:dyDescent="0.3">
      <c r="A7130" s="24">
        <v>42008</v>
      </c>
      <c r="B7130" s="66">
        <v>1265.0170000000001</v>
      </c>
      <c r="C7130" s="66">
        <v>950</v>
      </c>
      <c r="D7130" s="70">
        <v>0</v>
      </c>
      <c r="E7130" s="111">
        <f t="shared" si="115"/>
        <v>138710</v>
      </c>
      <c r="F7130" s="69">
        <v>4.6575641359169521E-2</v>
      </c>
      <c r="G7130" s="69">
        <v>5.9042553191489364E-2</v>
      </c>
    </row>
    <row r="7131" spans="1:7" x14ac:dyDescent="0.3">
      <c r="A7131" s="24">
        <v>42009</v>
      </c>
      <c r="B7131" s="66">
        <v>1265.0170000000001</v>
      </c>
      <c r="C7131" s="66">
        <v>950</v>
      </c>
      <c r="D7131" s="70">
        <v>0</v>
      </c>
      <c r="E7131" s="111">
        <f t="shared" si="115"/>
        <v>138710</v>
      </c>
      <c r="F7131" s="69">
        <v>4.6575641359169521E-2</v>
      </c>
      <c r="G7131" s="69">
        <v>5.9048834982444939E-2</v>
      </c>
    </row>
    <row r="7132" spans="1:7" x14ac:dyDescent="0.3">
      <c r="A7132" s="24">
        <v>42010</v>
      </c>
      <c r="B7132" s="66">
        <v>1265.0170000000001</v>
      </c>
      <c r="C7132" s="66">
        <v>950</v>
      </c>
      <c r="D7132" s="70">
        <v>0</v>
      </c>
      <c r="E7132" s="111">
        <f t="shared" si="115"/>
        <v>138710</v>
      </c>
      <c r="F7132" s="69">
        <v>4.6166784371170964E-2</v>
      </c>
      <c r="G7132" s="69">
        <v>5.9677419354838709E-2</v>
      </c>
    </row>
    <row r="7133" spans="1:7" x14ac:dyDescent="0.3">
      <c r="A7133" s="24">
        <v>42011</v>
      </c>
      <c r="B7133" s="66">
        <v>1265.0170000000001</v>
      </c>
      <c r="C7133" s="66">
        <v>950</v>
      </c>
      <c r="D7133" s="70">
        <v>0</v>
      </c>
      <c r="E7133" s="111">
        <f t="shared" si="115"/>
        <v>138710</v>
      </c>
      <c r="F7133" s="69">
        <v>4.6166784371170964E-2</v>
      </c>
      <c r="G7133" s="69">
        <v>5.9677419354838709E-2</v>
      </c>
    </row>
    <row r="7134" spans="1:7" x14ac:dyDescent="0.3">
      <c r="A7134" s="24">
        <v>42012</v>
      </c>
      <c r="B7134" s="66">
        <v>1265.0170000000001</v>
      </c>
      <c r="C7134" s="66">
        <v>950</v>
      </c>
      <c r="D7134" s="70">
        <v>0</v>
      </c>
      <c r="E7134" s="111">
        <f t="shared" si="115"/>
        <v>138710</v>
      </c>
      <c r="F7134" s="69">
        <v>4.6166784371170964E-2</v>
      </c>
      <c r="G7134" s="69">
        <v>5.9677419354838709E-2</v>
      </c>
    </row>
    <row r="7135" spans="1:7" x14ac:dyDescent="0.3">
      <c r="A7135" s="24">
        <v>42013</v>
      </c>
      <c r="B7135" s="66">
        <v>1265.0170000000001</v>
      </c>
      <c r="C7135" s="66">
        <v>950</v>
      </c>
      <c r="D7135" s="70">
        <v>0</v>
      </c>
      <c r="E7135" s="111">
        <f t="shared" si="115"/>
        <v>138710</v>
      </c>
      <c r="F7135" s="69">
        <v>4.6166784371170964E-2</v>
      </c>
      <c r="G7135" s="69">
        <v>5.9677419354838709E-2</v>
      </c>
    </row>
    <row r="7136" spans="1:7" x14ac:dyDescent="0.3">
      <c r="A7136" s="24">
        <v>42014</v>
      </c>
      <c r="B7136" s="66">
        <v>1265.0170000000001</v>
      </c>
      <c r="C7136" s="66">
        <v>950</v>
      </c>
      <c r="D7136" s="70">
        <v>0</v>
      </c>
      <c r="E7136" s="111">
        <f t="shared" si="115"/>
        <v>138710</v>
      </c>
      <c r="F7136" s="69">
        <v>4.6166784371170964E-2</v>
      </c>
      <c r="G7136" s="69">
        <v>5.9677419354838709E-2</v>
      </c>
    </row>
    <row r="7137" spans="1:7" x14ac:dyDescent="0.3">
      <c r="A7137" s="24">
        <v>42015</v>
      </c>
      <c r="B7137" s="66">
        <v>1265.0170000000001</v>
      </c>
      <c r="C7137" s="66">
        <v>950</v>
      </c>
      <c r="D7137" s="70">
        <v>0</v>
      </c>
      <c r="E7137" s="111">
        <f t="shared" si="115"/>
        <v>138710</v>
      </c>
      <c r="F7137" s="69">
        <v>4.6166784371170964E-2</v>
      </c>
      <c r="G7137" s="69">
        <v>5.9677419354838709E-2</v>
      </c>
    </row>
    <row r="7138" spans="1:7" x14ac:dyDescent="0.3">
      <c r="A7138" s="24">
        <v>42016</v>
      </c>
      <c r="B7138" s="66">
        <v>1279.7620000000002</v>
      </c>
      <c r="C7138" s="66">
        <v>950.1</v>
      </c>
      <c r="D7138" s="70">
        <v>0</v>
      </c>
      <c r="E7138" s="111">
        <f t="shared" si="115"/>
        <v>138710</v>
      </c>
      <c r="F7138" s="69">
        <v>4.6166784371170964E-2</v>
      </c>
      <c r="G7138" s="69">
        <v>5.9677419354838709E-2</v>
      </c>
    </row>
    <row r="7139" spans="1:7" x14ac:dyDescent="0.3">
      <c r="A7139" s="24">
        <v>42017</v>
      </c>
      <c r="B7139" s="66">
        <v>1279.7620000000002</v>
      </c>
      <c r="C7139" s="66">
        <v>959</v>
      </c>
      <c r="D7139" s="70">
        <v>0</v>
      </c>
      <c r="E7139" s="111">
        <f t="shared" si="115"/>
        <v>138710</v>
      </c>
      <c r="F7139" s="69">
        <v>4.6166784371170964E-2</v>
      </c>
      <c r="G7139" s="69">
        <v>5.9677419354838709E-2</v>
      </c>
    </row>
    <row r="7140" spans="1:7" x14ac:dyDescent="0.3">
      <c r="A7140" s="24">
        <v>42018</v>
      </c>
      <c r="B7140" s="66">
        <v>1279.7620000000002</v>
      </c>
      <c r="C7140" s="66">
        <v>959</v>
      </c>
      <c r="D7140" s="70">
        <v>0</v>
      </c>
      <c r="E7140" s="111">
        <f t="shared" si="115"/>
        <v>138710</v>
      </c>
      <c r="F7140" s="69">
        <v>4.6166784371170964E-2</v>
      </c>
      <c r="G7140" s="69">
        <v>5.9677419354838709E-2</v>
      </c>
    </row>
    <row r="7141" spans="1:7" x14ac:dyDescent="0.3">
      <c r="A7141" s="24">
        <v>42019</v>
      </c>
      <c r="B7141" s="66">
        <v>1279.7620000000002</v>
      </c>
      <c r="C7141" s="66">
        <v>955</v>
      </c>
      <c r="D7141" s="70">
        <v>0</v>
      </c>
      <c r="E7141" s="111">
        <f t="shared" si="115"/>
        <v>138710</v>
      </c>
      <c r="F7141" s="69">
        <v>4.6166784371170964E-2</v>
      </c>
      <c r="G7141" s="69">
        <v>5.9677419354838709E-2</v>
      </c>
    </row>
    <row r="7142" spans="1:7" x14ac:dyDescent="0.3">
      <c r="A7142" s="24">
        <v>42020</v>
      </c>
      <c r="B7142" s="66">
        <v>1279.7620000000002</v>
      </c>
      <c r="C7142" s="66">
        <v>959</v>
      </c>
      <c r="D7142" s="70">
        <v>0</v>
      </c>
      <c r="E7142" s="111">
        <f t="shared" si="115"/>
        <v>138710</v>
      </c>
      <c r="F7142" s="69">
        <v>4.6166784371170964E-2</v>
      </c>
      <c r="G7142" s="69">
        <v>5.9677419354838709E-2</v>
      </c>
    </row>
    <row r="7143" spans="1:7" x14ac:dyDescent="0.3">
      <c r="A7143" s="24">
        <v>42021</v>
      </c>
      <c r="B7143" s="66">
        <v>1279.7620000000002</v>
      </c>
      <c r="C7143" s="66">
        <v>959</v>
      </c>
      <c r="D7143" s="70">
        <v>0</v>
      </c>
      <c r="E7143" s="111">
        <f t="shared" si="115"/>
        <v>138710</v>
      </c>
      <c r="F7143" s="69">
        <v>4.6166784371170964E-2</v>
      </c>
      <c r="G7143" s="69">
        <v>5.9677419354838709E-2</v>
      </c>
    </row>
    <row r="7144" spans="1:7" x14ac:dyDescent="0.3">
      <c r="A7144" s="24">
        <v>42022</v>
      </c>
      <c r="B7144" s="66">
        <v>1279.7620000000002</v>
      </c>
      <c r="C7144" s="66">
        <v>959</v>
      </c>
      <c r="D7144" s="70">
        <v>0</v>
      </c>
      <c r="E7144" s="111">
        <f t="shared" si="115"/>
        <v>138710</v>
      </c>
      <c r="F7144" s="69">
        <v>4.6166784371170964E-2</v>
      </c>
      <c r="G7144" s="69">
        <v>5.9677419354838709E-2</v>
      </c>
    </row>
    <row r="7145" spans="1:7" x14ac:dyDescent="0.3">
      <c r="A7145" s="24">
        <v>42023</v>
      </c>
      <c r="B7145" s="66">
        <v>1279.7620000000002</v>
      </c>
      <c r="C7145" s="66">
        <v>959</v>
      </c>
      <c r="D7145" s="70">
        <v>0</v>
      </c>
      <c r="E7145" s="111">
        <f t="shared" si="115"/>
        <v>138710</v>
      </c>
      <c r="F7145" s="69">
        <v>4.6166784371170964E-2</v>
      </c>
      <c r="G7145" s="69">
        <v>5.9042553191489364E-2</v>
      </c>
    </row>
    <row r="7146" spans="1:7" x14ac:dyDescent="0.3">
      <c r="A7146" s="24">
        <v>42024</v>
      </c>
      <c r="B7146" s="66">
        <v>1279.7620000000002</v>
      </c>
      <c r="C7146" s="66">
        <v>959</v>
      </c>
      <c r="D7146" s="70">
        <v>0</v>
      </c>
      <c r="E7146" s="111">
        <f t="shared" si="115"/>
        <v>138710</v>
      </c>
      <c r="F7146" s="69">
        <v>4.6166784371170964E-2</v>
      </c>
      <c r="G7146" s="69">
        <v>5.9677419354838709E-2</v>
      </c>
    </row>
    <row r="7147" spans="1:7" x14ac:dyDescent="0.3">
      <c r="A7147" s="24">
        <v>42025</v>
      </c>
      <c r="B7147" s="66">
        <v>1279.7620000000002</v>
      </c>
      <c r="C7147" s="66">
        <v>959</v>
      </c>
      <c r="D7147" s="70">
        <v>0</v>
      </c>
      <c r="E7147" s="111">
        <f t="shared" si="115"/>
        <v>138710</v>
      </c>
      <c r="F7147" s="69">
        <v>4.6166784371170964E-2</v>
      </c>
      <c r="G7147" s="69">
        <v>0.06</v>
      </c>
    </row>
    <row r="7148" spans="1:7" x14ac:dyDescent="0.3">
      <c r="A7148" s="24">
        <v>42026</v>
      </c>
      <c r="B7148" s="66">
        <v>1279.7620000000002</v>
      </c>
      <c r="C7148" s="66">
        <v>950</v>
      </c>
      <c r="D7148" s="70">
        <v>0</v>
      </c>
      <c r="E7148" s="111">
        <f t="shared" si="115"/>
        <v>138710</v>
      </c>
      <c r="F7148" s="69">
        <v>4.6166784371170964E-2</v>
      </c>
      <c r="G7148" s="69">
        <v>0.06</v>
      </c>
    </row>
    <row r="7149" spans="1:7" x14ac:dyDescent="0.3">
      <c r="A7149" s="24">
        <v>42027</v>
      </c>
      <c r="B7149" s="66">
        <v>1279.7620000000002</v>
      </c>
      <c r="C7149" s="66">
        <v>950</v>
      </c>
      <c r="D7149" s="70">
        <v>0</v>
      </c>
      <c r="E7149" s="111">
        <f t="shared" si="115"/>
        <v>138710</v>
      </c>
      <c r="F7149" s="69">
        <v>4.6166784371170964E-2</v>
      </c>
      <c r="G7149" s="69">
        <v>0.06</v>
      </c>
    </row>
    <row r="7150" spans="1:7" x14ac:dyDescent="0.3">
      <c r="A7150" s="24">
        <v>42028</v>
      </c>
      <c r="B7150" s="66">
        <v>1279.7620000000002</v>
      </c>
      <c r="C7150" s="66">
        <v>950</v>
      </c>
      <c r="D7150" s="70">
        <v>0</v>
      </c>
      <c r="E7150" s="111">
        <f t="shared" si="115"/>
        <v>138710</v>
      </c>
      <c r="F7150" s="69">
        <v>4.6166784371170964E-2</v>
      </c>
      <c r="G7150" s="69">
        <v>0.06</v>
      </c>
    </row>
    <row r="7151" spans="1:7" x14ac:dyDescent="0.3">
      <c r="A7151" s="24">
        <v>42029</v>
      </c>
      <c r="B7151" s="66">
        <v>1279.7620000000002</v>
      </c>
      <c r="C7151" s="66">
        <v>950</v>
      </c>
      <c r="D7151" s="70">
        <v>0</v>
      </c>
      <c r="E7151" s="111">
        <f t="shared" si="115"/>
        <v>138710</v>
      </c>
      <c r="F7151" s="69">
        <v>4.6166784371170964E-2</v>
      </c>
      <c r="G7151" s="69">
        <v>0.06</v>
      </c>
    </row>
    <row r="7152" spans="1:7" x14ac:dyDescent="0.3">
      <c r="A7152" s="24">
        <v>42030</v>
      </c>
      <c r="B7152" s="66">
        <v>1279.7620000000002</v>
      </c>
      <c r="C7152" s="66">
        <v>940</v>
      </c>
      <c r="D7152" s="70">
        <v>0</v>
      </c>
      <c r="E7152" s="111">
        <f t="shared" si="115"/>
        <v>138710</v>
      </c>
      <c r="F7152" s="69">
        <v>4.6166784371170964E-2</v>
      </c>
      <c r="G7152" s="69">
        <v>0.06</v>
      </c>
    </row>
    <row r="7153" spans="1:7" x14ac:dyDescent="0.3">
      <c r="A7153" s="24">
        <v>42031</v>
      </c>
      <c r="B7153" s="66">
        <v>1279.7620000000002</v>
      </c>
      <c r="C7153" s="66">
        <v>940</v>
      </c>
      <c r="D7153" s="70">
        <v>0</v>
      </c>
      <c r="E7153" s="111">
        <f t="shared" si="115"/>
        <v>138710</v>
      </c>
      <c r="F7153" s="69">
        <v>4.6166784371170964E-2</v>
      </c>
      <c r="G7153" s="69">
        <v>0.06</v>
      </c>
    </row>
    <row r="7154" spans="1:7" x14ac:dyDescent="0.3">
      <c r="A7154" s="24">
        <v>42032</v>
      </c>
      <c r="B7154" s="66">
        <v>1279.7620000000002</v>
      </c>
      <c r="C7154" s="66">
        <v>940</v>
      </c>
      <c r="D7154" s="70">
        <v>0</v>
      </c>
      <c r="E7154" s="111">
        <f t="shared" si="115"/>
        <v>138710</v>
      </c>
      <c r="F7154" s="69">
        <v>4.6166784371170964E-2</v>
      </c>
      <c r="G7154" s="69">
        <v>6.0326086956521738E-2</v>
      </c>
    </row>
    <row r="7155" spans="1:7" x14ac:dyDescent="0.3">
      <c r="A7155" s="24">
        <v>42033</v>
      </c>
      <c r="B7155" s="66">
        <v>1279.7620000000002</v>
      </c>
      <c r="C7155" s="66">
        <v>940.01</v>
      </c>
      <c r="D7155" s="70">
        <v>0</v>
      </c>
      <c r="E7155" s="111">
        <f t="shared" si="115"/>
        <v>138710</v>
      </c>
      <c r="F7155" s="69">
        <v>4.6166784371170964E-2</v>
      </c>
      <c r="G7155" s="69">
        <v>6.0064935064935064E-2</v>
      </c>
    </row>
    <row r="7156" spans="1:7" x14ac:dyDescent="0.3">
      <c r="A7156" s="24">
        <v>42034</v>
      </c>
      <c r="B7156" s="66">
        <v>1279.7620000000002</v>
      </c>
      <c r="C7156" s="66">
        <v>940</v>
      </c>
      <c r="D7156" s="70">
        <v>0</v>
      </c>
      <c r="E7156" s="111">
        <f t="shared" si="115"/>
        <v>138710</v>
      </c>
      <c r="F7156" s="69">
        <v>4.6166784371170964E-2</v>
      </c>
      <c r="G7156" s="69">
        <v>0.06</v>
      </c>
    </row>
    <row r="7157" spans="1:7" x14ac:dyDescent="0.3">
      <c r="A7157" s="24">
        <v>42035</v>
      </c>
      <c r="B7157" s="66">
        <v>1279.7620000000002</v>
      </c>
      <c r="C7157" s="66">
        <v>940</v>
      </c>
      <c r="D7157" s="70">
        <v>0</v>
      </c>
      <c r="E7157" s="111">
        <f t="shared" si="115"/>
        <v>138710</v>
      </c>
      <c r="F7157" s="69">
        <v>4.6166784371170964E-2</v>
      </c>
      <c r="G7157" s="69">
        <v>0.06</v>
      </c>
    </row>
    <row r="7158" spans="1:7" x14ac:dyDescent="0.3">
      <c r="A7158" s="24">
        <v>42036</v>
      </c>
      <c r="B7158" s="66">
        <v>1279.7620000000002</v>
      </c>
      <c r="C7158" s="66">
        <v>940</v>
      </c>
      <c r="D7158" s="70">
        <v>0</v>
      </c>
      <c r="E7158" s="111">
        <f t="shared" si="115"/>
        <v>138710</v>
      </c>
      <c r="F7158" s="69">
        <v>4.6166784371170964E-2</v>
      </c>
      <c r="G7158" s="69">
        <v>0.06</v>
      </c>
    </row>
    <row r="7159" spans="1:7" x14ac:dyDescent="0.3">
      <c r="A7159" s="24">
        <v>42037</v>
      </c>
      <c r="B7159" s="66">
        <v>1279.7620000000002</v>
      </c>
      <c r="C7159" s="66">
        <v>940</v>
      </c>
      <c r="D7159" s="70">
        <v>0</v>
      </c>
      <c r="E7159" s="111">
        <f t="shared" si="115"/>
        <v>138710</v>
      </c>
      <c r="F7159" s="69">
        <v>4.6166784371170964E-2</v>
      </c>
      <c r="G7159" s="69">
        <v>6.0326086956521738E-2</v>
      </c>
    </row>
    <row r="7160" spans="1:7" x14ac:dyDescent="0.3">
      <c r="A7160" s="24">
        <v>42038</v>
      </c>
      <c r="B7160" s="66">
        <v>1279.7620000000002</v>
      </c>
      <c r="C7160" s="66">
        <v>945</v>
      </c>
      <c r="D7160" s="70">
        <v>0</v>
      </c>
      <c r="E7160" s="111">
        <f t="shared" si="115"/>
        <v>138710</v>
      </c>
      <c r="F7160" s="69">
        <v>4.6166784371170964E-2</v>
      </c>
      <c r="G7160" s="69">
        <v>0.06</v>
      </c>
    </row>
    <row r="7161" spans="1:7" x14ac:dyDescent="0.3">
      <c r="A7161" s="24">
        <v>42039</v>
      </c>
      <c r="B7161" s="66">
        <v>1279.7620000000002</v>
      </c>
      <c r="C7161" s="66">
        <v>946.5</v>
      </c>
      <c r="D7161" s="70">
        <v>0</v>
      </c>
      <c r="E7161" s="111">
        <f t="shared" si="115"/>
        <v>138710</v>
      </c>
      <c r="F7161" s="69">
        <v>4.6166784371170964E-2</v>
      </c>
      <c r="G7161" s="69">
        <v>6.0655737704918035E-2</v>
      </c>
    </row>
    <row r="7162" spans="1:7" x14ac:dyDescent="0.3">
      <c r="A7162" s="24">
        <v>42040</v>
      </c>
      <c r="B7162" s="66">
        <v>1279.7620000000002</v>
      </c>
      <c r="C7162" s="66">
        <v>950.11</v>
      </c>
      <c r="D7162" s="70">
        <v>0</v>
      </c>
      <c r="E7162" s="111">
        <f t="shared" si="115"/>
        <v>138710</v>
      </c>
      <c r="F7162" s="69">
        <v>4.6166784371170964E-2</v>
      </c>
      <c r="G7162" s="69">
        <v>6.0326086956521738E-2</v>
      </c>
    </row>
    <row r="7163" spans="1:7" x14ac:dyDescent="0.3">
      <c r="A7163" s="24">
        <v>42041</v>
      </c>
      <c r="B7163" s="66">
        <v>1279.7620000000002</v>
      </c>
      <c r="C7163" s="66">
        <v>970</v>
      </c>
      <c r="D7163" s="70">
        <v>0</v>
      </c>
      <c r="E7163" s="111">
        <f t="shared" si="115"/>
        <v>138710</v>
      </c>
      <c r="F7163" s="69">
        <v>4.6166784371170964E-2</v>
      </c>
      <c r="G7163" s="69">
        <v>6.0655737704918035E-2</v>
      </c>
    </row>
    <row r="7164" spans="1:7" x14ac:dyDescent="0.3">
      <c r="A7164" s="24">
        <v>42042</v>
      </c>
      <c r="B7164" s="66">
        <v>1279.7620000000002</v>
      </c>
      <c r="C7164" s="66">
        <v>970</v>
      </c>
      <c r="D7164" s="70">
        <v>0</v>
      </c>
      <c r="E7164" s="111">
        <f t="shared" si="115"/>
        <v>138710</v>
      </c>
      <c r="F7164" s="69">
        <v>4.6166784371170964E-2</v>
      </c>
      <c r="G7164" s="69">
        <v>6.0655737704918035E-2</v>
      </c>
    </row>
    <row r="7165" spans="1:7" x14ac:dyDescent="0.3">
      <c r="A7165" s="24">
        <v>42043</v>
      </c>
      <c r="B7165" s="66">
        <v>1279.7620000000002</v>
      </c>
      <c r="C7165" s="66">
        <v>970</v>
      </c>
      <c r="D7165" s="70">
        <v>0</v>
      </c>
      <c r="E7165" s="111">
        <f t="shared" si="115"/>
        <v>138710</v>
      </c>
      <c r="F7165" s="69">
        <v>4.6166784371170964E-2</v>
      </c>
      <c r="G7165" s="69">
        <v>6.0655737704918035E-2</v>
      </c>
    </row>
    <row r="7166" spans="1:7" x14ac:dyDescent="0.3">
      <c r="A7166" s="24">
        <v>42044</v>
      </c>
      <c r="B7166" s="66">
        <v>1279.7620000000002</v>
      </c>
      <c r="C7166" s="66">
        <v>975</v>
      </c>
      <c r="D7166" s="70">
        <v>0</v>
      </c>
      <c r="E7166" s="111">
        <f t="shared" si="115"/>
        <v>138710</v>
      </c>
      <c r="F7166" s="69">
        <v>4.6166784371170964E-2</v>
      </c>
      <c r="G7166" s="69">
        <v>6.0655737704918035E-2</v>
      </c>
    </row>
    <row r="7167" spans="1:7" x14ac:dyDescent="0.3">
      <c r="A7167" s="24">
        <v>42045</v>
      </c>
      <c r="B7167" s="66">
        <v>1279.7620000000002</v>
      </c>
      <c r="C7167" s="66">
        <v>975</v>
      </c>
      <c r="D7167" s="70">
        <v>0</v>
      </c>
      <c r="E7167" s="111">
        <f t="shared" si="115"/>
        <v>138710</v>
      </c>
      <c r="F7167" s="69">
        <v>4.6166784371170964E-2</v>
      </c>
      <c r="G7167" s="69">
        <v>6.0655737704918035E-2</v>
      </c>
    </row>
    <row r="7168" spans="1:7" x14ac:dyDescent="0.3">
      <c r="A7168" s="24">
        <v>42046</v>
      </c>
      <c r="B7168" s="66">
        <v>1279.7620000000002</v>
      </c>
      <c r="C7168" s="66">
        <v>975</v>
      </c>
      <c r="D7168" s="70">
        <v>0</v>
      </c>
      <c r="E7168" s="111">
        <f t="shared" si="115"/>
        <v>138710</v>
      </c>
      <c r="F7168" s="69">
        <v>4.6166784371170964E-2</v>
      </c>
      <c r="G7168" s="69">
        <v>6.0989010989010987E-2</v>
      </c>
    </row>
    <row r="7169" spans="1:7" x14ac:dyDescent="0.3">
      <c r="A7169" s="24">
        <v>42047</v>
      </c>
      <c r="B7169" s="66">
        <v>1279.7620000000002</v>
      </c>
      <c r="C7169" s="66">
        <v>975</v>
      </c>
      <c r="D7169" s="70">
        <v>0</v>
      </c>
      <c r="E7169" s="111">
        <f t="shared" si="115"/>
        <v>138710</v>
      </c>
      <c r="F7169" s="69">
        <v>4.6166784371170964E-2</v>
      </c>
      <c r="G7169" s="69">
        <v>6.0989010989010987E-2</v>
      </c>
    </row>
    <row r="7170" spans="1:7" x14ac:dyDescent="0.3">
      <c r="A7170" s="24">
        <v>42048</v>
      </c>
      <c r="B7170" s="66">
        <v>1279.7620000000002</v>
      </c>
      <c r="C7170" s="66">
        <v>980</v>
      </c>
      <c r="D7170" s="70">
        <v>0</v>
      </c>
      <c r="E7170" s="111">
        <f t="shared" si="115"/>
        <v>138710</v>
      </c>
      <c r="F7170" s="69">
        <v>4.6166784371170964E-2</v>
      </c>
      <c r="G7170" s="69">
        <v>6.0989010989010987E-2</v>
      </c>
    </row>
    <row r="7171" spans="1:7" x14ac:dyDescent="0.3">
      <c r="A7171" s="24">
        <v>42049</v>
      </c>
      <c r="B7171" s="66">
        <v>1279.7620000000002</v>
      </c>
      <c r="C7171" s="66">
        <v>980</v>
      </c>
      <c r="D7171" s="70">
        <v>0</v>
      </c>
      <c r="E7171" s="111">
        <f t="shared" si="115"/>
        <v>138710</v>
      </c>
      <c r="F7171" s="69">
        <v>4.6166784371170964E-2</v>
      </c>
      <c r="G7171" s="69">
        <v>6.0989010989010987E-2</v>
      </c>
    </row>
    <row r="7172" spans="1:7" x14ac:dyDescent="0.3">
      <c r="A7172" s="24">
        <v>42050</v>
      </c>
      <c r="B7172" s="66">
        <v>1279.7620000000002</v>
      </c>
      <c r="C7172" s="66">
        <v>980</v>
      </c>
      <c r="D7172" s="70">
        <v>0</v>
      </c>
      <c r="E7172" s="111">
        <f t="shared" si="115"/>
        <v>138710</v>
      </c>
      <c r="F7172" s="69">
        <v>4.6166784371170964E-2</v>
      </c>
      <c r="G7172" s="69">
        <v>6.0989010989010987E-2</v>
      </c>
    </row>
    <row r="7173" spans="1:7" x14ac:dyDescent="0.3">
      <c r="A7173" s="24">
        <v>42051</v>
      </c>
      <c r="B7173" s="66">
        <v>1279.7620000000002</v>
      </c>
      <c r="C7173" s="66">
        <v>990</v>
      </c>
      <c r="D7173" s="70">
        <v>0</v>
      </c>
      <c r="E7173" s="111">
        <f t="shared" si="115"/>
        <v>138710</v>
      </c>
      <c r="F7173" s="69">
        <v>4.6166784371170964E-2</v>
      </c>
      <c r="G7173" s="69">
        <v>6.0989010989010987E-2</v>
      </c>
    </row>
    <row r="7174" spans="1:7" x14ac:dyDescent="0.3">
      <c r="A7174" s="24">
        <v>42052</v>
      </c>
      <c r="B7174" s="66">
        <v>1279.7620000000002</v>
      </c>
      <c r="C7174" s="66">
        <v>960.01</v>
      </c>
      <c r="D7174" s="70">
        <v>0</v>
      </c>
      <c r="E7174" s="111">
        <f t="shared" si="115"/>
        <v>138710</v>
      </c>
      <c r="F7174" s="69">
        <v>4.6166784371170964E-2</v>
      </c>
      <c r="G7174" s="69">
        <v>6.0655737704918035E-2</v>
      </c>
    </row>
    <row r="7175" spans="1:7" x14ac:dyDescent="0.3">
      <c r="A7175" s="24">
        <v>42053</v>
      </c>
      <c r="B7175" s="66">
        <v>1279.7620000000002</v>
      </c>
      <c r="C7175" s="66">
        <v>960</v>
      </c>
      <c r="D7175" s="70">
        <v>0</v>
      </c>
      <c r="E7175" s="111">
        <f t="shared" si="115"/>
        <v>138710</v>
      </c>
      <c r="F7175" s="69">
        <v>4.6166784371170964E-2</v>
      </c>
      <c r="G7175" s="69">
        <v>6.0655737704918035E-2</v>
      </c>
    </row>
    <row r="7176" spans="1:7" x14ac:dyDescent="0.3">
      <c r="A7176" s="24">
        <v>42054</v>
      </c>
      <c r="B7176" s="66">
        <v>1279.7620000000002</v>
      </c>
      <c r="C7176" s="66">
        <v>970</v>
      </c>
      <c r="D7176" s="70">
        <v>0</v>
      </c>
      <c r="E7176" s="111">
        <f t="shared" si="115"/>
        <v>138710</v>
      </c>
      <c r="F7176" s="69">
        <v>4.6166784371170964E-2</v>
      </c>
      <c r="G7176" s="69">
        <v>6.0655737704918035E-2</v>
      </c>
    </row>
    <row r="7177" spans="1:7" x14ac:dyDescent="0.3">
      <c r="A7177" s="24">
        <v>42055</v>
      </c>
      <c r="B7177" s="66">
        <v>1279.7620000000002</v>
      </c>
      <c r="C7177" s="66">
        <v>970</v>
      </c>
      <c r="D7177" s="70">
        <v>0</v>
      </c>
      <c r="E7177" s="111">
        <f t="shared" ref="E7177:E7240" si="116">+E7176</f>
        <v>138710</v>
      </c>
      <c r="F7177" s="69">
        <v>4.6166784371170964E-2</v>
      </c>
      <c r="G7177" s="69">
        <v>6.0655737704918035E-2</v>
      </c>
    </row>
    <row r="7178" spans="1:7" x14ac:dyDescent="0.3">
      <c r="A7178" s="24">
        <v>42056</v>
      </c>
      <c r="B7178" s="66">
        <v>1279.7620000000002</v>
      </c>
      <c r="C7178" s="66">
        <v>970</v>
      </c>
      <c r="D7178" s="70">
        <v>0</v>
      </c>
      <c r="E7178" s="111">
        <f t="shared" si="116"/>
        <v>138710</v>
      </c>
      <c r="F7178" s="69">
        <v>4.6166784371170964E-2</v>
      </c>
      <c r="G7178" s="69">
        <v>6.0655737704918035E-2</v>
      </c>
    </row>
    <row r="7179" spans="1:7" x14ac:dyDescent="0.3">
      <c r="A7179" s="24">
        <v>42057</v>
      </c>
      <c r="B7179" s="66">
        <v>1279.7620000000002</v>
      </c>
      <c r="C7179" s="66">
        <v>970</v>
      </c>
      <c r="D7179" s="70">
        <v>0</v>
      </c>
      <c r="E7179" s="111">
        <f t="shared" si="116"/>
        <v>138710</v>
      </c>
      <c r="F7179" s="69">
        <v>4.6166784371170964E-2</v>
      </c>
      <c r="G7179" s="69">
        <v>6.0655737704918035E-2</v>
      </c>
    </row>
    <row r="7180" spans="1:7" x14ac:dyDescent="0.3">
      <c r="A7180" s="24">
        <v>42058</v>
      </c>
      <c r="B7180" s="66">
        <v>1279.7620000000002</v>
      </c>
      <c r="C7180" s="66">
        <v>975</v>
      </c>
      <c r="D7180" s="70">
        <v>0</v>
      </c>
      <c r="E7180" s="111">
        <f t="shared" si="116"/>
        <v>138710</v>
      </c>
      <c r="F7180" s="69">
        <v>4.6166784371170964E-2</v>
      </c>
      <c r="G7180" s="69">
        <v>6.0655737704918035E-2</v>
      </c>
    </row>
    <row r="7181" spans="1:7" x14ac:dyDescent="0.3">
      <c r="A7181" s="24">
        <v>42059</v>
      </c>
      <c r="B7181" s="66">
        <v>1279.7620000000002</v>
      </c>
      <c r="C7181" s="66">
        <v>980</v>
      </c>
      <c r="D7181" s="70">
        <v>0</v>
      </c>
      <c r="E7181" s="111">
        <f t="shared" si="116"/>
        <v>138710</v>
      </c>
      <c r="F7181" s="69">
        <v>4.6166784371170964E-2</v>
      </c>
      <c r="G7181" s="69">
        <v>6.0655737704918035E-2</v>
      </c>
    </row>
    <row r="7182" spans="1:7" x14ac:dyDescent="0.3">
      <c r="A7182" s="24">
        <v>42060</v>
      </c>
      <c r="B7182" s="66">
        <v>1279.7620000000002</v>
      </c>
      <c r="C7182" s="66">
        <v>1000</v>
      </c>
      <c r="D7182" s="70">
        <v>0</v>
      </c>
      <c r="E7182" s="111">
        <f t="shared" si="116"/>
        <v>138710</v>
      </c>
      <c r="F7182" s="69">
        <v>4.6166784371170964E-2</v>
      </c>
      <c r="G7182" s="69">
        <v>6.0655737704918035E-2</v>
      </c>
    </row>
    <row r="7183" spans="1:7" x14ac:dyDescent="0.3">
      <c r="A7183" s="24">
        <v>42061</v>
      </c>
      <c r="B7183" s="66">
        <v>1279.7620000000002</v>
      </c>
      <c r="C7183" s="66">
        <v>1000</v>
      </c>
      <c r="D7183" s="70">
        <v>0</v>
      </c>
      <c r="E7183" s="111">
        <f t="shared" si="116"/>
        <v>138710</v>
      </c>
      <c r="F7183" s="69">
        <v>4.6166784371170964E-2</v>
      </c>
      <c r="G7183" s="69">
        <v>6.0989681205287971E-2</v>
      </c>
    </row>
    <row r="7184" spans="1:7" x14ac:dyDescent="0.3">
      <c r="A7184" s="24">
        <v>42062</v>
      </c>
      <c r="B7184" s="66">
        <v>1279.7620000000002</v>
      </c>
      <c r="C7184" s="66">
        <v>1000.1</v>
      </c>
      <c r="D7184" s="70">
        <v>0</v>
      </c>
      <c r="E7184" s="111">
        <f t="shared" si="116"/>
        <v>138710</v>
      </c>
      <c r="F7184" s="69">
        <v>4.6166784371170964E-2</v>
      </c>
      <c r="G7184" s="69">
        <v>6.0989010989010987E-2</v>
      </c>
    </row>
    <row r="7185" spans="1:7" x14ac:dyDescent="0.3">
      <c r="A7185" s="24">
        <v>42063</v>
      </c>
      <c r="B7185" s="66">
        <v>1246.377</v>
      </c>
      <c r="C7185" s="66">
        <v>1000.1</v>
      </c>
      <c r="D7185" s="70">
        <v>0</v>
      </c>
      <c r="E7185" s="111">
        <f t="shared" si="116"/>
        <v>138710</v>
      </c>
      <c r="F7185" s="69">
        <v>4.6166784371170964E-2</v>
      </c>
      <c r="G7185" s="69">
        <v>6.0989010989010987E-2</v>
      </c>
    </row>
    <row r="7186" spans="1:7" x14ac:dyDescent="0.3">
      <c r="A7186" s="24">
        <v>42064</v>
      </c>
      <c r="B7186" s="66">
        <v>1246.377</v>
      </c>
      <c r="C7186" s="66">
        <v>1000.1</v>
      </c>
      <c r="D7186" s="70">
        <v>0</v>
      </c>
      <c r="E7186" s="111">
        <f t="shared" si="116"/>
        <v>138710</v>
      </c>
      <c r="F7186" s="69">
        <v>4.6166784371170964E-2</v>
      </c>
      <c r="G7186" s="69">
        <v>6.0989010989010987E-2</v>
      </c>
    </row>
    <row r="7187" spans="1:7" x14ac:dyDescent="0.3">
      <c r="A7187" s="24">
        <v>42065</v>
      </c>
      <c r="B7187" s="66">
        <v>1246.377</v>
      </c>
      <c r="C7187" s="66">
        <v>1000</v>
      </c>
      <c r="D7187" s="70">
        <v>0</v>
      </c>
      <c r="E7187" s="111">
        <f t="shared" si="116"/>
        <v>138710</v>
      </c>
      <c r="F7187" s="69">
        <v>4.6166784371170964E-2</v>
      </c>
      <c r="G7187" s="69">
        <v>6.0989010989010987E-2</v>
      </c>
    </row>
    <row r="7188" spans="1:7" x14ac:dyDescent="0.3">
      <c r="A7188" s="24">
        <v>42066</v>
      </c>
      <c r="B7188" s="66">
        <v>1246.377</v>
      </c>
      <c r="C7188" s="66">
        <v>1000</v>
      </c>
      <c r="D7188" s="70">
        <v>0</v>
      </c>
      <c r="E7188" s="111">
        <f t="shared" si="116"/>
        <v>138710</v>
      </c>
      <c r="F7188" s="69">
        <v>4.6166784371170964E-2</v>
      </c>
      <c r="G7188" s="69">
        <v>6.0655737704918035E-2</v>
      </c>
    </row>
    <row r="7189" spans="1:7" x14ac:dyDescent="0.3">
      <c r="A7189" s="24">
        <v>42067</v>
      </c>
      <c r="B7189" s="66">
        <v>1246.377</v>
      </c>
      <c r="C7189" s="66">
        <v>1000</v>
      </c>
      <c r="D7189" s="70">
        <v>0</v>
      </c>
      <c r="E7189" s="111">
        <f t="shared" si="116"/>
        <v>138710</v>
      </c>
      <c r="F7189" s="69">
        <v>4.6166784371170964E-2</v>
      </c>
      <c r="G7189" s="69">
        <v>6.0989010989010987E-2</v>
      </c>
    </row>
    <row r="7190" spans="1:7" x14ac:dyDescent="0.3">
      <c r="A7190" s="24">
        <v>42068</v>
      </c>
      <c r="B7190" s="66">
        <v>1246.377</v>
      </c>
      <c r="C7190" s="66">
        <v>1010</v>
      </c>
      <c r="D7190" s="70">
        <v>0</v>
      </c>
      <c r="E7190" s="111">
        <f t="shared" si="116"/>
        <v>138710</v>
      </c>
      <c r="F7190" s="69">
        <v>4.6166784371170964E-2</v>
      </c>
      <c r="G7190" s="69">
        <v>6.0989010989010987E-2</v>
      </c>
    </row>
    <row r="7191" spans="1:7" x14ac:dyDescent="0.3">
      <c r="A7191" s="24">
        <v>42069</v>
      </c>
      <c r="B7191" s="66">
        <v>1246.377</v>
      </c>
      <c r="C7191" s="66">
        <v>1025</v>
      </c>
      <c r="D7191" s="70">
        <v>0</v>
      </c>
      <c r="E7191" s="111">
        <f t="shared" si="116"/>
        <v>138710</v>
      </c>
      <c r="F7191" s="69">
        <v>4.6166784371170964E-2</v>
      </c>
      <c r="G7191" s="69">
        <v>6.0655737704918035E-2</v>
      </c>
    </row>
    <row r="7192" spans="1:7" x14ac:dyDescent="0.3">
      <c r="A7192" s="24">
        <v>42070</v>
      </c>
      <c r="B7192" s="66">
        <v>1246.377</v>
      </c>
      <c r="C7192" s="66">
        <v>1025</v>
      </c>
      <c r="D7192" s="70">
        <v>0</v>
      </c>
      <c r="E7192" s="111">
        <f t="shared" si="116"/>
        <v>138710</v>
      </c>
      <c r="F7192" s="69">
        <v>4.6166784371170964E-2</v>
      </c>
      <c r="G7192" s="69">
        <v>6.0655737704918035E-2</v>
      </c>
    </row>
    <row r="7193" spans="1:7" x14ac:dyDescent="0.3">
      <c r="A7193" s="24">
        <v>42071</v>
      </c>
      <c r="B7193" s="66">
        <v>1246.377</v>
      </c>
      <c r="C7193" s="66">
        <v>1025</v>
      </c>
      <c r="D7193" s="70">
        <v>0</v>
      </c>
      <c r="E7193" s="111">
        <f t="shared" si="116"/>
        <v>138710</v>
      </c>
      <c r="F7193" s="69">
        <v>4.6166784371170964E-2</v>
      </c>
      <c r="G7193" s="69">
        <v>6.0655737704918035E-2</v>
      </c>
    </row>
    <row r="7194" spans="1:7" x14ac:dyDescent="0.3">
      <c r="A7194" s="24">
        <v>42072</v>
      </c>
      <c r="B7194" s="66">
        <v>1246.377</v>
      </c>
      <c r="C7194" s="66">
        <v>1025</v>
      </c>
      <c r="D7194" s="70">
        <v>0</v>
      </c>
      <c r="E7194" s="111">
        <f t="shared" si="116"/>
        <v>138710</v>
      </c>
      <c r="F7194" s="69">
        <v>4.6166784371170964E-2</v>
      </c>
      <c r="G7194" s="69">
        <v>6.0653749057407953E-2</v>
      </c>
    </row>
    <row r="7195" spans="1:7" x14ac:dyDescent="0.3">
      <c r="A7195" s="24">
        <v>42073</v>
      </c>
      <c r="B7195" s="66">
        <v>1246.377</v>
      </c>
      <c r="C7195" s="66">
        <v>1025.0999999999999</v>
      </c>
      <c r="D7195" s="70">
        <v>0</v>
      </c>
      <c r="E7195" s="111">
        <f t="shared" si="116"/>
        <v>138710</v>
      </c>
      <c r="F7195" s="69">
        <v>4.6166784371170964E-2</v>
      </c>
      <c r="G7195" s="69">
        <v>6.0326086956521738E-2</v>
      </c>
    </row>
    <row r="7196" spans="1:7" x14ac:dyDescent="0.3">
      <c r="A7196" s="24">
        <v>42074</v>
      </c>
      <c r="B7196" s="66">
        <v>1246.377</v>
      </c>
      <c r="C7196" s="66">
        <v>1050</v>
      </c>
      <c r="D7196" s="70">
        <v>0</v>
      </c>
      <c r="E7196" s="111">
        <f t="shared" si="116"/>
        <v>138710</v>
      </c>
      <c r="F7196" s="69">
        <v>4.6166784371170964E-2</v>
      </c>
      <c r="G7196" s="69">
        <v>6.0655737704918035E-2</v>
      </c>
    </row>
    <row r="7197" spans="1:7" x14ac:dyDescent="0.3">
      <c r="A7197" s="24">
        <v>42075</v>
      </c>
      <c r="B7197" s="66">
        <v>1246.377</v>
      </c>
      <c r="C7197" s="66">
        <v>1070</v>
      </c>
      <c r="D7197" s="70">
        <v>0</v>
      </c>
      <c r="E7197" s="111">
        <f t="shared" si="116"/>
        <v>138710</v>
      </c>
      <c r="F7197" s="69">
        <v>4.6166784371170964E-2</v>
      </c>
      <c r="G7197" s="69">
        <v>6.0655737704918035E-2</v>
      </c>
    </row>
    <row r="7198" spans="1:7" x14ac:dyDescent="0.3">
      <c r="A7198" s="24">
        <v>42076</v>
      </c>
      <c r="B7198" s="66">
        <v>1246.377</v>
      </c>
      <c r="C7198" s="66">
        <v>1084</v>
      </c>
      <c r="D7198" s="70">
        <v>0</v>
      </c>
      <c r="E7198" s="111">
        <f t="shared" si="116"/>
        <v>138710</v>
      </c>
      <c r="F7198" s="69">
        <v>4.6166784371170964E-2</v>
      </c>
      <c r="G7198" s="69">
        <v>6.0326086956521738E-2</v>
      </c>
    </row>
    <row r="7199" spans="1:7" x14ac:dyDescent="0.3">
      <c r="A7199" s="24">
        <v>42077</v>
      </c>
      <c r="B7199" s="66">
        <v>1246.377</v>
      </c>
      <c r="C7199" s="66">
        <v>1084</v>
      </c>
      <c r="D7199" s="70">
        <v>0</v>
      </c>
      <c r="E7199" s="111">
        <f t="shared" si="116"/>
        <v>138710</v>
      </c>
      <c r="F7199" s="69">
        <v>4.6166784371170964E-2</v>
      </c>
      <c r="G7199" s="69">
        <v>6.0326086956521738E-2</v>
      </c>
    </row>
    <row r="7200" spans="1:7" x14ac:dyDescent="0.3">
      <c r="A7200" s="24">
        <v>42078</v>
      </c>
      <c r="B7200" s="66">
        <v>1246.377</v>
      </c>
      <c r="C7200" s="66">
        <v>1084</v>
      </c>
      <c r="D7200" s="70">
        <v>0</v>
      </c>
      <c r="E7200" s="111">
        <f t="shared" si="116"/>
        <v>138710</v>
      </c>
      <c r="F7200" s="69">
        <v>4.6166784371170964E-2</v>
      </c>
      <c r="G7200" s="69">
        <v>6.0326086956521738E-2</v>
      </c>
    </row>
    <row r="7201" spans="1:7" x14ac:dyDescent="0.3">
      <c r="A7201" s="24">
        <v>42079</v>
      </c>
      <c r="B7201" s="66">
        <v>1246.377</v>
      </c>
      <c r="C7201" s="66">
        <v>1090</v>
      </c>
      <c r="D7201" s="70">
        <v>0</v>
      </c>
      <c r="E7201" s="111">
        <f t="shared" si="116"/>
        <v>138710</v>
      </c>
      <c r="F7201" s="69">
        <v>4.6166784371170964E-2</v>
      </c>
      <c r="G7201" s="69">
        <v>6.0649109386952241E-2</v>
      </c>
    </row>
    <row r="7202" spans="1:7" x14ac:dyDescent="0.3">
      <c r="A7202" s="24">
        <v>42080</v>
      </c>
      <c r="B7202" s="66">
        <v>1246.377</v>
      </c>
      <c r="C7202" s="66">
        <v>1090</v>
      </c>
      <c r="D7202" s="70">
        <v>0</v>
      </c>
      <c r="E7202" s="111">
        <f t="shared" si="116"/>
        <v>138710</v>
      </c>
      <c r="F7202" s="69">
        <v>4.6166784371170964E-2</v>
      </c>
      <c r="G7202" s="69">
        <v>0.06</v>
      </c>
    </row>
    <row r="7203" spans="1:7" x14ac:dyDescent="0.3">
      <c r="A7203" s="24">
        <v>42081</v>
      </c>
      <c r="B7203" s="66">
        <v>1246.377</v>
      </c>
      <c r="C7203" s="66">
        <v>1090</v>
      </c>
      <c r="D7203" s="70">
        <v>0</v>
      </c>
      <c r="E7203" s="111">
        <f t="shared" si="116"/>
        <v>138710</v>
      </c>
      <c r="F7203" s="69">
        <v>4.6166784371170964E-2</v>
      </c>
      <c r="G7203" s="69">
        <v>5.9358288770053474E-2</v>
      </c>
    </row>
    <row r="7204" spans="1:7" x14ac:dyDescent="0.3">
      <c r="A7204" s="24">
        <v>42082</v>
      </c>
      <c r="B7204" s="66">
        <v>1246.377</v>
      </c>
      <c r="C7204" s="66">
        <v>1090</v>
      </c>
      <c r="D7204" s="70">
        <v>0</v>
      </c>
      <c r="E7204" s="111">
        <f t="shared" si="116"/>
        <v>138710</v>
      </c>
      <c r="F7204" s="69">
        <v>4.6166784371170964E-2</v>
      </c>
      <c r="G7204" s="69">
        <v>5.9358288770053474E-2</v>
      </c>
    </row>
    <row r="7205" spans="1:7" x14ac:dyDescent="0.3">
      <c r="A7205" s="24">
        <v>42083</v>
      </c>
      <c r="B7205" s="66">
        <v>1246.377</v>
      </c>
      <c r="C7205" s="66">
        <v>1085</v>
      </c>
      <c r="D7205" s="70">
        <v>0</v>
      </c>
      <c r="E7205" s="111">
        <f t="shared" si="116"/>
        <v>138710</v>
      </c>
      <c r="F7205" s="69">
        <v>4.6166784371170964E-2</v>
      </c>
      <c r="G7205" s="69">
        <v>5.9358288770053474E-2</v>
      </c>
    </row>
    <row r="7206" spans="1:7" x14ac:dyDescent="0.3">
      <c r="A7206" s="24">
        <v>42084</v>
      </c>
      <c r="B7206" s="66">
        <v>1246.377</v>
      </c>
      <c r="C7206" s="66">
        <v>1085</v>
      </c>
      <c r="D7206" s="70">
        <v>0</v>
      </c>
      <c r="E7206" s="111">
        <f t="shared" si="116"/>
        <v>138710</v>
      </c>
      <c r="F7206" s="69">
        <v>4.6166784371170964E-2</v>
      </c>
      <c r="G7206" s="69">
        <v>5.9358288770053474E-2</v>
      </c>
    </row>
    <row r="7207" spans="1:7" x14ac:dyDescent="0.3">
      <c r="A7207" s="24">
        <v>42085</v>
      </c>
      <c r="B7207" s="66">
        <v>1246.377</v>
      </c>
      <c r="C7207" s="66">
        <v>1085</v>
      </c>
      <c r="D7207" s="70">
        <v>0</v>
      </c>
      <c r="E7207" s="111">
        <f t="shared" si="116"/>
        <v>138710</v>
      </c>
      <c r="F7207" s="69">
        <v>4.6166784371170964E-2</v>
      </c>
      <c r="G7207" s="69">
        <v>5.9358288770053474E-2</v>
      </c>
    </row>
    <row r="7208" spans="1:7" x14ac:dyDescent="0.3">
      <c r="A7208" s="24">
        <v>42086</v>
      </c>
      <c r="B7208" s="66">
        <v>1246.377</v>
      </c>
      <c r="C7208" s="66">
        <v>1085</v>
      </c>
      <c r="D7208" s="70">
        <v>0</v>
      </c>
      <c r="E7208" s="111">
        <f t="shared" si="116"/>
        <v>138710</v>
      </c>
      <c r="F7208" s="69">
        <v>4.6166784371170964E-2</v>
      </c>
      <c r="G7208" s="69">
        <v>5.9358288770053474E-2</v>
      </c>
    </row>
    <row r="7209" spans="1:7" x14ac:dyDescent="0.3">
      <c r="A7209" s="24">
        <v>42087</v>
      </c>
      <c r="B7209" s="66">
        <v>1246.377</v>
      </c>
      <c r="C7209" s="66">
        <v>1075</v>
      </c>
      <c r="D7209" s="70">
        <v>0</v>
      </c>
      <c r="E7209" s="111">
        <f t="shared" si="116"/>
        <v>138710</v>
      </c>
      <c r="F7209" s="69">
        <v>4.6166784371170964E-2</v>
      </c>
      <c r="G7209" s="69">
        <v>5.9358288770053474E-2</v>
      </c>
    </row>
    <row r="7210" spans="1:7" x14ac:dyDescent="0.3">
      <c r="A7210" s="24">
        <v>42088</v>
      </c>
      <c r="B7210" s="66">
        <v>1246.377</v>
      </c>
      <c r="C7210" s="66">
        <v>1070</v>
      </c>
      <c r="D7210" s="70">
        <v>0</v>
      </c>
      <c r="E7210" s="111">
        <f t="shared" si="116"/>
        <v>138710</v>
      </c>
      <c r="F7210" s="69">
        <v>4.6166784371170964E-2</v>
      </c>
      <c r="G7210" s="69">
        <v>5.9358288770053474E-2</v>
      </c>
    </row>
    <row r="7211" spans="1:7" x14ac:dyDescent="0.3">
      <c r="A7211" s="24">
        <v>42089</v>
      </c>
      <c r="B7211" s="66">
        <v>1246.377</v>
      </c>
      <c r="C7211" s="66">
        <v>1070</v>
      </c>
      <c r="D7211" s="70">
        <v>0</v>
      </c>
      <c r="E7211" s="111">
        <f t="shared" si="116"/>
        <v>138710</v>
      </c>
      <c r="F7211" s="69">
        <v>4.6166784371170964E-2</v>
      </c>
      <c r="G7211" s="69">
        <v>5.9358288770053474E-2</v>
      </c>
    </row>
    <row r="7212" spans="1:7" x14ac:dyDescent="0.3">
      <c r="A7212" s="24">
        <v>42090</v>
      </c>
      <c r="B7212" s="66">
        <v>1246.377</v>
      </c>
      <c r="C7212" s="66">
        <v>1070</v>
      </c>
      <c r="D7212" s="70">
        <v>0</v>
      </c>
      <c r="E7212" s="111">
        <f t="shared" si="116"/>
        <v>138710</v>
      </c>
      <c r="F7212" s="69">
        <v>4.6166784371170964E-2</v>
      </c>
      <c r="G7212" s="69">
        <v>5.9677419354838709E-2</v>
      </c>
    </row>
    <row r="7213" spans="1:7" x14ac:dyDescent="0.3">
      <c r="A7213" s="24">
        <v>42091</v>
      </c>
      <c r="B7213" s="66">
        <v>1246.377</v>
      </c>
      <c r="C7213" s="66">
        <v>1070</v>
      </c>
      <c r="D7213" s="70">
        <v>0</v>
      </c>
      <c r="E7213" s="111">
        <f t="shared" si="116"/>
        <v>138710</v>
      </c>
      <c r="F7213" s="69">
        <v>4.6166784371170964E-2</v>
      </c>
      <c r="G7213" s="69">
        <v>5.9677419354838709E-2</v>
      </c>
    </row>
    <row r="7214" spans="1:7" x14ac:dyDescent="0.3">
      <c r="A7214" s="24">
        <v>42092</v>
      </c>
      <c r="B7214" s="66">
        <v>1246.377</v>
      </c>
      <c r="C7214" s="66">
        <v>1070</v>
      </c>
      <c r="D7214" s="70">
        <v>0</v>
      </c>
      <c r="E7214" s="111">
        <f t="shared" si="116"/>
        <v>138710</v>
      </c>
      <c r="F7214" s="69">
        <v>4.6166784371170964E-2</v>
      </c>
      <c r="G7214" s="69">
        <v>5.9677419354838709E-2</v>
      </c>
    </row>
    <row r="7215" spans="1:7" x14ac:dyDescent="0.3">
      <c r="A7215" s="24">
        <v>42093</v>
      </c>
      <c r="B7215" s="66">
        <v>1246.377</v>
      </c>
      <c r="C7215" s="66">
        <v>1070</v>
      </c>
      <c r="D7215" s="70">
        <v>0</v>
      </c>
      <c r="E7215" s="111">
        <f t="shared" si="116"/>
        <v>138710</v>
      </c>
      <c r="F7215" s="69">
        <v>4.691398821698365E-2</v>
      </c>
      <c r="G7215" s="69">
        <v>5.9358288770053474E-2</v>
      </c>
    </row>
    <row r="7216" spans="1:7" x14ac:dyDescent="0.3">
      <c r="A7216" s="24">
        <v>42094</v>
      </c>
      <c r="B7216" s="66">
        <v>1246.377</v>
      </c>
      <c r="C7216" s="66">
        <v>1040</v>
      </c>
      <c r="D7216" s="70">
        <v>0</v>
      </c>
      <c r="E7216" s="111">
        <f t="shared" si="116"/>
        <v>138710</v>
      </c>
      <c r="F7216" s="69">
        <v>4.691398821698365E-2</v>
      </c>
      <c r="G7216" s="69">
        <v>5.9358288770053474E-2</v>
      </c>
    </row>
    <row r="7217" spans="1:7" x14ac:dyDescent="0.3">
      <c r="A7217" s="24">
        <v>42095</v>
      </c>
      <c r="B7217" s="66">
        <v>1246.377</v>
      </c>
      <c r="C7217" s="66">
        <v>1030</v>
      </c>
      <c r="D7217" s="70">
        <v>0</v>
      </c>
      <c r="E7217" s="111">
        <f t="shared" si="116"/>
        <v>138710</v>
      </c>
      <c r="F7217" s="69">
        <v>4.691398821698365E-2</v>
      </c>
      <c r="G7217" s="69">
        <v>5.9358288770053474E-2</v>
      </c>
    </row>
    <row r="7218" spans="1:7" x14ac:dyDescent="0.3">
      <c r="A7218" s="24">
        <v>42096</v>
      </c>
      <c r="B7218" s="66">
        <v>1246.377</v>
      </c>
      <c r="C7218" s="66">
        <v>1030</v>
      </c>
      <c r="D7218" s="70">
        <v>0</v>
      </c>
      <c r="E7218" s="111">
        <f t="shared" si="116"/>
        <v>138710</v>
      </c>
      <c r="F7218" s="69">
        <v>4.691398821698365E-2</v>
      </c>
      <c r="G7218" s="69">
        <v>5.9358288770053474E-2</v>
      </c>
    </row>
    <row r="7219" spans="1:7" x14ac:dyDescent="0.3">
      <c r="A7219" s="24">
        <v>42097</v>
      </c>
      <c r="B7219" s="66">
        <v>1246.377</v>
      </c>
      <c r="C7219" s="66">
        <v>1030</v>
      </c>
      <c r="D7219" s="70">
        <v>0</v>
      </c>
      <c r="E7219" s="111">
        <f t="shared" si="116"/>
        <v>138710</v>
      </c>
      <c r="F7219" s="69">
        <v>4.691398821698365E-2</v>
      </c>
      <c r="G7219" s="69">
        <v>5.9677419354838709E-2</v>
      </c>
    </row>
    <row r="7220" spans="1:7" x14ac:dyDescent="0.3">
      <c r="A7220" s="24">
        <v>42098</v>
      </c>
      <c r="B7220" s="66">
        <v>1246.377</v>
      </c>
      <c r="C7220" s="66">
        <v>1030</v>
      </c>
      <c r="D7220" s="70">
        <v>0</v>
      </c>
      <c r="E7220" s="111">
        <f t="shared" si="116"/>
        <v>138710</v>
      </c>
      <c r="F7220" s="69">
        <v>4.691398821698365E-2</v>
      </c>
      <c r="G7220" s="69">
        <v>5.9677419354838709E-2</v>
      </c>
    </row>
    <row r="7221" spans="1:7" x14ac:dyDescent="0.3">
      <c r="A7221" s="24">
        <v>42099</v>
      </c>
      <c r="B7221" s="66">
        <v>1246.377</v>
      </c>
      <c r="C7221" s="66">
        <v>1030</v>
      </c>
      <c r="D7221" s="70">
        <v>0</v>
      </c>
      <c r="E7221" s="111">
        <f t="shared" si="116"/>
        <v>138710</v>
      </c>
      <c r="F7221" s="69">
        <v>4.691398821698365E-2</v>
      </c>
      <c r="G7221" s="69">
        <v>5.9677419354838709E-2</v>
      </c>
    </row>
    <row r="7222" spans="1:7" x14ac:dyDescent="0.3">
      <c r="A7222" s="24">
        <v>42100</v>
      </c>
      <c r="B7222" s="66">
        <v>1246.377</v>
      </c>
      <c r="C7222" s="66">
        <v>1030</v>
      </c>
      <c r="D7222" s="70">
        <v>0</v>
      </c>
      <c r="E7222" s="111">
        <f t="shared" si="116"/>
        <v>138710</v>
      </c>
      <c r="F7222" s="69">
        <v>4.691398821698365E-2</v>
      </c>
      <c r="G7222" s="69">
        <v>5.9677419354838709E-2</v>
      </c>
    </row>
    <row r="7223" spans="1:7" x14ac:dyDescent="0.3">
      <c r="A7223" s="24">
        <v>42101</v>
      </c>
      <c r="B7223" s="66">
        <v>1246.377</v>
      </c>
      <c r="C7223" s="66">
        <v>1030</v>
      </c>
      <c r="D7223" s="70">
        <v>0</v>
      </c>
      <c r="E7223" s="111">
        <f t="shared" si="116"/>
        <v>138710</v>
      </c>
      <c r="F7223" s="69">
        <v>4.691398821698365E-2</v>
      </c>
      <c r="G7223" s="69">
        <v>5.9677419354838709E-2</v>
      </c>
    </row>
    <row r="7224" spans="1:7" x14ac:dyDescent="0.3">
      <c r="A7224" s="24">
        <v>42102</v>
      </c>
      <c r="B7224" s="66">
        <v>1246.377</v>
      </c>
      <c r="C7224" s="66">
        <v>1030</v>
      </c>
      <c r="D7224" s="70">
        <v>0</v>
      </c>
      <c r="E7224" s="111">
        <f t="shared" si="116"/>
        <v>138710</v>
      </c>
      <c r="F7224" s="69">
        <v>4.691398821698365E-2</v>
      </c>
      <c r="G7224" s="69">
        <v>0.06</v>
      </c>
    </row>
    <row r="7225" spans="1:7" x14ac:dyDescent="0.3">
      <c r="A7225" s="24">
        <v>42103</v>
      </c>
      <c r="B7225" s="66">
        <v>1246.377</v>
      </c>
      <c r="C7225" s="66">
        <v>1030</v>
      </c>
      <c r="D7225" s="70">
        <v>0</v>
      </c>
      <c r="E7225" s="111">
        <f t="shared" si="116"/>
        <v>138710</v>
      </c>
      <c r="F7225" s="69">
        <v>4.691398821698365E-2</v>
      </c>
      <c r="G7225" s="69">
        <v>0.06</v>
      </c>
    </row>
    <row r="7226" spans="1:7" x14ac:dyDescent="0.3">
      <c r="A7226" s="24">
        <v>42104</v>
      </c>
      <c r="B7226" s="66">
        <v>1246.377</v>
      </c>
      <c r="C7226" s="66">
        <v>1030</v>
      </c>
      <c r="D7226" s="70">
        <v>0</v>
      </c>
      <c r="E7226" s="111">
        <f t="shared" si="116"/>
        <v>138710</v>
      </c>
      <c r="F7226" s="69">
        <v>4.691398821698365E-2</v>
      </c>
      <c r="G7226" s="69">
        <v>0.06</v>
      </c>
    </row>
    <row r="7227" spans="1:7" x14ac:dyDescent="0.3">
      <c r="A7227" s="24">
        <v>42105</v>
      </c>
      <c r="B7227" s="66">
        <v>1246.377</v>
      </c>
      <c r="C7227" s="66">
        <v>1030</v>
      </c>
      <c r="D7227" s="70">
        <v>0</v>
      </c>
      <c r="E7227" s="111">
        <f t="shared" si="116"/>
        <v>138710</v>
      </c>
      <c r="F7227" s="69">
        <v>4.691398821698365E-2</v>
      </c>
      <c r="G7227" s="69">
        <v>0.06</v>
      </c>
    </row>
    <row r="7228" spans="1:7" x14ac:dyDescent="0.3">
      <c r="A7228" s="24">
        <v>42106</v>
      </c>
      <c r="B7228" s="66">
        <v>1246.377</v>
      </c>
      <c r="C7228" s="66">
        <v>1030</v>
      </c>
      <c r="D7228" s="70">
        <v>0</v>
      </c>
      <c r="E7228" s="111">
        <f t="shared" si="116"/>
        <v>138710</v>
      </c>
      <c r="F7228" s="69">
        <v>4.691398821698365E-2</v>
      </c>
      <c r="G7228" s="69">
        <v>0.06</v>
      </c>
    </row>
    <row r="7229" spans="1:7" x14ac:dyDescent="0.3">
      <c r="A7229" s="24">
        <v>42107</v>
      </c>
      <c r="B7229" s="66">
        <v>1246.377</v>
      </c>
      <c r="C7229" s="66">
        <v>1030</v>
      </c>
      <c r="D7229" s="70">
        <v>0</v>
      </c>
      <c r="E7229" s="111">
        <f t="shared" si="116"/>
        <v>138710</v>
      </c>
      <c r="F7229" s="69">
        <v>4.691398821698365E-2</v>
      </c>
      <c r="G7229" s="69">
        <v>0.06</v>
      </c>
    </row>
    <row r="7230" spans="1:7" x14ac:dyDescent="0.3">
      <c r="A7230" s="24">
        <v>42108</v>
      </c>
      <c r="B7230" s="66">
        <v>1246.377</v>
      </c>
      <c r="C7230" s="66">
        <v>1050.0999999999999</v>
      </c>
      <c r="D7230" s="70">
        <v>0</v>
      </c>
      <c r="E7230" s="111">
        <f t="shared" si="116"/>
        <v>138710</v>
      </c>
      <c r="F7230" s="69">
        <v>4.691398821698365E-2</v>
      </c>
      <c r="G7230" s="69">
        <v>6.0326086956521738E-2</v>
      </c>
    </row>
    <row r="7231" spans="1:7" x14ac:dyDescent="0.3">
      <c r="A7231" s="24">
        <v>42109</v>
      </c>
      <c r="B7231" s="66">
        <v>1246.377</v>
      </c>
      <c r="C7231" s="66">
        <v>1040</v>
      </c>
      <c r="D7231" s="70">
        <v>0</v>
      </c>
      <c r="E7231" s="111">
        <f t="shared" si="116"/>
        <v>138710</v>
      </c>
      <c r="F7231" s="69">
        <v>4.691398821698365E-2</v>
      </c>
      <c r="G7231" s="69">
        <v>6.0989010989010987E-2</v>
      </c>
    </row>
    <row r="7232" spans="1:7" x14ac:dyDescent="0.3">
      <c r="A7232" s="24">
        <v>42110</v>
      </c>
      <c r="B7232" s="66">
        <v>1246.377</v>
      </c>
      <c r="C7232" s="66">
        <v>1040</v>
      </c>
      <c r="D7232" s="70">
        <v>0</v>
      </c>
      <c r="E7232" s="111">
        <f t="shared" si="116"/>
        <v>138710</v>
      </c>
      <c r="F7232" s="69">
        <v>4.691398821698365E-2</v>
      </c>
      <c r="G7232" s="69">
        <v>6.0989010989010987E-2</v>
      </c>
    </row>
    <row r="7233" spans="1:7" x14ac:dyDescent="0.3">
      <c r="A7233" s="24">
        <v>42111</v>
      </c>
      <c r="B7233" s="66">
        <v>1246.377</v>
      </c>
      <c r="C7233" s="66">
        <v>1040</v>
      </c>
      <c r="D7233" s="70">
        <v>32</v>
      </c>
      <c r="E7233" s="111">
        <f t="shared" si="116"/>
        <v>138710</v>
      </c>
      <c r="F7233" s="69">
        <v>7.3963494936685928E-2</v>
      </c>
      <c r="G7233" s="69">
        <v>9.6153846153846159E-2</v>
      </c>
    </row>
    <row r="7234" spans="1:7" x14ac:dyDescent="0.3">
      <c r="A7234" s="24">
        <v>42112</v>
      </c>
      <c r="B7234" s="66">
        <v>1246.377</v>
      </c>
      <c r="C7234" s="66">
        <v>1040</v>
      </c>
      <c r="D7234" s="70">
        <v>0</v>
      </c>
      <c r="E7234" s="111">
        <f t="shared" si="116"/>
        <v>138710</v>
      </c>
      <c r="F7234" s="69">
        <v>7.3963494936685928E-2</v>
      </c>
      <c r="G7234" s="69">
        <v>9.6153846153846159E-2</v>
      </c>
    </row>
    <row r="7235" spans="1:7" x14ac:dyDescent="0.3">
      <c r="A7235" s="24">
        <v>42113</v>
      </c>
      <c r="B7235" s="66">
        <v>1246.377</v>
      </c>
      <c r="C7235" s="66">
        <v>1040</v>
      </c>
      <c r="D7235" s="70">
        <v>0</v>
      </c>
      <c r="E7235" s="111">
        <f t="shared" si="116"/>
        <v>138710</v>
      </c>
      <c r="F7235" s="69">
        <v>7.3963494936685928E-2</v>
      </c>
      <c r="G7235" s="69">
        <v>9.6153846153846159E-2</v>
      </c>
    </row>
    <row r="7236" spans="1:7" x14ac:dyDescent="0.3">
      <c r="A7236" s="24">
        <v>42114</v>
      </c>
      <c r="B7236" s="66">
        <v>1264.077</v>
      </c>
      <c r="C7236" s="66">
        <v>1040</v>
      </c>
      <c r="D7236" s="70">
        <v>0</v>
      </c>
      <c r="E7236" s="111">
        <f t="shared" si="116"/>
        <v>138710</v>
      </c>
      <c r="F7236" s="69">
        <v>7.3963494936685928E-2</v>
      </c>
      <c r="G7236" s="69">
        <v>9.6153846153846159E-2</v>
      </c>
    </row>
    <row r="7237" spans="1:7" x14ac:dyDescent="0.3">
      <c r="A7237" s="24">
        <v>42115</v>
      </c>
      <c r="B7237" s="66">
        <v>1264.077</v>
      </c>
      <c r="C7237" s="66">
        <v>1040</v>
      </c>
      <c r="D7237" s="70">
        <v>0</v>
      </c>
      <c r="E7237" s="111">
        <f t="shared" si="116"/>
        <v>138710</v>
      </c>
      <c r="F7237" s="69">
        <v>7.3963494936685928E-2</v>
      </c>
      <c r="G7237" s="69">
        <v>9.6153846153846159E-2</v>
      </c>
    </row>
    <row r="7238" spans="1:7" x14ac:dyDescent="0.3">
      <c r="A7238" s="24">
        <v>42116</v>
      </c>
      <c r="B7238" s="66">
        <v>1264.077</v>
      </c>
      <c r="C7238" s="66">
        <v>1040</v>
      </c>
      <c r="D7238" s="70">
        <v>0</v>
      </c>
      <c r="E7238" s="111">
        <f t="shared" si="116"/>
        <v>138710</v>
      </c>
      <c r="F7238" s="69">
        <v>7.3963494936685928E-2</v>
      </c>
      <c r="G7238" s="69">
        <v>9.8314606741573038E-2</v>
      </c>
    </row>
    <row r="7239" spans="1:7" x14ac:dyDescent="0.3">
      <c r="A7239" s="24">
        <v>42117</v>
      </c>
      <c r="B7239" s="66">
        <v>1264.077</v>
      </c>
      <c r="C7239" s="66">
        <v>1040</v>
      </c>
      <c r="D7239" s="70">
        <v>0</v>
      </c>
      <c r="E7239" s="111">
        <f t="shared" si="116"/>
        <v>138710</v>
      </c>
      <c r="F7239" s="69">
        <v>7.3963494936685928E-2</v>
      </c>
      <c r="G7239" s="69">
        <v>9.8314606741573038E-2</v>
      </c>
    </row>
    <row r="7240" spans="1:7" x14ac:dyDescent="0.3">
      <c r="A7240" s="24">
        <v>42118</v>
      </c>
      <c r="B7240" s="66">
        <v>1264.077</v>
      </c>
      <c r="C7240" s="66">
        <v>1040</v>
      </c>
      <c r="D7240" s="70">
        <v>0</v>
      </c>
      <c r="E7240" s="111">
        <f t="shared" si="116"/>
        <v>138710</v>
      </c>
      <c r="F7240" s="69">
        <v>7.3963494936685928E-2</v>
      </c>
      <c r="G7240" s="69">
        <v>9.8314606741573038E-2</v>
      </c>
    </row>
    <row r="7241" spans="1:7" x14ac:dyDescent="0.3">
      <c r="A7241" s="24">
        <v>42119</v>
      </c>
      <c r="B7241" s="66">
        <v>1264.077</v>
      </c>
      <c r="C7241" s="66">
        <v>1040</v>
      </c>
      <c r="D7241" s="70">
        <v>0</v>
      </c>
      <c r="E7241" s="111">
        <f t="shared" ref="E7241:E7304" si="117">+E7240</f>
        <v>138710</v>
      </c>
      <c r="F7241" s="69">
        <v>7.3963494936685928E-2</v>
      </c>
      <c r="G7241" s="69">
        <v>9.8314606741573038E-2</v>
      </c>
    </row>
    <row r="7242" spans="1:7" x14ac:dyDescent="0.3">
      <c r="A7242" s="24">
        <v>42120</v>
      </c>
      <c r="B7242" s="66">
        <v>1264.077</v>
      </c>
      <c r="C7242" s="66">
        <v>1040</v>
      </c>
      <c r="D7242" s="70">
        <v>0</v>
      </c>
      <c r="E7242" s="111">
        <f t="shared" si="117"/>
        <v>138710</v>
      </c>
      <c r="F7242" s="69">
        <v>7.3963494936685928E-2</v>
      </c>
      <c r="G7242" s="69">
        <v>9.8314606741573038E-2</v>
      </c>
    </row>
    <row r="7243" spans="1:7" x14ac:dyDescent="0.3">
      <c r="A7243" s="24">
        <v>42121</v>
      </c>
      <c r="B7243" s="66">
        <v>1264.077</v>
      </c>
      <c r="C7243" s="66">
        <v>1040</v>
      </c>
      <c r="D7243" s="70">
        <v>0</v>
      </c>
      <c r="E7243" s="111">
        <f t="shared" si="117"/>
        <v>138710</v>
      </c>
      <c r="F7243" s="69">
        <v>7.3963494936685928E-2</v>
      </c>
      <c r="G7243" s="69">
        <v>9.7222222222222224E-2</v>
      </c>
    </row>
    <row r="7244" spans="1:7" x14ac:dyDescent="0.3">
      <c r="A7244" s="24">
        <v>42122</v>
      </c>
      <c r="B7244" s="66">
        <v>1264.077</v>
      </c>
      <c r="C7244" s="66">
        <v>1030</v>
      </c>
      <c r="D7244" s="70">
        <v>0</v>
      </c>
      <c r="E7244" s="111">
        <f t="shared" si="117"/>
        <v>138710</v>
      </c>
      <c r="F7244" s="69">
        <v>7.3963494936685928E-2</v>
      </c>
      <c r="G7244" s="69">
        <v>9.5315904139433555E-2</v>
      </c>
    </row>
    <row r="7245" spans="1:7" x14ac:dyDescent="0.3">
      <c r="A7245" s="24">
        <v>42123</v>
      </c>
      <c r="B7245" s="66">
        <v>1264.077</v>
      </c>
      <c r="C7245" s="66">
        <v>1030</v>
      </c>
      <c r="D7245" s="70">
        <v>0</v>
      </c>
      <c r="E7245" s="111">
        <f t="shared" si="117"/>
        <v>138710</v>
      </c>
      <c r="F7245" s="69">
        <v>7.159560759988666E-2</v>
      </c>
      <c r="G7245" s="69">
        <v>9.5315904139433555E-2</v>
      </c>
    </row>
    <row r="7246" spans="1:7" x14ac:dyDescent="0.3">
      <c r="A7246" s="24">
        <v>42124</v>
      </c>
      <c r="B7246" s="66">
        <v>1264.077</v>
      </c>
      <c r="C7246" s="66">
        <v>1030</v>
      </c>
      <c r="D7246" s="70">
        <v>0</v>
      </c>
      <c r="E7246" s="111">
        <f t="shared" si="117"/>
        <v>138710</v>
      </c>
      <c r="F7246" s="69">
        <v>7.159560759988666E-2</v>
      </c>
      <c r="G7246" s="69">
        <v>9.5315904139433555E-2</v>
      </c>
    </row>
    <row r="7247" spans="1:7" x14ac:dyDescent="0.3">
      <c r="A7247" s="24">
        <v>42125</v>
      </c>
      <c r="B7247" s="66">
        <v>1264.077</v>
      </c>
      <c r="C7247" s="66">
        <v>1030</v>
      </c>
      <c r="D7247" s="70">
        <v>0</v>
      </c>
      <c r="E7247" s="111">
        <f t="shared" si="117"/>
        <v>138710</v>
      </c>
      <c r="F7247" s="69">
        <v>7.159560759988666E-2</v>
      </c>
      <c r="G7247" s="69">
        <v>9.6578366445916108E-2</v>
      </c>
    </row>
    <row r="7248" spans="1:7" x14ac:dyDescent="0.3">
      <c r="A7248" s="24">
        <v>42126</v>
      </c>
      <c r="B7248" s="66">
        <v>1264.077</v>
      </c>
      <c r="C7248" s="66">
        <v>1030</v>
      </c>
      <c r="D7248" s="70">
        <v>0</v>
      </c>
      <c r="E7248" s="111">
        <f t="shared" si="117"/>
        <v>138710</v>
      </c>
      <c r="F7248" s="69">
        <v>7.159560759988666E-2</v>
      </c>
      <c r="G7248" s="69">
        <v>9.6578366445916108E-2</v>
      </c>
    </row>
    <row r="7249" spans="1:7" x14ac:dyDescent="0.3">
      <c r="A7249" s="24">
        <v>42127</v>
      </c>
      <c r="B7249" s="66">
        <v>1264.077</v>
      </c>
      <c r="C7249" s="66">
        <v>1030</v>
      </c>
      <c r="D7249" s="70">
        <v>0</v>
      </c>
      <c r="E7249" s="111">
        <f t="shared" si="117"/>
        <v>138710</v>
      </c>
      <c r="F7249" s="69">
        <v>7.159560759988666E-2</v>
      </c>
      <c r="G7249" s="69">
        <v>9.6578366445916108E-2</v>
      </c>
    </row>
    <row r="7250" spans="1:7" x14ac:dyDescent="0.3">
      <c r="A7250" s="24">
        <v>42128</v>
      </c>
      <c r="B7250" s="66">
        <v>1271.345</v>
      </c>
      <c r="C7250" s="66">
        <v>1020</v>
      </c>
      <c r="D7250" s="70">
        <v>0</v>
      </c>
      <c r="E7250" s="111">
        <f t="shared" si="117"/>
        <v>138710</v>
      </c>
      <c r="F7250" s="69">
        <v>7.159560759988666E-2</v>
      </c>
      <c r="G7250" s="69">
        <v>9.668508287292818E-2</v>
      </c>
    </row>
    <row r="7251" spans="1:7" x14ac:dyDescent="0.3">
      <c r="A7251" s="24">
        <v>42129</v>
      </c>
      <c r="B7251" s="66">
        <v>1271.345</v>
      </c>
      <c r="C7251" s="66">
        <v>1020</v>
      </c>
      <c r="D7251" s="70">
        <v>0</v>
      </c>
      <c r="E7251" s="111">
        <f t="shared" si="117"/>
        <v>138710</v>
      </c>
      <c r="F7251" s="69">
        <v>7.159560759988666E-2</v>
      </c>
      <c r="G7251" s="69">
        <v>9.668508287292818E-2</v>
      </c>
    </row>
    <row r="7252" spans="1:7" x14ac:dyDescent="0.3">
      <c r="A7252" s="24">
        <v>42130</v>
      </c>
      <c r="B7252" s="66">
        <v>1271.345</v>
      </c>
      <c r="C7252" s="66">
        <v>1020</v>
      </c>
      <c r="D7252" s="70">
        <v>0</v>
      </c>
      <c r="E7252" s="111">
        <f t="shared" si="117"/>
        <v>138710</v>
      </c>
      <c r="F7252" s="69">
        <v>7.159560759988666E-2</v>
      </c>
      <c r="G7252" s="69">
        <v>9.668508287292818E-2</v>
      </c>
    </row>
    <row r="7253" spans="1:7" x14ac:dyDescent="0.3">
      <c r="A7253" s="24">
        <v>42131</v>
      </c>
      <c r="B7253" s="66">
        <v>1271.345</v>
      </c>
      <c r="C7253" s="66">
        <v>1020</v>
      </c>
      <c r="D7253" s="70">
        <v>0</v>
      </c>
      <c r="E7253" s="111">
        <f t="shared" si="117"/>
        <v>138710</v>
      </c>
      <c r="F7253" s="69">
        <v>7.159560759988666E-2</v>
      </c>
      <c r="G7253" s="69">
        <v>9.6153846153846159E-2</v>
      </c>
    </row>
    <row r="7254" spans="1:7" x14ac:dyDescent="0.3">
      <c r="A7254" s="24">
        <v>42132</v>
      </c>
      <c r="B7254" s="66">
        <v>1271.345</v>
      </c>
      <c r="C7254" s="66">
        <v>1020</v>
      </c>
      <c r="D7254" s="70">
        <v>0</v>
      </c>
      <c r="E7254" s="111">
        <f t="shared" si="117"/>
        <v>138710</v>
      </c>
      <c r="F7254" s="69">
        <v>7.159560759988666E-2</v>
      </c>
      <c r="G7254" s="69">
        <v>9.6153846153846159E-2</v>
      </c>
    </row>
    <row r="7255" spans="1:7" x14ac:dyDescent="0.3">
      <c r="A7255" s="24">
        <v>42133</v>
      </c>
      <c r="B7255" s="66">
        <v>1271.345</v>
      </c>
      <c r="C7255" s="66">
        <v>1020</v>
      </c>
      <c r="D7255" s="70">
        <v>0</v>
      </c>
      <c r="E7255" s="111">
        <f t="shared" si="117"/>
        <v>138710</v>
      </c>
      <c r="F7255" s="69">
        <v>7.159560759988666E-2</v>
      </c>
      <c r="G7255" s="69">
        <v>9.6153846153846159E-2</v>
      </c>
    </row>
    <row r="7256" spans="1:7" x14ac:dyDescent="0.3">
      <c r="A7256" s="24">
        <v>42134</v>
      </c>
      <c r="B7256" s="66">
        <v>1271.345</v>
      </c>
      <c r="C7256" s="66">
        <v>1020</v>
      </c>
      <c r="D7256" s="70">
        <v>0</v>
      </c>
      <c r="E7256" s="111">
        <f t="shared" si="117"/>
        <v>138710</v>
      </c>
      <c r="F7256" s="69">
        <v>7.159560759988666E-2</v>
      </c>
      <c r="G7256" s="69">
        <v>9.6153846153846159E-2</v>
      </c>
    </row>
    <row r="7257" spans="1:7" x14ac:dyDescent="0.3">
      <c r="A7257" s="24">
        <v>42135</v>
      </c>
      <c r="B7257" s="66">
        <v>1271.345</v>
      </c>
      <c r="C7257" s="66">
        <v>1020</v>
      </c>
      <c r="D7257" s="70">
        <v>0</v>
      </c>
      <c r="E7257" s="111">
        <f t="shared" si="117"/>
        <v>138710</v>
      </c>
      <c r="F7257" s="69">
        <v>7.159560759988666E-2</v>
      </c>
      <c r="G7257" s="69">
        <v>9.6153846153846159E-2</v>
      </c>
    </row>
    <row r="7258" spans="1:7" x14ac:dyDescent="0.3">
      <c r="A7258" s="24">
        <v>42136</v>
      </c>
      <c r="B7258" s="66">
        <v>1271.345</v>
      </c>
      <c r="C7258" s="66">
        <v>1030</v>
      </c>
      <c r="D7258" s="70">
        <v>0</v>
      </c>
      <c r="E7258" s="111">
        <f t="shared" si="117"/>
        <v>138710</v>
      </c>
      <c r="F7258" s="69">
        <v>7.159560759988666E-2</v>
      </c>
      <c r="G7258" s="69">
        <v>9.6471885336273433E-2</v>
      </c>
    </row>
    <row r="7259" spans="1:7" x14ac:dyDescent="0.3">
      <c r="A7259" s="24">
        <v>42137</v>
      </c>
      <c r="B7259" s="66">
        <v>1271.345</v>
      </c>
      <c r="C7259" s="66">
        <v>1030</v>
      </c>
      <c r="D7259" s="70">
        <v>0</v>
      </c>
      <c r="E7259" s="111">
        <f t="shared" si="117"/>
        <v>138710</v>
      </c>
      <c r="F7259" s="69">
        <v>7.159560759988666E-2</v>
      </c>
      <c r="G7259" s="69">
        <v>9.6153846153846159E-2</v>
      </c>
    </row>
    <row r="7260" spans="1:7" x14ac:dyDescent="0.3">
      <c r="A7260" s="24">
        <v>42138</v>
      </c>
      <c r="B7260" s="66">
        <v>1271.345</v>
      </c>
      <c r="C7260" s="66">
        <v>1030</v>
      </c>
      <c r="D7260" s="70">
        <v>0</v>
      </c>
      <c r="E7260" s="111">
        <f t="shared" si="117"/>
        <v>138710</v>
      </c>
      <c r="F7260" s="69">
        <v>7.159560759988666E-2</v>
      </c>
      <c r="G7260" s="69">
        <v>9.6153846153846159E-2</v>
      </c>
    </row>
    <row r="7261" spans="1:7" x14ac:dyDescent="0.3">
      <c r="A7261" s="24">
        <v>42139</v>
      </c>
      <c r="B7261" s="66">
        <v>1271.345</v>
      </c>
      <c r="C7261" s="66">
        <v>1040</v>
      </c>
      <c r="D7261" s="70">
        <v>0</v>
      </c>
      <c r="E7261" s="111">
        <f t="shared" si="117"/>
        <v>138710</v>
      </c>
      <c r="F7261" s="69">
        <v>7.159560759988666E-2</v>
      </c>
      <c r="G7261" s="69">
        <v>9.6153846153846159E-2</v>
      </c>
    </row>
    <row r="7262" spans="1:7" x14ac:dyDescent="0.3">
      <c r="A7262" s="24">
        <v>42140</v>
      </c>
      <c r="B7262" s="66">
        <v>1271.345</v>
      </c>
      <c r="C7262" s="66">
        <v>1040</v>
      </c>
      <c r="D7262" s="70">
        <v>0</v>
      </c>
      <c r="E7262" s="111">
        <f t="shared" si="117"/>
        <v>138710</v>
      </c>
      <c r="F7262" s="69">
        <v>7.159560759988666E-2</v>
      </c>
      <c r="G7262" s="69">
        <v>9.6153846153846159E-2</v>
      </c>
    </row>
    <row r="7263" spans="1:7" x14ac:dyDescent="0.3">
      <c r="A7263" s="24">
        <v>42141</v>
      </c>
      <c r="B7263" s="66">
        <v>1271.345</v>
      </c>
      <c r="C7263" s="66">
        <v>1040</v>
      </c>
      <c r="D7263" s="70">
        <v>0</v>
      </c>
      <c r="E7263" s="111">
        <f t="shared" si="117"/>
        <v>138710</v>
      </c>
      <c r="F7263" s="69">
        <v>7.159560759988666E-2</v>
      </c>
      <c r="G7263" s="69">
        <v>9.6153846153846159E-2</v>
      </c>
    </row>
    <row r="7264" spans="1:7" x14ac:dyDescent="0.3">
      <c r="A7264" s="24">
        <v>42142</v>
      </c>
      <c r="B7264" s="66">
        <v>1271.345</v>
      </c>
      <c r="C7264" s="66">
        <v>1039.9000000000001</v>
      </c>
      <c r="D7264" s="70">
        <v>0</v>
      </c>
      <c r="E7264" s="111">
        <f t="shared" si="117"/>
        <v>138710</v>
      </c>
      <c r="F7264" s="69">
        <v>7.159560759988666E-2</v>
      </c>
      <c r="G7264" s="69">
        <v>9.6153846153846159E-2</v>
      </c>
    </row>
    <row r="7265" spans="1:7" x14ac:dyDescent="0.3">
      <c r="A7265" s="24">
        <v>42143</v>
      </c>
      <c r="B7265" s="66">
        <v>1271.345</v>
      </c>
      <c r="C7265" s="66">
        <v>1040</v>
      </c>
      <c r="D7265" s="70">
        <v>0</v>
      </c>
      <c r="E7265" s="111">
        <f t="shared" si="117"/>
        <v>138710</v>
      </c>
      <c r="F7265" s="69">
        <v>7.159560759988666E-2</v>
      </c>
      <c r="G7265" s="69">
        <v>9.6153846153846159E-2</v>
      </c>
    </row>
    <row r="7266" spans="1:7" x14ac:dyDescent="0.3">
      <c r="A7266" s="24">
        <v>42144</v>
      </c>
      <c r="B7266" s="66">
        <v>1271.345</v>
      </c>
      <c r="C7266" s="66">
        <v>1039.8</v>
      </c>
      <c r="D7266" s="70">
        <v>0</v>
      </c>
      <c r="E7266" s="111">
        <f t="shared" si="117"/>
        <v>138710</v>
      </c>
      <c r="F7266" s="69">
        <v>7.159560759988666E-2</v>
      </c>
      <c r="G7266" s="69">
        <v>9.6153846153846159E-2</v>
      </c>
    </row>
    <row r="7267" spans="1:7" x14ac:dyDescent="0.3">
      <c r="A7267" s="24">
        <v>42145</v>
      </c>
      <c r="B7267" s="66">
        <v>1271.345</v>
      </c>
      <c r="C7267" s="66">
        <v>1039.8</v>
      </c>
      <c r="D7267" s="70">
        <v>0</v>
      </c>
      <c r="E7267" s="111">
        <f t="shared" si="117"/>
        <v>138710</v>
      </c>
      <c r="F7267" s="69">
        <v>7.159560759988666E-2</v>
      </c>
      <c r="G7267" s="69">
        <v>9.6418732782369149E-2</v>
      </c>
    </row>
    <row r="7268" spans="1:7" x14ac:dyDescent="0.3">
      <c r="A7268" s="24">
        <v>42146</v>
      </c>
      <c r="B7268" s="66">
        <v>1271.345</v>
      </c>
      <c r="C7268" s="66">
        <v>1040</v>
      </c>
      <c r="D7268" s="70">
        <v>0</v>
      </c>
      <c r="E7268" s="111">
        <f t="shared" si="117"/>
        <v>138710</v>
      </c>
      <c r="F7268" s="69">
        <v>7.159560759988666E-2</v>
      </c>
      <c r="G7268" s="69">
        <v>9.6418732782369149E-2</v>
      </c>
    </row>
    <row r="7269" spans="1:7" x14ac:dyDescent="0.3">
      <c r="A7269" s="24">
        <v>42147</v>
      </c>
      <c r="B7269" s="66">
        <v>1271.345</v>
      </c>
      <c r="C7269" s="66">
        <v>1040</v>
      </c>
      <c r="D7269" s="70">
        <v>0</v>
      </c>
      <c r="E7269" s="111">
        <f t="shared" si="117"/>
        <v>138710</v>
      </c>
      <c r="F7269" s="69">
        <v>7.159560759988666E-2</v>
      </c>
      <c r="G7269" s="69">
        <v>9.6418732782369149E-2</v>
      </c>
    </row>
    <row r="7270" spans="1:7" x14ac:dyDescent="0.3">
      <c r="A7270" s="24">
        <v>42148</v>
      </c>
      <c r="B7270" s="66">
        <v>1271.345</v>
      </c>
      <c r="C7270" s="66">
        <v>1040</v>
      </c>
      <c r="D7270" s="70">
        <v>0</v>
      </c>
      <c r="E7270" s="111">
        <f t="shared" si="117"/>
        <v>138710</v>
      </c>
      <c r="F7270" s="69">
        <v>7.159560759988666E-2</v>
      </c>
      <c r="G7270" s="69">
        <v>9.6418732782369149E-2</v>
      </c>
    </row>
    <row r="7271" spans="1:7" x14ac:dyDescent="0.3">
      <c r="A7271" s="24">
        <v>42149</v>
      </c>
      <c r="B7271" s="66">
        <v>1271.345</v>
      </c>
      <c r="C7271" s="66">
        <v>1040</v>
      </c>
      <c r="D7271" s="70">
        <v>0</v>
      </c>
      <c r="E7271" s="111">
        <f t="shared" si="117"/>
        <v>138710</v>
      </c>
      <c r="F7271" s="69">
        <v>7.159560759988666E-2</v>
      </c>
      <c r="G7271" s="69">
        <v>9.6899224806201556E-2</v>
      </c>
    </row>
    <row r="7272" spans="1:7" x14ac:dyDescent="0.3">
      <c r="A7272" s="24">
        <v>42150</v>
      </c>
      <c r="B7272" s="66">
        <v>1271.345</v>
      </c>
      <c r="C7272" s="66">
        <v>1039</v>
      </c>
      <c r="D7272" s="70">
        <v>0</v>
      </c>
      <c r="E7272" s="111">
        <f t="shared" si="117"/>
        <v>138710</v>
      </c>
      <c r="F7272" s="69">
        <v>7.159560759988666E-2</v>
      </c>
      <c r="G7272" s="69">
        <v>9.7222222222222224E-2</v>
      </c>
    </row>
    <row r="7273" spans="1:7" x14ac:dyDescent="0.3">
      <c r="A7273" s="24">
        <v>42151</v>
      </c>
      <c r="B7273" s="66">
        <v>1271.345</v>
      </c>
      <c r="C7273" s="66">
        <v>1035</v>
      </c>
      <c r="D7273" s="70">
        <v>0</v>
      </c>
      <c r="E7273" s="111">
        <f t="shared" si="117"/>
        <v>138710</v>
      </c>
      <c r="F7273" s="69">
        <v>7.159560759988666E-2</v>
      </c>
      <c r="G7273" s="69">
        <v>9.7222222222222224E-2</v>
      </c>
    </row>
    <row r="7274" spans="1:7" x14ac:dyDescent="0.3">
      <c r="A7274" s="24">
        <v>42152</v>
      </c>
      <c r="B7274" s="66">
        <v>1271.345</v>
      </c>
      <c r="C7274" s="66">
        <v>1025</v>
      </c>
      <c r="D7274" s="70">
        <v>0</v>
      </c>
      <c r="E7274" s="111">
        <f t="shared" si="117"/>
        <v>138710</v>
      </c>
      <c r="F7274" s="69">
        <v>7.159560759988666E-2</v>
      </c>
      <c r="G7274" s="69">
        <v>9.6153846153846159E-2</v>
      </c>
    </row>
    <row r="7275" spans="1:7" x14ac:dyDescent="0.3">
      <c r="A7275" s="24">
        <v>42153</v>
      </c>
      <c r="B7275" s="66">
        <v>1271.345</v>
      </c>
      <c r="C7275" s="66">
        <v>1030</v>
      </c>
      <c r="D7275" s="70">
        <v>0</v>
      </c>
      <c r="E7275" s="111">
        <f t="shared" si="117"/>
        <v>138710</v>
      </c>
      <c r="F7275" s="69">
        <v>4.9094130925636567E-2</v>
      </c>
      <c r="G7275" s="69">
        <v>6.5217391304347824E-2</v>
      </c>
    </row>
    <row r="7276" spans="1:7" x14ac:dyDescent="0.3">
      <c r="A7276" s="24">
        <v>42154</v>
      </c>
      <c r="B7276" s="66">
        <v>1271.345</v>
      </c>
      <c r="C7276" s="66">
        <v>1030</v>
      </c>
      <c r="D7276" s="70">
        <v>0</v>
      </c>
      <c r="E7276" s="111">
        <f t="shared" si="117"/>
        <v>138710</v>
      </c>
      <c r="F7276" s="69">
        <v>4.9094130925636567E-2</v>
      </c>
      <c r="G7276" s="69">
        <v>6.5217391304347824E-2</v>
      </c>
    </row>
    <row r="7277" spans="1:7" x14ac:dyDescent="0.3">
      <c r="A7277" s="24">
        <v>42155</v>
      </c>
      <c r="B7277" s="66">
        <v>1271.345</v>
      </c>
      <c r="C7277" s="66">
        <v>1030</v>
      </c>
      <c r="D7277" s="70">
        <v>0</v>
      </c>
      <c r="E7277" s="111">
        <f t="shared" si="117"/>
        <v>138710</v>
      </c>
      <c r="F7277" s="69">
        <v>4.9094130925636567E-2</v>
      </c>
      <c r="G7277" s="69">
        <v>6.5217391304347824E-2</v>
      </c>
    </row>
    <row r="7278" spans="1:7" x14ac:dyDescent="0.3">
      <c r="A7278" s="24">
        <v>42156</v>
      </c>
      <c r="B7278" s="66">
        <v>1271.345</v>
      </c>
      <c r="C7278" s="66">
        <v>1030</v>
      </c>
      <c r="D7278" s="70">
        <v>0</v>
      </c>
      <c r="E7278" s="111">
        <f t="shared" si="117"/>
        <v>138710</v>
      </c>
      <c r="F7278" s="69">
        <v>4.9094130925636567E-2</v>
      </c>
      <c r="G7278" s="69">
        <v>6.5217391304347824E-2</v>
      </c>
    </row>
    <row r="7279" spans="1:7" x14ac:dyDescent="0.3">
      <c r="A7279" s="24">
        <v>42157</v>
      </c>
      <c r="B7279" s="66">
        <v>1271.345</v>
      </c>
      <c r="C7279" s="66">
        <v>1030</v>
      </c>
      <c r="D7279" s="70">
        <v>0</v>
      </c>
      <c r="E7279" s="111">
        <f t="shared" si="117"/>
        <v>138710</v>
      </c>
      <c r="F7279" s="69">
        <v>4.9094130925636567E-2</v>
      </c>
      <c r="G7279" s="69">
        <v>6.5934065934065936E-2</v>
      </c>
    </row>
    <row r="7280" spans="1:7" x14ac:dyDescent="0.3">
      <c r="A7280" s="24">
        <v>42158</v>
      </c>
      <c r="B7280" s="66">
        <v>1271.345</v>
      </c>
      <c r="C7280" s="66">
        <v>1030</v>
      </c>
      <c r="D7280" s="70">
        <v>0</v>
      </c>
      <c r="E7280" s="111">
        <f t="shared" si="117"/>
        <v>138710</v>
      </c>
      <c r="F7280" s="69">
        <v>4.9094130925636567E-2</v>
      </c>
      <c r="G7280" s="69">
        <v>6.5573770491803282E-2</v>
      </c>
    </row>
    <row r="7281" spans="1:7" x14ac:dyDescent="0.3">
      <c r="A7281" s="24">
        <v>42159</v>
      </c>
      <c r="B7281" s="66">
        <v>1271.345</v>
      </c>
      <c r="C7281" s="66">
        <v>1030</v>
      </c>
      <c r="D7281" s="70">
        <v>0</v>
      </c>
      <c r="E7281" s="111">
        <f t="shared" si="117"/>
        <v>138710</v>
      </c>
      <c r="F7281" s="69">
        <v>4.9094130925636567E-2</v>
      </c>
      <c r="G7281" s="69">
        <v>6.5934065934065936E-2</v>
      </c>
    </row>
    <row r="7282" spans="1:7" x14ac:dyDescent="0.3">
      <c r="A7282" s="24">
        <v>42160</v>
      </c>
      <c r="B7282" s="66">
        <v>1271.345</v>
      </c>
      <c r="C7282" s="66">
        <v>1015</v>
      </c>
      <c r="D7282" s="70">
        <v>0</v>
      </c>
      <c r="E7282" s="111">
        <f t="shared" si="117"/>
        <v>138710</v>
      </c>
      <c r="F7282" s="69">
        <v>4.84955076994701E-2</v>
      </c>
      <c r="G7282" s="69">
        <v>6.5573770491803282E-2</v>
      </c>
    </row>
    <row r="7283" spans="1:7" x14ac:dyDescent="0.3">
      <c r="A7283" s="24">
        <v>42161</v>
      </c>
      <c r="B7283" s="66">
        <v>1271.345</v>
      </c>
      <c r="C7283" s="66">
        <v>1015</v>
      </c>
      <c r="D7283" s="70">
        <v>0</v>
      </c>
      <c r="E7283" s="111">
        <f t="shared" si="117"/>
        <v>138710</v>
      </c>
      <c r="F7283" s="69">
        <v>4.84955076994701E-2</v>
      </c>
      <c r="G7283" s="69">
        <v>6.5573770491803282E-2</v>
      </c>
    </row>
    <row r="7284" spans="1:7" x14ac:dyDescent="0.3">
      <c r="A7284" s="24">
        <v>42162</v>
      </c>
      <c r="B7284" s="66">
        <v>1271.345</v>
      </c>
      <c r="C7284" s="66">
        <v>1015</v>
      </c>
      <c r="D7284" s="70">
        <v>0</v>
      </c>
      <c r="E7284" s="111">
        <f t="shared" si="117"/>
        <v>138710</v>
      </c>
      <c r="F7284" s="69">
        <v>4.84955076994701E-2</v>
      </c>
      <c r="G7284" s="69">
        <v>6.5573770491803282E-2</v>
      </c>
    </row>
    <row r="7285" spans="1:7" x14ac:dyDescent="0.3">
      <c r="A7285" s="24">
        <v>42163</v>
      </c>
      <c r="B7285" s="66">
        <v>1246.258</v>
      </c>
      <c r="C7285" s="66">
        <v>1015</v>
      </c>
      <c r="D7285" s="70">
        <v>0</v>
      </c>
      <c r="E7285" s="111">
        <f t="shared" si="117"/>
        <v>138710</v>
      </c>
      <c r="F7285" s="69">
        <v>4.84955076994701E-2</v>
      </c>
      <c r="G7285" s="69">
        <v>6.5573770491803282E-2</v>
      </c>
    </row>
    <row r="7286" spans="1:7" x14ac:dyDescent="0.3">
      <c r="A7286" s="24">
        <v>42164</v>
      </c>
      <c r="B7286" s="66">
        <v>1246.258</v>
      </c>
      <c r="C7286" s="66">
        <v>1015</v>
      </c>
      <c r="D7286" s="70">
        <v>0</v>
      </c>
      <c r="E7286" s="111">
        <f t="shared" si="117"/>
        <v>138710</v>
      </c>
      <c r="F7286" s="69">
        <v>4.84955076994701E-2</v>
      </c>
      <c r="G7286" s="69">
        <v>6.5573770491803282E-2</v>
      </c>
    </row>
    <row r="7287" spans="1:7" x14ac:dyDescent="0.3">
      <c r="A7287" s="24">
        <v>42165</v>
      </c>
      <c r="B7287" s="66">
        <v>1246.258</v>
      </c>
      <c r="C7287" s="66">
        <v>1015</v>
      </c>
      <c r="D7287" s="70">
        <v>0</v>
      </c>
      <c r="E7287" s="111">
        <f t="shared" si="117"/>
        <v>138710</v>
      </c>
      <c r="F7287" s="69">
        <v>4.84955076994701E-2</v>
      </c>
      <c r="G7287" s="69">
        <v>6.5934065934065936E-2</v>
      </c>
    </row>
    <row r="7288" spans="1:7" x14ac:dyDescent="0.3">
      <c r="A7288" s="24">
        <v>42166</v>
      </c>
      <c r="B7288" s="66">
        <v>1246.258</v>
      </c>
      <c r="C7288" s="66">
        <v>1025</v>
      </c>
      <c r="D7288" s="70">
        <v>0</v>
      </c>
      <c r="E7288" s="111">
        <f t="shared" si="117"/>
        <v>138710</v>
      </c>
      <c r="F7288" s="69">
        <v>4.84955076994701E-2</v>
      </c>
      <c r="G7288" s="69">
        <v>6.5934065934065936E-2</v>
      </c>
    </row>
    <row r="7289" spans="1:7" x14ac:dyDescent="0.3">
      <c r="A7289" s="24">
        <v>42167</v>
      </c>
      <c r="B7289" s="66">
        <v>1246.258</v>
      </c>
      <c r="C7289" s="66">
        <v>1029.9000000000001</v>
      </c>
      <c r="D7289" s="70">
        <v>0</v>
      </c>
      <c r="E7289" s="111">
        <f t="shared" si="117"/>
        <v>138710</v>
      </c>
      <c r="F7289" s="69">
        <v>4.84955076994701E-2</v>
      </c>
      <c r="G7289" s="69">
        <v>6.6666666666666666E-2</v>
      </c>
    </row>
    <row r="7290" spans="1:7" x14ac:dyDescent="0.3">
      <c r="A7290" s="24">
        <v>42168</v>
      </c>
      <c r="B7290" s="66">
        <v>1246.258</v>
      </c>
      <c r="C7290" s="66">
        <v>1029.9000000000001</v>
      </c>
      <c r="D7290" s="70">
        <v>0</v>
      </c>
      <c r="E7290" s="111">
        <f t="shared" si="117"/>
        <v>138710</v>
      </c>
      <c r="F7290" s="69">
        <v>4.84955076994701E-2</v>
      </c>
      <c r="G7290" s="69">
        <v>6.6666666666666666E-2</v>
      </c>
    </row>
    <row r="7291" spans="1:7" x14ac:dyDescent="0.3">
      <c r="A7291" s="24">
        <v>42169</v>
      </c>
      <c r="B7291" s="66">
        <v>1246.258</v>
      </c>
      <c r="C7291" s="66">
        <v>1029.9000000000001</v>
      </c>
      <c r="D7291" s="70">
        <v>0</v>
      </c>
      <c r="E7291" s="111">
        <f t="shared" si="117"/>
        <v>138710</v>
      </c>
      <c r="F7291" s="69">
        <v>4.84955076994701E-2</v>
      </c>
      <c r="G7291" s="69">
        <v>6.6666666666666666E-2</v>
      </c>
    </row>
    <row r="7292" spans="1:7" x14ac:dyDescent="0.3">
      <c r="A7292" s="24">
        <v>42170</v>
      </c>
      <c r="B7292" s="66">
        <v>1246.258</v>
      </c>
      <c r="C7292" s="66">
        <v>1030</v>
      </c>
      <c r="D7292" s="70">
        <v>0</v>
      </c>
      <c r="E7292" s="111">
        <f t="shared" si="117"/>
        <v>138710</v>
      </c>
      <c r="F7292" s="69">
        <v>4.84955076994701E-2</v>
      </c>
      <c r="G7292" s="69">
        <v>6.6666666666666666E-2</v>
      </c>
    </row>
    <row r="7293" spans="1:7" x14ac:dyDescent="0.3">
      <c r="A7293" s="24">
        <v>42171</v>
      </c>
      <c r="B7293" s="66">
        <v>1246.258</v>
      </c>
      <c r="C7293" s="66">
        <v>1030</v>
      </c>
      <c r="D7293" s="70">
        <v>0</v>
      </c>
      <c r="E7293" s="111">
        <f t="shared" si="117"/>
        <v>138710</v>
      </c>
      <c r="F7293" s="69">
        <v>4.84955076994701E-2</v>
      </c>
      <c r="G7293" s="69">
        <v>6.6666666666666666E-2</v>
      </c>
    </row>
    <row r="7294" spans="1:7" x14ac:dyDescent="0.3">
      <c r="A7294" s="24">
        <v>42172</v>
      </c>
      <c r="B7294" s="66">
        <v>1246.258</v>
      </c>
      <c r="C7294" s="66">
        <v>1030</v>
      </c>
      <c r="D7294" s="70">
        <v>0</v>
      </c>
      <c r="E7294" s="111">
        <f t="shared" si="117"/>
        <v>138710</v>
      </c>
      <c r="F7294" s="69">
        <v>4.84955076994701E-2</v>
      </c>
      <c r="G7294" s="69">
        <v>6.6666666666666666E-2</v>
      </c>
    </row>
    <row r="7295" spans="1:7" x14ac:dyDescent="0.3">
      <c r="A7295" s="24">
        <v>42173</v>
      </c>
      <c r="B7295" s="66">
        <v>1246.258</v>
      </c>
      <c r="C7295" s="66">
        <v>1030</v>
      </c>
      <c r="D7295" s="70">
        <v>6.5</v>
      </c>
      <c r="E7295" s="111">
        <f t="shared" si="117"/>
        <v>138710</v>
      </c>
      <c r="F7295" s="69">
        <v>5.3749187700246032E-2</v>
      </c>
      <c r="G7295" s="69">
        <v>7.3888888888888893E-2</v>
      </c>
    </row>
    <row r="7296" spans="1:7" x14ac:dyDescent="0.3">
      <c r="A7296" s="24">
        <v>42174</v>
      </c>
      <c r="B7296" s="66">
        <v>1246.258</v>
      </c>
      <c r="C7296" s="66">
        <v>1030</v>
      </c>
      <c r="D7296" s="70">
        <v>0</v>
      </c>
      <c r="E7296" s="111">
        <f t="shared" si="117"/>
        <v>138710</v>
      </c>
      <c r="F7296" s="69">
        <v>5.3749187700246032E-2</v>
      </c>
      <c r="G7296" s="69">
        <v>7.3888888888888893E-2</v>
      </c>
    </row>
    <row r="7297" spans="1:7" x14ac:dyDescent="0.3">
      <c r="A7297" s="24">
        <v>42175</v>
      </c>
      <c r="B7297" s="66">
        <v>1246.258</v>
      </c>
      <c r="C7297" s="66">
        <v>1030</v>
      </c>
      <c r="D7297" s="70">
        <v>0</v>
      </c>
      <c r="E7297" s="111">
        <f t="shared" si="117"/>
        <v>138710</v>
      </c>
      <c r="F7297" s="69">
        <v>5.3749187700246032E-2</v>
      </c>
      <c r="G7297" s="69">
        <v>7.3888888888888893E-2</v>
      </c>
    </row>
    <row r="7298" spans="1:7" x14ac:dyDescent="0.3">
      <c r="A7298" s="24">
        <v>42176</v>
      </c>
      <c r="B7298" s="66">
        <v>1246.258</v>
      </c>
      <c r="C7298" s="66">
        <v>1030</v>
      </c>
      <c r="D7298" s="70">
        <v>0</v>
      </c>
      <c r="E7298" s="111">
        <f t="shared" si="117"/>
        <v>138710</v>
      </c>
      <c r="F7298" s="69">
        <v>5.3749187700246032E-2</v>
      </c>
      <c r="G7298" s="69">
        <v>7.3888888888888893E-2</v>
      </c>
    </row>
    <row r="7299" spans="1:7" x14ac:dyDescent="0.3">
      <c r="A7299" s="24">
        <v>42177</v>
      </c>
      <c r="B7299" s="66">
        <v>1246.258</v>
      </c>
      <c r="C7299" s="66">
        <v>1030</v>
      </c>
      <c r="D7299" s="70">
        <v>0</v>
      </c>
      <c r="E7299" s="111">
        <f t="shared" si="117"/>
        <v>138710</v>
      </c>
      <c r="F7299" s="69">
        <v>5.3749187700246032E-2</v>
      </c>
      <c r="G7299" s="69">
        <v>7.3888888888888893E-2</v>
      </c>
    </row>
    <row r="7300" spans="1:7" x14ac:dyDescent="0.3">
      <c r="A7300" s="24">
        <v>42178</v>
      </c>
      <c r="B7300" s="66">
        <v>1246.258</v>
      </c>
      <c r="C7300" s="66">
        <v>1029.5</v>
      </c>
      <c r="D7300" s="70">
        <v>0</v>
      </c>
      <c r="E7300" s="111">
        <f t="shared" si="117"/>
        <v>138710</v>
      </c>
      <c r="F7300" s="69">
        <v>5.3749187700246032E-2</v>
      </c>
      <c r="G7300" s="69">
        <v>7.3888888888888893E-2</v>
      </c>
    </row>
    <row r="7301" spans="1:7" x14ac:dyDescent="0.3">
      <c r="A7301" s="24">
        <v>42179</v>
      </c>
      <c r="B7301" s="66">
        <v>1246.258</v>
      </c>
      <c r="C7301" s="66">
        <v>1029.5</v>
      </c>
      <c r="D7301" s="70">
        <v>0</v>
      </c>
      <c r="E7301" s="111">
        <f t="shared" si="117"/>
        <v>138710</v>
      </c>
      <c r="F7301" s="69">
        <v>5.3749187700246032E-2</v>
      </c>
      <c r="G7301" s="69">
        <v>7.3888888888888893E-2</v>
      </c>
    </row>
    <row r="7302" spans="1:7" x14ac:dyDescent="0.3">
      <c r="A7302" s="24">
        <v>42180</v>
      </c>
      <c r="B7302" s="66">
        <v>1246.258</v>
      </c>
      <c r="C7302" s="66">
        <v>1029.5</v>
      </c>
      <c r="D7302" s="70">
        <v>0</v>
      </c>
      <c r="E7302" s="111">
        <f t="shared" si="117"/>
        <v>138710</v>
      </c>
      <c r="F7302" s="69">
        <v>5.3749187700246032E-2</v>
      </c>
      <c r="G7302" s="69">
        <v>7.3888888888888893E-2</v>
      </c>
    </row>
    <row r="7303" spans="1:7" x14ac:dyDescent="0.3">
      <c r="A7303" s="24">
        <v>42181</v>
      </c>
      <c r="B7303" s="66">
        <v>1246.258</v>
      </c>
      <c r="C7303" s="66">
        <v>1029</v>
      </c>
      <c r="D7303" s="70">
        <v>0</v>
      </c>
      <c r="E7303" s="111">
        <f t="shared" si="117"/>
        <v>138710</v>
      </c>
      <c r="F7303" s="69">
        <v>4.8899636930299022E-2</v>
      </c>
      <c r="G7303" s="69">
        <v>6.7222222222222225E-2</v>
      </c>
    </row>
    <row r="7304" spans="1:7" x14ac:dyDescent="0.3">
      <c r="A7304" s="24">
        <v>42182</v>
      </c>
      <c r="B7304" s="66">
        <v>1246.258</v>
      </c>
      <c r="C7304" s="66">
        <v>1029</v>
      </c>
      <c r="D7304" s="70">
        <v>0</v>
      </c>
      <c r="E7304" s="111">
        <f t="shared" si="117"/>
        <v>138710</v>
      </c>
      <c r="F7304" s="69">
        <v>4.8899636930299022E-2</v>
      </c>
      <c r="G7304" s="69">
        <v>6.7222222222222225E-2</v>
      </c>
    </row>
    <row r="7305" spans="1:7" x14ac:dyDescent="0.3">
      <c r="A7305" s="24">
        <v>42183</v>
      </c>
      <c r="B7305" s="66">
        <v>1246.258</v>
      </c>
      <c r="C7305" s="66">
        <v>1029</v>
      </c>
      <c r="D7305" s="70">
        <v>0</v>
      </c>
      <c r="E7305" s="111">
        <f t="shared" ref="E7305:E7368" si="118">+E7304</f>
        <v>138710</v>
      </c>
      <c r="F7305" s="69">
        <v>4.8899636930299022E-2</v>
      </c>
      <c r="G7305" s="69">
        <v>6.7222222222222225E-2</v>
      </c>
    </row>
    <row r="7306" spans="1:7" x14ac:dyDescent="0.3">
      <c r="A7306" s="24">
        <v>42184</v>
      </c>
      <c r="B7306" s="66">
        <v>1246.258</v>
      </c>
      <c r="C7306" s="66">
        <v>1029</v>
      </c>
      <c r="D7306" s="70">
        <v>0</v>
      </c>
      <c r="E7306" s="111">
        <f t="shared" si="118"/>
        <v>138710</v>
      </c>
      <c r="F7306" s="69">
        <v>4.8899636930299022E-2</v>
      </c>
      <c r="G7306" s="69">
        <v>6.7222222222222225E-2</v>
      </c>
    </row>
    <row r="7307" spans="1:7" x14ac:dyDescent="0.3">
      <c r="A7307" s="24">
        <v>42185</v>
      </c>
      <c r="B7307" s="66">
        <v>1246.258</v>
      </c>
      <c r="C7307" s="66">
        <v>1025</v>
      </c>
      <c r="D7307" s="70">
        <v>0</v>
      </c>
      <c r="E7307" s="111">
        <f t="shared" si="118"/>
        <v>138710</v>
      </c>
      <c r="F7307" s="69">
        <v>4.8899636930299022E-2</v>
      </c>
      <c r="G7307" s="69">
        <v>6.759776536312849E-2</v>
      </c>
    </row>
    <row r="7308" spans="1:7" x14ac:dyDescent="0.3">
      <c r="A7308" s="24">
        <v>42186</v>
      </c>
      <c r="B7308" s="66">
        <v>1246.258</v>
      </c>
      <c r="C7308" s="66">
        <v>1024.5</v>
      </c>
      <c r="D7308" s="70">
        <v>0</v>
      </c>
      <c r="E7308" s="111">
        <f t="shared" si="118"/>
        <v>138710</v>
      </c>
      <c r="F7308" s="69">
        <v>4.8899636930299022E-2</v>
      </c>
      <c r="G7308" s="69">
        <v>6.759776536312849E-2</v>
      </c>
    </row>
    <row r="7309" spans="1:7" x14ac:dyDescent="0.3">
      <c r="A7309" s="24">
        <v>42187</v>
      </c>
      <c r="B7309" s="66">
        <v>1246.258</v>
      </c>
      <c r="C7309" s="66">
        <v>1024.5</v>
      </c>
      <c r="D7309" s="70">
        <v>0</v>
      </c>
      <c r="E7309" s="111">
        <f t="shared" si="118"/>
        <v>138710</v>
      </c>
      <c r="F7309" s="69">
        <v>4.8899636930299022E-2</v>
      </c>
      <c r="G7309" s="69">
        <v>6.7673378076062635E-2</v>
      </c>
    </row>
    <row r="7310" spans="1:7" x14ac:dyDescent="0.3">
      <c r="A7310" s="24">
        <v>42188</v>
      </c>
      <c r="B7310" s="66">
        <v>1246.258</v>
      </c>
      <c r="C7310" s="66">
        <v>1024.5</v>
      </c>
      <c r="D7310" s="70">
        <v>0</v>
      </c>
      <c r="E7310" s="111">
        <f t="shared" si="118"/>
        <v>138710</v>
      </c>
      <c r="F7310" s="69">
        <v>4.8899636930299022E-2</v>
      </c>
      <c r="G7310" s="69">
        <v>6.7673378076062635E-2</v>
      </c>
    </row>
    <row r="7311" spans="1:7" x14ac:dyDescent="0.3">
      <c r="A7311" s="24">
        <v>42189</v>
      </c>
      <c r="B7311" s="66">
        <v>1246.258</v>
      </c>
      <c r="C7311" s="66">
        <v>1024.5</v>
      </c>
      <c r="D7311" s="70">
        <v>0</v>
      </c>
      <c r="E7311" s="111">
        <f t="shared" si="118"/>
        <v>138710</v>
      </c>
      <c r="F7311" s="69">
        <v>4.8899636930299022E-2</v>
      </c>
      <c r="G7311" s="69">
        <v>6.7673378076062635E-2</v>
      </c>
    </row>
    <row r="7312" spans="1:7" x14ac:dyDescent="0.3">
      <c r="A7312" s="24">
        <v>42190</v>
      </c>
      <c r="B7312" s="66">
        <v>1246.258</v>
      </c>
      <c r="C7312" s="66">
        <v>1024.5</v>
      </c>
      <c r="D7312" s="70">
        <v>0</v>
      </c>
      <c r="E7312" s="111">
        <f t="shared" si="118"/>
        <v>138710</v>
      </c>
      <c r="F7312" s="69">
        <v>4.8899636930299022E-2</v>
      </c>
      <c r="G7312" s="69">
        <v>6.7673378076062635E-2</v>
      </c>
    </row>
    <row r="7313" spans="1:7" x14ac:dyDescent="0.3">
      <c r="A7313" s="24">
        <v>42191</v>
      </c>
      <c r="B7313" s="66">
        <v>1246.258</v>
      </c>
      <c r="C7313" s="66">
        <v>1024.5</v>
      </c>
      <c r="D7313" s="70">
        <v>0</v>
      </c>
      <c r="E7313" s="111">
        <f t="shared" si="118"/>
        <v>138710</v>
      </c>
      <c r="F7313" s="69">
        <v>4.8899636930299022E-2</v>
      </c>
      <c r="G7313" s="69">
        <v>6.7749160134378497E-2</v>
      </c>
    </row>
    <row r="7314" spans="1:7" x14ac:dyDescent="0.3">
      <c r="A7314" s="24">
        <v>42192</v>
      </c>
      <c r="B7314" s="66">
        <v>1246.258</v>
      </c>
      <c r="C7314" s="66">
        <v>1015</v>
      </c>
      <c r="D7314" s="70">
        <v>0</v>
      </c>
      <c r="E7314" s="111">
        <f t="shared" si="118"/>
        <v>138710</v>
      </c>
      <c r="F7314" s="69">
        <v>4.8899636930299022E-2</v>
      </c>
      <c r="G7314" s="69">
        <v>6.778711484593837E-2</v>
      </c>
    </row>
    <row r="7315" spans="1:7" x14ac:dyDescent="0.3">
      <c r="A7315" s="24">
        <v>42193</v>
      </c>
      <c r="B7315" s="66">
        <v>1246.258</v>
      </c>
      <c r="C7315" s="66">
        <v>1015</v>
      </c>
      <c r="D7315" s="70">
        <v>0</v>
      </c>
      <c r="E7315" s="111">
        <f t="shared" si="118"/>
        <v>138710</v>
      </c>
      <c r="F7315" s="69">
        <v>4.8899636930299022E-2</v>
      </c>
      <c r="G7315" s="69">
        <v>6.7787874373942569E-2</v>
      </c>
    </row>
    <row r="7316" spans="1:7" x14ac:dyDescent="0.3">
      <c r="A7316" s="24">
        <v>42194</v>
      </c>
      <c r="B7316" s="66">
        <v>1246.258</v>
      </c>
      <c r="C7316" s="66">
        <v>1010</v>
      </c>
      <c r="D7316" s="70">
        <v>0</v>
      </c>
      <c r="E7316" s="111">
        <f t="shared" si="118"/>
        <v>138710</v>
      </c>
      <c r="F7316" s="69">
        <v>4.8899636930299022E-2</v>
      </c>
      <c r="G7316" s="69">
        <v>6.7787874373942569E-2</v>
      </c>
    </row>
    <row r="7317" spans="1:7" x14ac:dyDescent="0.3">
      <c r="A7317" s="24">
        <v>42195</v>
      </c>
      <c r="B7317" s="66">
        <v>1246.258</v>
      </c>
      <c r="C7317" s="66">
        <v>1010</v>
      </c>
      <c r="D7317" s="70">
        <v>0</v>
      </c>
      <c r="E7317" s="111">
        <f t="shared" si="118"/>
        <v>138710</v>
      </c>
      <c r="F7317" s="69">
        <v>4.8899636930299022E-2</v>
      </c>
      <c r="G7317" s="69">
        <v>6.7977528089887634E-2</v>
      </c>
    </row>
    <row r="7318" spans="1:7" x14ac:dyDescent="0.3">
      <c r="A7318" s="24">
        <v>42196</v>
      </c>
      <c r="B7318" s="66">
        <v>1246.258</v>
      </c>
      <c r="C7318" s="66">
        <v>1010</v>
      </c>
      <c r="D7318" s="70">
        <v>0</v>
      </c>
      <c r="E7318" s="111">
        <f t="shared" si="118"/>
        <v>138710</v>
      </c>
      <c r="F7318" s="69">
        <v>4.8899636930299022E-2</v>
      </c>
      <c r="G7318" s="69">
        <v>6.7977528089887634E-2</v>
      </c>
    </row>
    <row r="7319" spans="1:7" x14ac:dyDescent="0.3">
      <c r="A7319" s="24">
        <v>42197</v>
      </c>
      <c r="B7319" s="66">
        <v>1246.258</v>
      </c>
      <c r="C7319" s="66">
        <v>1010</v>
      </c>
      <c r="D7319" s="70">
        <v>0</v>
      </c>
      <c r="E7319" s="111">
        <f t="shared" si="118"/>
        <v>138710</v>
      </c>
      <c r="F7319" s="69">
        <v>4.8899636930299022E-2</v>
      </c>
      <c r="G7319" s="69">
        <v>6.7977528089887634E-2</v>
      </c>
    </row>
    <row r="7320" spans="1:7" x14ac:dyDescent="0.3">
      <c r="A7320" s="24">
        <v>42198</v>
      </c>
      <c r="B7320" s="66">
        <v>1246.258</v>
      </c>
      <c r="C7320" s="66">
        <v>1010</v>
      </c>
      <c r="D7320" s="70">
        <v>0</v>
      </c>
      <c r="E7320" s="111">
        <f t="shared" si="118"/>
        <v>138710</v>
      </c>
      <c r="F7320" s="69">
        <v>4.8899636930299022E-2</v>
      </c>
      <c r="G7320" s="69">
        <v>6.7977528089887634E-2</v>
      </c>
    </row>
    <row r="7321" spans="1:7" x14ac:dyDescent="0.3">
      <c r="A7321" s="24">
        <v>42199</v>
      </c>
      <c r="B7321" s="66">
        <v>1246.258</v>
      </c>
      <c r="C7321" s="66">
        <v>1010</v>
      </c>
      <c r="D7321" s="70">
        <v>0</v>
      </c>
      <c r="E7321" s="111">
        <f t="shared" si="118"/>
        <v>138710</v>
      </c>
      <c r="F7321" s="69">
        <v>4.8899636930299022E-2</v>
      </c>
      <c r="G7321" s="69">
        <v>6.7977528089887634E-2</v>
      </c>
    </row>
    <row r="7322" spans="1:7" x14ac:dyDescent="0.3">
      <c r="A7322" s="24">
        <v>42200</v>
      </c>
      <c r="B7322" s="66">
        <v>1246.258</v>
      </c>
      <c r="C7322" s="66">
        <v>1010</v>
      </c>
      <c r="D7322" s="70">
        <v>0</v>
      </c>
      <c r="E7322" s="111">
        <f t="shared" si="118"/>
        <v>138710</v>
      </c>
      <c r="F7322" s="69">
        <v>4.8899636930299022E-2</v>
      </c>
      <c r="G7322" s="69">
        <v>6.7977528089887634E-2</v>
      </c>
    </row>
    <row r="7323" spans="1:7" x14ac:dyDescent="0.3">
      <c r="A7323" s="24">
        <v>42201</v>
      </c>
      <c r="B7323" s="66">
        <v>1246.258</v>
      </c>
      <c r="C7323" s="66">
        <v>1010</v>
      </c>
      <c r="D7323" s="70">
        <v>0</v>
      </c>
      <c r="E7323" s="111">
        <f t="shared" si="118"/>
        <v>138710</v>
      </c>
      <c r="F7323" s="69">
        <v>4.8899636930299022E-2</v>
      </c>
      <c r="G7323" s="69">
        <v>6.7977528089887634E-2</v>
      </c>
    </row>
    <row r="7324" spans="1:7" x14ac:dyDescent="0.3">
      <c r="A7324" s="24">
        <v>42202</v>
      </c>
      <c r="B7324" s="66">
        <v>1246.258</v>
      </c>
      <c r="C7324" s="66">
        <v>1000</v>
      </c>
      <c r="D7324" s="70">
        <v>0</v>
      </c>
      <c r="E7324" s="111">
        <f t="shared" si="118"/>
        <v>138710</v>
      </c>
      <c r="F7324" s="69">
        <v>4.8899636930299022E-2</v>
      </c>
      <c r="G7324" s="69">
        <v>6.8361581920903955E-2</v>
      </c>
    </row>
    <row r="7325" spans="1:7" x14ac:dyDescent="0.3">
      <c r="A7325" s="24">
        <v>42203</v>
      </c>
      <c r="B7325" s="66">
        <v>1246.258</v>
      </c>
      <c r="C7325" s="66">
        <v>1000</v>
      </c>
      <c r="D7325" s="70">
        <v>0</v>
      </c>
      <c r="E7325" s="111">
        <f t="shared" si="118"/>
        <v>138710</v>
      </c>
      <c r="F7325" s="69">
        <v>4.8899636930299022E-2</v>
      </c>
      <c r="G7325" s="69">
        <v>6.8361581920903955E-2</v>
      </c>
    </row>
    <row r="7326" spans="1:7" x14ac:dyDescent="0.3">
      <c r="A7326" s="24">
        <v>42204</v>
      </c>
      <c r="B7326" s="66">
        <v>1246.258</v>
      </c>
      <c r="C7326" s="66">
        <v>1000</v>
      </c>
      <c r="D7326" s="70">
        <v>0</v>
      </c>
      <c r="E7326" s="111">
        <f t="shared" si="118"/>
        <v>138710</v>
      </c>
      <c r="F7326" s="69">
        <v>4.8899636930299022E-2</v>
      </c>
      <c r="G7326" s="69">
        <v>6.8361581920903955E-2</v>
      </c>
    </row>
    <row r="7327" spans="1:7" x14ac:dyDescent="0.3">
      <c r="A7327" s="24">
        <v>42205</v>
      </c>
      <c r="B7327" s="66">
        <v>1246.258</v>
      </c>
      <c r="C7327" s="66">
        <v>1000</v>
      </c>
      <c r="D7327" s="70">
        <v>0</v>
      </c>
      <c r="E7327" s="111">
        <f t="shared" si="118"/>
        <v>138710</v>
      </c>
      <c r="F7327" s="69">
        <v>4.8899636930299022E-2</v>
      </c>
      <c r="G7327" s="69">
        <v>6.8361581920903955E-2</v>
      </c>
    </row>
    <row r="7328" spans="1:7" x14ac:dyDescent="0.3">
      <c r="A7328" s="24">
        <v>42206</v>
      </c>
      <c r="B7328" s="66">
        <v>1246.258</v>
      </c>
      <c r="C7328" s="66">
        <v>1000</v>
      </c>
      <c r="D7328" s="70">
        <v>0</v>
      </c>
      <c r="E7328" s="111">
        <f t="shared" si="118"/>
        <v>138710</v>
      </c>
      <c r="F7328" s="69">
        <v>4.8899636930299022E-2</v>
      </c>
      <c r="G7328" s="69">
        <v>6.8361581920903955E-2</v>
      </c>
    </row>
    <row r="7329" spans="1:7" x14ac:dyDescent="0.3">
      <c r="A7329" s="24">
        <v>42207</v>
      </c>
      <c r="B7329" s="66">
        <v>1246.258</v>
      </c>
      <c r="C7329" s="66">
        <v>1000</v>
      </c>
      <c r="D7329" s="70">
        <v>0</v>
      </c>
      <c r="E7329" s="111">
        <f t="shared" si="118"/>
        <v>138710</v>
      </c>
      <c r="F7329" s="69">
        <v>4.8899636930299022E-2</v>
      </c>
      <c r="G7329" s="69">
        <v>6.8361581920903955E-2</v>
      </c>
    </row>
    <row r="7330" spans="1:7" x14ac:dyDescent="0.3">
      <c r="A7330" s="24">
        <v>42208</v>
      </c>
      <c r="B7330" s="66">
        <v>1246.258</v>
      </c>
      <c r="C7330" s="66">
        <v>1000</v>
      </c>
      <c r="D7330" s="70">
        <v>0</v>
      </c>
      <c r="E7330" s="111">
        <f t="shared" si="118"/>
        <v>138710</v>
      </c>
      <c r="F7330" s="69">
        <v>4.9387553520189718E-2</v>
      </c>
      <c r="G7330" s="69">
        <v>6.8361581920903955E-2</v>
      </c>
    </row>
    <row r="7331" spans="1:7" x14ac:dyDescent="0.3">
      <c r="A7331" s="24">
        <v>42209</v>
      </c>
      <c r="B7331" s="66">
        <v>1246.258</v>
      </c>
      <c r="C7331" s="66">
        <v>1000</v>
      </c>
      <c r="D7331" s="70">
        <v>0</v>
      </c>
      <c r="E7331" s="111">
        <f t="shared" si="118"/>
        <v>138710</v>
      </c>
      <c r="F7331" s="69">
        <v>4.9387553520189718E-2</v>
      </c>
      <c r="G7331" s="69">
        <v>6.8361581920903955E-2</v>
      </c>
    </row>
    <row r="7332" spans="1:7" x14ac:dyDescent="0.3">
      <c r="A7332" s="24">
        <v>42210</v>
      </c>
      <c r="B7332" s="66">
        <v>1246.258</v>
      </c>
      <c r="C7332" s="66">
        <v>1000</v>
      </c>
      <c r="D7332" s="70">
        <v>0</v>
      </c>
      <c r="E7332" s="111">
        <f t="shared" si="118"/>
        <v>138710</v>
      </c>
      <c r="F7332" s="69">
        <v>4.9387553520189718E-2</v>
      </c>
      <c r="G7332" s="69">
        <v>6.8361581920903955E-2</v>
      </c>
    </row>
    <row r="7333" spans="1:7" x14ac:dyDescent="0.3">
      <c r="A7333" s="24">
        <v>42211</v>
      </c>
      <c r="B7333" s="66">
        <v>1246.258</v>
      </c>
      <c r="C7333" s="66">
        <v>1000</v>
      </c>
      <c r="D7333" s="70">
        <v>0</v>
      </c>
      <c r="E7333" s="111">
        <f t="shared" si="118"/>
        <v>138710</v>
      </c>
      <c r="F7333" s="69">
        <v>4.9387553520189718E-2</v>
      </c>
      <c r="G7333" s="69">
        <v>6.8361581920903955E-2</v>
      </c>
    </row>
    <row r="7334" spans="1:7" x14ac:dyDescent="0.3">
      <c r="A7334" s="24">
        <v>42212</v>
      </c>
      <c r="B7334" s="66">
        <v>1246.258</v>
      </c>
      <c r="C7334" s="66">
        <v>1000</v>
      </c>
      <c r="D7334" s="70">
        <v>0</v>
      </c>
      <c r="E7334" s="111">
        <f t="shared" si="118"/>
        <v>138710</v>
      </c>
      <c r="F7334" s="69">
        <v>4.9387553520189718E-2</v>
      </c>
      <c r="G7334" s="69">
        <v>6.8750000000000006E-2</v>
      </c>
    </row>
    <row r="7335" spans="1:7" x14ac:dyDescent="0.3">
      <c r="A7335" s="24">
        <v>42213</v>
      </c>
      <c r="B7335" s="66">
        <v>1246.258</v>
      </c>
      <c r="C7335" s="66">
        <v>990</v>
      </c>
      <c r="D7335" s="70">
        <v>0</v>
      </c>
      <c r="E7335" s="111">
        <f t="shared" si="118"/>
        <v>138710</v>
      </c>
      <c r="F7335" s="69">
        <v>4.9387553520189718E-2</v>
      </c>
      <c r="G7335" s="69">
        <v>6.8750000000000006E-2</v>
      </c>
    </row>
    <row r="7336" spans="1:7" x14ac:dyDescent="0.3">
      <c r="A7336" s="24">
        <v>42214</v>
      </c>
      <c r="B7336" s="66">
        <v>1261</v>
      </c>
      <c r="C7336" s="66">
        <v>999</v>
      </c>
      <c r="D7336" s="70">
        <v>0</v>
      </c>
      <c r="E7336" s="111">
        <f t="shared" si="118"/>
        <v>138710</v>
      </c>
      <c r="F7336" s="69">
        <v>4.9387553520189718E-2</v>
      </c>
      <c r="G7336" s="69">
        <v>6.8750000000000006E-2</v>
      </c>
    </row>
    <row r="7337" spans="1:7" x14ac:dyDescent="0.3">
      <c r="A7337" s="24">
        <v>42215</v>
      </c>
      <c r="B7337" s="66">
        <v>1261</v>
      </c>
      <c r="C7337" s="66">
        <v>995</v>
      </c>
      <c r="D7337" s="70">
        <v>0</v>
      </c>
      <c r="E7337" s="111">
        <f t="shared" si="118"/>
        <v>138710</v>
      </c>
      <c r="F7337" s="69">
        <v>4.9387553520189718E-2</v>
      </c>
      <c r="G7337" s="69">
        <v>6.759776536312849E-2</v>
      </c>
    </row>
    <row r="7338" spans="1:7" x14ac:dyDescent="0.3">
      <c r="A7338" s="24">
        <v>42216</v>
      </c>
      <c r="B7338" s="66">
        <v>1261</v>
      </c>
      <c r="C7338" s="66">
        <v>990</v>
      </c>
      <c r="D7338" s="70">
        <v>0</v>
      </c>
      <c r="E7338" s="111">
        <f t="shared" si="118"/>
        <v>138710</v>
      </c>
      <c r="F7338" s="69">
        <v>4.9387553520189718E-2</v>
      </c>
      <c r="G7338" s="69">
        <v>6.9539430581257694E-2</v>
      </c>
    </row>
    <row r="7339" spans="1:7" x14ac:dyDescent="0.3">
      <c r="A7339" s="24">
        <v>42217</v>
      </c>
      <c r="B7339" s="66">
        <v>1261</v>
      </c>
      <c r="C7339" s="66">
        <v>990</v>
      </c>
      <c r="D7339" s="70">
        <v>0</v>
      </c>
      <c r="E7339" s="111">
        <f t="shared" si="118"/>
        <v>138710</v>
      </c>
      <c r="F7339" s="69">
        <v>4.9387553520189718E-2</v>
      </c>
      <c r="G7339" s="69">
        <v>6.9539430581257694E-2</v>
      </c>
    </row>
    <row r="7340" spans="1:7" x14ac:dyDescent="0.3">
      <c r="A7340" s="24">
        <v>42218</v>
      </c>
      <c r="B7340" s="66">
        <v>1261</v>
      </c>
      <c r="C7340" s="66">
        <v>990</v>
      </c>
      <c r="D7340" s="70">
        <v>0</v>
      </c>
      <c r="E7340" s="111">
        <f t="shared" si="118"/>
        <v>138710</v>
      </c>
      <c r="F7340" s="69">
        <v>4.9387553520189718E-2</v>
      </c>
      <c r="G7340" s="69">
        <v>6.9539430581257694E-2</v>
      </c>
    </row>
    <row r="7341" spans="1:7" x14ac:dyDescent="0.3">
      <c r="A7341" s="24">
        <v>42219</v>
      </c>
      <c r="B7341" s="66">
        <v>1261</v>
      </c>
      <c r="C7341" s="66">
        <v>980</v>
      </c>
      <c r="D7341" s="70">
        <v>0</v>
      </c>
      <c r="E7341" s="111">
        <f t="shared" si="118"/>
        <v>138710</v>
      </c>
      <c r="F7341" s="69">
        <v>4.9387553520189718E-2</v>
      </c>
      <c r="G7341" s="69">
        <v>6.8750000000000006E-2</v>
      </c>
    </row>
    <row r="7342" spans="1:7" x14ac:dyDescent="0.3">
      <c r="A7342" s="24">
        <v>42220</v>
      </c>
      <c r="B7342" s="66">
        <v>1261</v>
      </c>
      <c r="C7342" s="66">
        <v>980</v>
      </c>
      <c r="D7342" s="70">
        <v>0</v>
      </c>
      <c r="E7342" s="111">
        <f t="shared" si="118"/>
        <v>138710</v>
      </c>
      <c r="F7342" s="69">
        <v>4.9387553520189718E-2</v>
      </c>
      <c r="G7342" s="69">
        <v>6.9142066947806308E-2</v>
      </c>
    </row>
    <row r="7343" spans="1:7" x14ac:dyDescent="0.3">
      <c r="A7343" s="24">
        <v>42221</v>
      </c>
      <c r="B7343" s="66">
        <v>1261</v>
      </c>
      <c r="C7343" s="66">
        <v>980</v>
      </c>
      <c r="D7343" s="70">
        <v>0</v>
      </c>
      <c r="E7343" s="111">
        <f t="shared" si="118"/>
        <v>138710</v>
      </c>
      <c r="F7343" s="69">
        <v>4.9387553520189718E-2</v>
      </c>
      <c r="G7343" s="69">
        <v>6.9142857142857145E-2</v>
      </c>
    </row>
    <row r="7344" spans="1:7" x14ac:dyDescent="0.3">
      <c r="A7344" s="24">
        <v>42222</v>
      </c>
      <c r="B7344" s="66">
        <v>1261</v>
      </c>
      <c r="C7344" s="66">
        <v>980</v>
      </c>
      <c r="D7344" s="70">
        <v>0</v>
      </c>
      <c r="E7344" s="111">
        <f t="shared" si="118"/>
        <v>138710</v>
      </c>
      <c r="F7344" s="69">
        <v>4.9387553520189718E-2</v>
      </c>
      <c r="G7344" s="69">
        <v>6.8750000000000006E-2</v>
      </c>
    </row>
    <row r="7345" spans="1:7" x14ac:dyDescent="0.3">
      <c r="A7345" s="24">
        <v>42223</v>
      </c>
      <c r="B7345" s="66">
        <v>1261</v>
      </c>
      <c r="C7345" s="66">
        <v>970</v>
      </c>
      <c r="D7345" s="70">
        <v>0</v>
      </c>
      <c r="E7345" s="111">
        <f t="shared" si="118"/>
        <v>138710</v>
      </c>
      <c r="F7345" s="69">
        <v>4.9387553520189718E-2</v>
      </c>
      <c r="G7345" s="69">
        <v>6.7977528089887634E-2</v>
      </c>
    </row>
    <row r="7346" spans="1:7" x14ac:dyDescent="0.3">
      <c r="A7346" s="24">
        <v>42224</v>
      </c>
      <c r="B7346" s="66">
        <v>1261</v>
      </c>
      <c r="C7346" s="66">
        <v>970</v>
      </c>
      <c r="D7346" s="70">
        <v>0</v>
      </c>
      <c r="E7346" s="111">
        <f t="shared" si="118"/>
        <v>138710</v>
      </c>
      <c r="F7346" s="69">
        <v>4.9387553520189718E-2</v>
      </c>
      <c r="G7346" s="69">
        <v>6.7977528089887634E-2</v>
      </c>
    </row>
    <row r="7347" spans="1:7" x14ac:dyDescent="0.3">
      <c r="A7347" s="24">
        <v>42225</v>
      </c>
      <c r="B7347" s="66">
        <v>1261</v>
      </c>
      <c r="C7347" s="66">
        <v>970</v>
      </c>
      <c r="D7347" s="70">
        <v>0</v>
      </c>
      <c r="E7347" s="111">
        <f t="shared" si="118"/>
        <v>138710</v>
      </c>
      <c r="F7347" s="69">
        <v>4.9387553520189718E-2</v>
      </c>
      <c r="G7347" s="69">
        <v>6.7977528089887634E-2</v>
      </c>
    </row>
    <row r="7348" spans="1:7" x14ac:dyDescent="0.3">
      <c r="A7348" s="24">
        <v>42226</v>
      </c>
      <c r="B7348" s="66">
        <v>1261</v>
      </c>
      <c r="C7348" s="66">
        <v>960</v>
      </c>
      <c r="D7348" s="70">
        <v>0</v>
      </c>
      <c r="E7348" s="111">
        <f t="shared" si="118"/>
        <v>138710</v>
      </c>
      <c r="F7348" s="69">
        <v>4.9387553520189718E-2</v>
      </c>
      <c r="G7348" s="69">
        <v>6.7977528089887634E-2</v>
      </c>
    </row>
    <row r="7349" spans="1:7" x14ac:dyDescent="0.3">
      <c r="A7349" s="24">
        <v>42227</v>
      </c>
      <c r="B7349" s="66">
        <v>1261</v>
      </c>
      <c r="C7349" s="66">
        <v>960</v>
      </c>
      <c r="D7349" s="70">
        <v>0</v>
      </c>
      <c r="E7349" s="111">
        <f t="shared" si="118"/>
        <v>138710</v>
      </c>
      <c r="F7349" s="69">
        <v>4.9387553520189718E-2</v>
      </c>
      <c r="G7349" s="69">
        <v>6.759776536312849E-2</v>
      </c>
    </row>
    <row r="7350" spans="1:7" x14ac:dyDescent="0.3">
      <c r="A7350" s="24">
        <v>42228</v>
      </c>
      <c r="B7350" s="66">
        <v>1261</v>
      </c>
      <c r="C7350" s="66">
        <v>960</v>
      </c>
      <c r="D7350" s="70">
        <v>0</v>
      </c>
      <c r="E7350" s="111">
        <f t="shared" si="118"/>
        <v>138710</v>
      </c>
      <c r="F7350" s="69">
        <v>4.9387553520189718E-2</v>
      </c>
      <c r="G7350" s="69">
        <v>6.7590213383979442E-2</v>
      </c>
    </row>
    <row r="7351" spans="1:7" x14ac:dyDescent="0.3">
      <c r="A7351" s="24">
        <v>42229</v>
      </c>
      <c r="B7351" s="66">
        <v>1261</v>
      </c>
      <c r="C7351" s="66">
        <v>960</v>
      </c>
      <c r="D7351" s="70">
        <v>0</v>
      </c>
      <c r="E7351" s="111">
        <f t="shared" si="118"/>
        <v>138710</v>
      </c>
      <c r="F7351" s="69">
        <v>4.892074607873536E-2</v>
      </c>
      <c r="G7351" s="69">
        <v>6.7222222222222225E-2</v>
      </c>
    </row>
    <row r="7352" spans="1:7" x14ac:dyDescent="0.3">
      <c r="A7352" s="24">
        <v>42230</v>
      </c>
      <c r="B7352" s="66">
        <v>1261</v>
      </c>
      <c r="C7352" s="66">
        <v>960</v>
      </c>
      <c r="D7352" s="70">
        <v>0</v>
      </c>
      <c r="E7352" s="111">
        <f t="shared" si="118"/>
        <v>138710</v>
      </c>
      <c r="F7352" s="69">
        <v>4.892074607873536E-2</v>
      </c>
      <c r="G7352" s="69">
        <v>6.7222222222222225E-2</v>
      </c>
    </row>
    <row r="7353" spans="1:7" x14ac:dyDescent="0.3">
      <c r="A7353" s="24">
        <v>42231</v>
      </c>
      <c r="B7353" s="66">
        <v>1261</v>
      </c>
      <c r="C7353" s="66">
        <v>960</v>
      </c>
      <c r="D7353" s="70">
        <v>0</v>
      </c>
      <c r="E7353" s="111">
        <f t="shared" si="118"/>
        <v>138710</v>
      </c>
      <c r="F7353" s="69">
        <v>4.892074607873536E-2</v>
      </c>
      <c r="G7353" s="69">
        <v>6.7222222222222225E-2</v>
      </c>
    </row>
    <row r="7354" spans="1:7" x14ac:dyDescent="0.3">
      <c r="A7354" s="24">
        <v>42232</v>
      </c>
      <c r="B7354" s="66">
        <v>1261</v>
      </c>
      <c r="C7354" s="66">
        <v>960</v>
      </c>
      <c r="D7354" s="70">
        <v>0</v>
      </c>
      <c r="E7354" s="111">
        <f t="shared" si="118"/>
        <v>138710</v>
      </c>
      <c r="F7354" s="69">
        <v>4.892074607873536E-2</v>
      </c>
      <c r="G7354" s="69">
        <v>6.7222222222222225E-2</v>
      </c>
    </row>
    <row r="7355" spans="1:7" x14ac:dyDescent="0.3">
      <c r="A7355" s="24">
        <v>42233</v>
      </c>
      <c r="B7355" s="66">
        <v>1261</v>
      </c>
      <c r="C7355" s="66">
        <v>950.01</v>
      </c>
      <c r="D7355" s="70">
        <v>0</v>
      </c>
      <c r="E7355" s="111">
        <f t="shared" si="118"/>
        <v>138710</v>
      </c>
      <c r="F7355" s="69">
        <v>4.892074607873536E-2</v>
      </c>
      <c r="G7355" s="69">
        <v>6.7222222222222225E-2</v>
      </c>
    </row>
    <row r="7356" spans="1:7" x14ac:dyDescent="0.3">
      <c r="A7356" s="24">
        <v>42234</v>
      </c>
      <c r="B7356" s="66">
        <v>1261</v>
      </c>
      <c r="C7356" s="66">
        <v>950</v>
      </c>
      <c r="D7356" s="70">
        <v>0</v>
      </c>
      <c r="E7356" s="111">
        <f t="shared" si="118"/>
        <v>138710</v>
      </c>
      <c r="F7356" s="69">
        <v>4.892074607873536E-2</v>
      </c>
      <c r="G7356" s="69">
        <v>6.6483516483516483E-2</v>
      </c>
    </row>
    <row r="7357" spans="1:7" x14ac:dyDescent="0.3">
      <c r="A7357" s="24">
        <v>42235</v>
      </c>
      <c r="B7357" s="66">
        <v>1261</v>
      </c>
      <c r="C7357" s="66">
        <v>950</v>
      </c>
      <c r="D7357" s="70">
        <v>0</v>
      </c>
      <c r="E7357" s="111">
        <f t="shared" si="118"/>
        <v>138710</v>
      </c>
      <c r="F7357" s="69">
        <v>4.892074607873536E-2</v>
      </c>
      <c r="G7357" s="69">
        <v>6.6337719298245612E-2</v>
      </c>
    </row>
    <row r="7358" spans="1:7" x14ac:dyDescent="0.3">
      <c r="A7358" s="24">
        <v>42236</v>
      </c>
      <c r="B7358" s="66">
        <v>1261</v>
      </c>
      <c r="C7358" s="66">
        <v>940</v>
      </c>
      <c r="D7358" s="70">
        <v>0</v>
      </c>
      <c r="E7358" s="111">
        <f t="shared" si="118"/>
        <v>138710</v>
      </c>
      <c r="F7358" s="69">
        <v>4.892074607873536E-2</v>
      </c>
      <c r="G7358" s="69">
        <v>6.6337719298245612E-2</v>
      </c>
    </row>
    <row r="7359" spans="1:7" x14ac:dyDescent="0.3">
      <c r="A7359" s="24">
        <v>42237</v>
      </c>
      <c r="B7359" s="66">
        <v>1261</v>
      </c>
      <c r="C7359" s="66">
        <v>940</v>
      </c>
      <c r="D7359" s="70">
        <v>0</v>
      </c>
      <c r="E7359" s="111">
        <f t="shared" si="118"/>
        <v>138710</v>
      </c>
      <c r="F7359" s="69">
        <v>4.892074607873536E-2</v>
      </c>
      <c r="G7359" s="69">
        <v>6.6120218579234974E-2</v>
      </c>
    </row>
    <row r="7360" spans="1:7" x14ac:dyDescent="0.3">
      <c r="A7360" s="24">
        <v>42238</v>
      </c>
      <c r="B7360" s="66">
        <v>1261</v>
      </c>
      <c r="C7360" s="66">
        <v>940</v>
      </c>
      <c r="D7360" s="70">
        <v>0</v>
      </c>
      <c r="E7360" s="111">
        <f t="shared" si="118"/>
        <v>138710</v>
      </c>
      <c r="F7360" s="69">
        <v>4.892074607873536E-2</v>
      </c>
      <c r="G7360" s="69">
        <v>6.6120218579234974E-2</v>
      </c>
    </row>
    <row r="7361" spans="1:7" x14ac:dyDescent="0.3">
      <c r="A7361" s="24">
        <v>42239</v>
      </c>
      <c r="B7361" s="66">
        <v>1261</v>
      </c>
      <c r="C7361" s="66">
        <v>940</v>
      </c>
      <c r="D7361" s="70">
        <v>0</v>
      </c>
      <c r="E7361" s="111">
        <f t="shared" si="118"/>
        <v>138710</v>
      </c>
      <c r="F7361" s="69">
        <v>4.892074607873536E-2</v>
      </c>
      <c r="G7361" s="69">
        <v>6.6120218579234974E-2</v>
      </c>
    </row>
    <row r="7362" spans="1:7" x14ac:dyDescent="0.3">
      <c r="A7362" s="24">
        <v>42240</v>
      </c>
      <c r="B7362" s="66">
        <v>1255.4270000000001</v>
      </c>
      <c r="C7362" s="66">
        <v>930</v>
      </c>
      <c r="D7362" s="70">
        <v>0</v>
      </c>
      <c r="E7362" s="111">
        <f t="shared" si="118"/>
        <v>138710</v>
      </c>
      <c r="F7362" s="69">
        <v>4.892074607873536E-2</v>
      </c>
      <c r="G7362" s="69">
        <v>6.6120218579234974E-2</v>
      </c>
    </row>
    <row r="7363" spans="1:7" x14ac:dyDescent="0.3">
      <c r="A7363" s="24">
        <v>42241</v>
      </c>
      <c r="B7363" s="66">
        <v>1255.4270000000001</v>
      </c>
      <c r="C7363" s="66">
        <v>930</v>
      </c>
      <c r="D7363" s="70">
        <v>0</v>
      </c>
      <c r="E7363" s="111">
        <f t="shared" si="118"/>
        <v>138710</v>
      </c>
      <c r="F7363" s="69">
        <v>4.892074607873536E-2</v>
      </c>
      <c r="G7363" s="69">
        <v>6.6120218579234974E-2</v>
      </c>
    </row>
    <row r="7364" spans="1:7" x14ac:dyDescent="0.3">
      <c r="A7364" s="24">
        <v>42242</v>
      </c>
      <c r="B7364" s="66">
        <v>1255.4270000000001</v>
      </c>
      <c r="C7364" s="66">
        <v>930</v>
      </c>
      <c r="D7364" s="70">
        <v>0</v>
      </c>
      <c r="E7364" s="111">
        <f t="shared" si="118"/>
        <v>138710</v>
      </c>
      <c r="F7364" s="69">
        <v>4.892074607873536E-2</v>
      </c>
      <c r="G7364" s="69">
        <v>6.6120218579234974E-2</v>
      </c>
    </row>
    <row r="7365" spans="1:7" x14ac:dyDescent="0.3">
      <c r="A7365" s="24">
        <v>42243</v>
      </c>
      <c r="B7365" s="66">
        <v>1255.4270000000001</v>
      </c>
      <c r="C7365" s="66">
        <v>929.99900000000002</v>
      </c>
      <c r="D7365" s="70">
        <v>0</v>
      </c>
      <c r="E7365" s="111">
        <f t="shared" si="118"/>
        <v>138710</v>
      </c>
      <c r="F7365" s="69">
        <v>4.892074607873536E-2</v>
      </c>
      <c r="G7365" s="69">
        <v>6.6483516483516483E-2</v>
      </c>
    </row>
    <row r="7366" spans="1:7" x14ac:dyDescent="0.3">
      <c r="A7366" s="24">
        <v>42244</v>
      </c>
      <c r="B7366" s="66">
        <v>1255.4270000000001</v>
      </c>
      <c r="C7366" s="66">
        <v>930</v>
      </c>
      <c r="D7366" s="70">
        <v>0</v>
      </c>
      <c r="E7366" s="111">
        <f t="shared" si="118"/>
        <v>138710</v>
      </c>
      <c r="F7366" s="69">
        <v>4.892074607873536E-2</v>
      </c>
      <c r="G7366" s="69">
        <v>6.6120218579234974E-2</v>
      </c>
    </row>
    <row r="7367" spans="1:7" x14ac:dyDescent="0.3">
      <c r="A7367" s="24">
        <v>42245</v>
      </c>
      <c r="B7367" s="66">
        <v>1255.4270000000001</v>
      </c>
      <c r="C7367" s="66">
        <v>930</v>
      </c>
      <c r="D7367" s="70">
        <v>0</v>
      </c>
      <c r="E7367" s="111">
        <f t="shared" si="118"/>
        <v>138710</v>
      </c>
      <c r="F7367" s="69">
        <v>4.892074607873536E-2</v>
      </c>
      <c r="G7367" s="69">
        <v>6.6120218579234974E-2</v>
      </c>
    </row>
    <row r="7368" spans="1:7" x14ac:dyDescent="0.3">
      <c r="A7368" s="24">
        <v>42246</v>
      </c>
      <c r="B7368" s="66">
        <v>1255.4270000000001</v>
      </c>
      <c r="C7368" s="66">
        <v>930</v>
      </c>
      <c r="D7368" s="70">
        <v>0</v>
      </c>
      <c r="E7368" s="111">
        <f t="shared" si="118"/>
        <v>138710</v>
      </c>
      <c r="F7368" s="69">
        <v>4.892074607873536E-2</v>
      </c>
      <c r="G7368" s="69">
        <v>6.6120218579234974E-2</v>
      </c>
    </row>
    <row r="7369" spans="1:7" x14ac:dyDescent="0.3">
      <c r="A7369" s="24">
        <v>42247</v>
      </c>
      <c r="B7369" s="66">
        <v>1255.4270000000001</v>
      </c>
      <c r="C7369" s="66">
        <v>929.99</v>
      </c>
      <c r="D7369" s="70">
        <v>0</v>
      </c>
      <c r="E7369" s="111">
        <f t="shared" ref="E7369:E7432" si="119">+E7368</f>
        <v>138710</v>
      </c>
      <c r="F7369" s="69">
        <v>4.892074607873536E-2</v>
      </c>
      <c r="G7369" s="69">
        <v>6.6120218579234974E-2</v>
      </c>
    </row>
    <row r="7370" spans="1:7" x14ac:dyDescent="0.3">
      <c r="A7370" s="24">
        <v>42248</v>
      </c>
      <c r="B7370" s="66">
        <v>1255.4270000000001</v>
      </c>
      <c r="C7370" s="66">
        <v>929.99</v>
      </c>
      <c r="D7370" s="70">
        <v>0</v>
      </c>
      <c r="E7370" s="111">
        <f t="shared" si="119"/>
        <v>138710</v>
      </c>
      <c r="F7370" s="69">
        <v>4.892074607873536E-2</v>
      </c>
      <c r="G7370" s="69">
        <v>6.6120218579234974E-2</v>
      </c>
    </row>
    <row r="7371" spans="1:7" x14ac:dyDescent="0.3">
      <c r="A7371" s="24">
        <v>42249</v>
      </c>
      <c r="B7371" s="66">
        <v>1255.4270000000001</v>
      </c>
      <c r="C7371" s="66">
        <v>920</v>
      </c>
      <c r="D7371" s="70">
        <v>0</v>
      </c>
      <c r="E7371" s="111">
        <f t="shared" si="119"/>
        <v>138710</v>
      </c>
      <c r="F7371" s="69">
        <v>4.892074607873536E-2</v>
      </c>
      <c r="G7371" s="69">
        <v>6.6120218579234974E-2</v>
      </c>
    </row>
    <row r="7372" spans="1:7" x14ac:dyDescent="0.3">
      <c r="A7372" s="24">
        <v>42250</v>
      </c>
      <c r="B7372" s="66">
        <v>1255.4270000000001</v>
      </c>
      <c r="C7372" s="66">
        <v>910</v>
      </c>
      <c r="D7372" s="70">
        <v>0</v>
      </c>
      <c r="E7372" s="111">
        <f t="shared" si="119"/>
        <v>138710</v>
      </c>
      <c r="F7372" s="69">
        <v>4.892074607873536E-2</v>
      </c>
      <c r="G7372" s="69">
        <v>6.6120218579234974E-2</v>
      </c>
    </row>
    <row r="7373" spans="1:7" x14ac:dyDescent="0.3">
      <c r="A7373" s="24">
        <v>42251</v>
      </c>
      <c r="B7373" s="66">
        <v>1255.4270000000001</v>
      </c>
      <c r="C7373" s="66">
        <v>910</v>
      </c>
      <c r="D7373" s="70">
        <v>0</v>
      </c>
      <c r="E7373" s="111">
        <f t="shared" si="119"/>
        <v>138710</v>
      </c>
      <c r="F7373" s="69">
        <v>4.892074607873536E-2</v>
      </c>
      <c r="G7373" s="69">
        <v>6.6120218579234974E-2</v>
      </c>
    </row>
    <row r="7374" spans="1:7" x14ac:dyDescent="0.3">
      <c r="A7374" s="24">
        <v>42252</v>
      </c>
      <c r="B7374" s="66">
        <v>1255.4270000000001</v>
      </c>
      <c r="C7374" s="66">
        <v>910</v>
      </c>
      <c r="D7374" s="70">
        <v>0</v>
      </c>
      <c r="E7374" s="111">
        <f t="shared" si="119"/>
        <v>138710</v>
      </c>
      <c r="F7374" s="69">
        <v>4.892074607873536E-2</v>
      </c>
      <c r="G7374" s="69">
        <v>6.6120218579234974E-2</v>
      </c>
    </row>
    <row r="7375" spans="1:7" x14ac:dyDescent="0.3">
      <c r="A7375" s="24">
        <v>42253</v>
      </c>
      <c r="B7375" s="66">
        <v>1255.4270000000001</v>
      </c>
      <c r="C7375" s="66">
        <v>910</v>
      </c>
      <c r="D7375" s="70">
        <v>0</v>
      </c>
      <c r="E7375" s="111">
        <f t="shared" si="119"/>
        <v>138710</v>
      </c>
      <c r="F7375" s="69">
        <v>4.892074607873536E-2</v>
      </c>
      <c r="G7375" s="69">
        <v>6.6120218579234974E-2</v>
      </c>
    </row>
    <row r="7376" spans="1:7" x14ac:dyDescent="0.3">
      <c r="A7376" s="24">
        <v>42254</v>
      </c>
      <c r="B7376" s="66">
        <v>1255.4270000000001</v>
      </c>
      <c r="C7376" s="66">
        <v>905</v>
      </c>
      <c r="D7376" s="70">
        <v>0</v>
      </c>
      <c r="E7376" s="111">
        <f t="shared" si="119"/>
        <v>138710</v>
      </c>
      <c r="F7376" s="69">
        <v>4.892074607873536E-2</v>
      </c>
      <c r="G7376" s="69">
        <v>6.5760869565217386E-2</v>
      </c>
    </row>
    <row r="7377" spans="1:7" x14ac:dyDescent="0.3">
      <c r="A7377" s="24">
        <v>42255</v>
      </c>
      <c r="B7377" s="66">
        <v>1255.4270000000001</v>
      </c>
      <c r="C7377" s="66">
        <v>910</v>
      </c>
      <c r="D7377" s="70">
        <v>0</v>
      </c>
      <c r="E7377" s="111">
        <f t="shared" si="119"/>
        <v>138710</v>
      </c>
      <c r="F7377" s="69">
        <v>4.892074607873536E-2</v>
      </c>
      <c r="G7377" s="69">
        <v>6.5760869565217386E-2</v>
      </c>
    </row>
    <row r="7378" spans="1:7" x14ac:dyDescent="0.3">
      <c r="A7378" s="24">
        <v>42256</v>
      </c>
      <c r="B7378" s="66">
        <v>1255.4270000000001</v>
      </c>
      <c r="C7378" s="66">
        <v>910</v>
      </c>
      <c r="D7378" s="70">
        <v>0</v>
      </c>
      <c r="E7378" s="111">
        <f t="shared" si="119"/>
        <v>138710</v>
      </c>
      <c r="F7378" s="69">
        <v>4.892074607873536E-2</v>
      </c>
      <c r="G7378" s="69">
        <v>6.6120218579234974E-2</v>
      </c>
    </row>
    <row r="7379" spans="1:7" x14ac:dyDescent="0.3">
      <c r="A7379" s="24">
        <v>42257</v>
      </c>
      <c r="B7379" s="66">
        <v>1255.4270000000001</v>
      </c>
      <c r="C7379" s="66">
        <v>910</v>
      </c>
      <c r="D7379" s="70">
        <v>0</v>
      </c>
      <c r="E7379" s="111">
        <f t="shared" si="119"/>
        <v>138710</v>
      </c>
      <c r="F7379" s="69">
        <v>4.892074607873536E-2</v>
      </c>
      <c r="G7379" s="69">
        <v>6.5760869565217386E-2</v>
      </c>
    </row>
    <row r="7380" spans="1:7" x14ac:dyDescent="0.3">
      <c r="A7380" s="24">
        <v>42258</v>
      </c>
      <c r="B7380" s="66">
        <v>1255.4270000000001</v>
      </c>
      <c r="C7380" s="66">
        <v>910</v>
      </c>
      <c r="D7380" s="70">
        <v>0</v>
      </c>
      <c r="E7380" s="111">
        <f t="shared" si="119"/>
        <v>138710</v>
      </c>
      <c r="F7380" s="69">
        <v>4.892074607873536E-2</v>
      </c>
      <c r="G7380" s="69">
        <v>6.6112993115506502E-2</v>
      </c>
    </row>
    <row r="7381" spans="1:7" x14ac:dyDescent="0.3">
      <c r="A7381" s="24">
        <v>42259</v>
      </c>
      <c r="B7381" s="66">
        <v>1255.4270000000001</v>
      </c>
      <c r="C7381" s="66">
        <v>910</v>
      </c>
      <c r="D7381" s="70">
        <v>0</v>
      </c>
      <c r="E7381" s="111">
        <f t="shared" si="119"/>
        <v>138710</v>
      </c>
      <c r="F7381" s="69">
        <v>4.892074607873536E-2</v>
      </c>
      <c r="G7381" s="69">
        <v>6.6112993115506502E-2</v>
      </c>
    </row>
    <row r="7382" spans="1:7" x14ac:dyDescent="0.3">
      <c r="A7382" s="24">
        <v>42260</v>
      </c>
      <c r="B7382" s="66">
        <v>1255.4270000000001</v>
      </c>
      <c r="C7382" s="66">
        <v>910</v>
      </c>
      <c r="D7382" s="70">
        <v>0</v>
      </c>
      <c r="E7382" s="111">
        <f t="shared" si="119"/>
        <v>138710</v>
      </c>
      <c r="F7382" s="69">
        <v>4.892074607873536E-2</v>
      </c>
      <c r="G7382" s="69">
        <v>6.6112993115506502E-2</v>
      </c>
    </row>
    <row r="7383" spans="1:7" x14ac:dyDescent="0.3">
      <c r="A7383" s="24">
        <v>42261</v>
      </c>
      <c r="B7383" s="66">
        <v>1255.4270000000001</v>
      </c>
      <c r="C7383" s="66">
        <v>910</v>
      </c>
      <c r="D7383" s="70">
        <v>0</v>
      </c>
      <c r="E7383" s="111">
        <f t="shared" si="119"/>
        <v>138710</v>
      </c>
      <c r="F7383" s="69">
        <v>4.892074607873536E-2</v>
      </c>
      <c r="G7383" s="69">
        <v>6.6112993115506502E-2</v>
      </c>
    </row>
    <row r="7384" spans="1:7" x14ac:dyDescent="0.3">
      <c r="A7384" s="24">
        <v>42262</v>
      </c>
      <c r="B7384" s="66">
        <v>1255.4270000000001</v>
      </c>
      <c r="C7384" s="66">
        <v>910</v>
      </c>
      <c r="D7384" s="70">
        <v>0</v>
      </c>
      <c r="E7384" s="111">
        <f t="shared" si="119"/>
        <v>138710</v>
      </c>
      <c r="F7384" s="69">
        <v>4.8529160157539927E-2</v>
      </c>
      <c r="G7384" s="69">
        <v>6.5760869565217386E-2</v>
      </c>
    </row>
    <row r="7385" spans="1:7" x14ac:dyDescent="0.3">
      <c r="A7385" s="24">
        <v>42263</v>
      </c>
      <c r="B7385" s="66">
        <v>1255.4270000000001</v>
      </c>
      <c r="C7385" s="66">
        <v>910</v>
      </c>
      <c r="D7385" s="70">
        <v>0</v>
      </c>
      <c r="E7385" s="111">
        <f t="shared" si="119"/>
        <v>138710</v>
      </c>
      <c r="F7385" s="69">
        <v>4.8529160157539927E-2</v>
      </c>
      <c r="G7385" s="69">
        <v>6.5760869565217386E-2</v>
      </c>
    </row>
    <row r="7386" spans="1:7" x14ac:dyDescent="0.3">
      <c r="A7386" s="24">
        <v>42264</v>
      </c>
      <c r="B7386" s="66">
        <v>1255.4270000000001</v>
      </c>
      <c r="C7386" s="66">
        <v>910</v>
      </c>
      <c r="D7386" s="70">
        <v>0</v>
      </c>
      <c r="E7386" s="111">
        <f t="shared" si="119"/>
        <v>138710</v>
      </c>
      <c r="F7386" s="69">
        <v>4.8529160157539927E-2</v>
      </c>
      <c r="G7386" s="69">
        <v>6.5760869565217386E-2</v>
      </c>
    </row>
    <row r="7387" spans="1:7" x14ac:dyDescent="0.3">
      <c r="A7387" s="24">
        <v>42265</v>
      </c>
      <c r="B7387" s="66">
        <v>1255.4270000000001</v>
      </c>
      <c r="C7387" s="66">
        <v>910</v>
      </c>
      <c r="D7387" s="70">
        <v>0</v>
      </c>
      <c r="E7387" s="111">
        <f t="shared" si="119"/>
        <v>138710</v>
      </c>
      <c r="F7387" s="69">
        <v>4.8529160157539927E-2</v>
      </c>
      <c r="G7387" s="69">
        <v>6.5760869565217386E-2</v>
      </c>
    </row>
    <row r="7388" spans="1:7" x14ac:dyDescent="0.3">
      <c r="A7388" s="24">
        <v>42266</v>
      </c>
      <c r="B7388" s="66">
        <v>1255.4270000000001</v>
      </c>
      <c r="C7388" s="66">
        <v>910</v>
      </c>
      <c r="D7388" s="70">
        <v>0</v>
      </c>
      <c r="E7388" s="111">
        <f t="shared" si="119"/>
        <v>138710</v>
      </c>
      <c r="F7388" s="69">
        <v>4.8529160157539927E-2</v>
      </c>
      <c r="G7388" s="69">
        <v>6.5760869565217386E-2</v>
      </c>
    </row>
    <row r="7389" spans="1:7" x14ac:dyDescent="0.3">
      <c r="A7389" s="24">
        <v>42267</v>
      </c>
      <c r="B7389" s="66">
        <v>1255.4270000000001</v>
      </c>
      <c r="C7389" s="66">
        <v>910</v>
      </c>
      <c r="D7389" s="70">
        <v>0</v>
      </c>
      <c r="E7389" s="111">
        <f t="shared" si="119"/>
        <v>138710</v>
      </c>
      <c r="F7389" s="69">
        <v>4.8529160157539927E-2</v>
      </c>
      <c r="G7389" s="69">
        <v>6.5760869565217386E-2</v>
      </c>
    </row>
    <row r="7390" spans="1:7" x14ac:dyDescent="0.3">
      <c r="A7390" s="24">
        <v>42268</v>
      </c>
      <c r="B7390" s="66">
        <v>1255.4270000000001</v>
      </c>
      <c r="C7390" s="66">
        <v>910</v>
      </c>
      <c r="D7390" s="70">
        <v>0</v>
      </c>
      <c r="E7390" s="111">
        <f t="shared" si="119"/>
        <v>138710</v>
      </c>
      <c r="F7390" s="69">
        <v>4.8529160157539927E-2</v>
      </c>
      <c r="G7390" s="69">
        <v>6.5760869565217386E-2</v>
      </c>
    </row>
    <row r="7391" spans="1:7" x14ac:dyDescent="0.3">
      <c r="A7391" s="24">
        <v>42269</v>
      </c>
      <c r="B7391" s="66">
        <v>1255.4270000000001</v>
      </c>
      <c r="C7391" s="66">
        <v>925</v>
      </c>
      <c r="D7391" s="70">
        <v>0</v>
      </c>
      <c r="E7391" s="111">
        <f t="shared" si="119"/>
        <v>138710</v>
      </c>
      <c r="F7391" s="69">
        <v>4.8529160157539927E-2</v>
      </c>
      <c r="G7391" s="69">
        <v>6.5760869565217386E-2</v>
      </c>
    </row>
    <row r="7392" spans="1:7" x14ac:dyDescent="0.3">
      <c r="A7392" s="24">
        <v>42270</v>
      </c>
      <c r="B7392" s="66">
        <v>1255.4270000000001</v>
      </c>
      <c r="C7392" s="66">
        <v>930</v>
      </c>
      <c r="D7392" s="70">
        <v>0</v>
      </c>
      <c r="E7392" s="111">
        <f t="shared" si="119"/>
        <v>138710</v>
      </c>
      <c r="F7392" s="69">
        <v>4.8529160157539927E-2</v>
      </c>
      <c r="G7392" s="69">
        <v>6.5760869565217386E-2</v>
      </c>
    </row>
    <row r="7393" spans="1:7" x14ac:dyDescent="0.3">
      <c r="A7393" s="24">
        <v>42271</v>
      </c>
      <c r="B7393" s="66">
        <v>1255.4270000000001</v>
      </c>
      <c r="C7393" s="66">
        <v>935</v>
      </c>
      <c r="D7393" s="70">
        <v>12</v>
      </c>
      <c r="E7393" s="111">
        <f t="shared" si="119"/>
        <v>138710</v>
      </c>
      <c r="F7393" s="69">
        <v>5.8154778701184212E-2</v>
      </c>
      <c r="G7393" s="69">
        <v>7.9235838643045273E-2</v>
      </c>
    </row>
    <row r="7394" spans="1:7" x14ac:dyDescent="0.3">
      <c r="A7394" s="24">
        <v>42272</v>
      </c>
      <c r="B7394" s="66">
        <v>1255.4270000000001</v>
      </c>
      <c r="C7394" s="66">
        <v>940</v>
      </c>
      <c r="D7394" s="70">
        <v>0</v>
      </c>
      <c r="E7394" s="111">
        <f t="shared" si="119"/>
        <v>138710</v>
      </c>
      <c r="F7394" s="69">
        <v>5.8154778701184212E-2</v>
      </c>
      <c r="G7394" s="69">
        <v>7.9234972677595633E-2</v>
      </c>
    </row>
    <row r="7395" spans="1:7" x14ac:dyDescent="0.3">
      <c r="A7395" s="24">
        <v>42273</v>
      </c>
      <c r="B7395" s="66">
        <v>1255.4270000000001</v>
      </c>
      <c r="C7395" s="66">
        <v>940</v>
      </c>
      <c r="D7395" s="70">
        <v>0</v>
      </c>
      <c r="E7395" s="111">
        <f t="shared" si="119"/>
        <v>138710</v>
      </c>
      <c r="F7395" s="69">
        <v>5.8154778701184212E-2</v>
      </c>
      <c r="G7395" s="69">
        <v>7.9234972677595633E-2</v>
      </c>
    </row>
    <row r="7396" spans="1:7" x14ac:dyDescent="0.3">
      <c r="A7396" s="24">
        <v>42274</v>
      </c>
      <c r="B7396" s="66">
        <v>1255.4270000000001</v>
      </c>
      <c r="C7396" s="66">
        <v>940</v>
      </c>
      <c r="D7396" s="70">
        <v>0</v>
      </c>
      <c r="E7396" s="111">
        <f t="shared" si="119"/>
        <v>138710</v>
      </c>
      <c r="F7396" s="69">
        <v>5.8154778701184212E-2</v>
      </c>
      <c r="G7396" s="69">
        <v>7.9234972677595633E-2</v>
      </c>
    </row>
    <row r="7397" spans="1:7" x14ac:dyDescent="0.3">
      <c r="A7397" s="24">
        <v>42275</v>
      </c>
      <c r="B7397" s="66">
        <v>1255.4270000000001</v>
      </c>
      <c r="C7397" s="66">
        <v>940</v>
      </c>
      <c r="D7397" s="70">
        <v>0</v>
      </c>
      <c r="E7397" s="111">
        <f t="shared" si="119"/>
        <v>138710</v>
      </c>
      <c r="F7397" s="69">
        <v>5.8154778701184212E-2</v>
      </c>
      <c r="G7397" s="69">
        <v>7.9234972677595633E-2</v>
      </c>
    </row>
    <row r="7398" spans="1:7" x14ac:dyDescent="0.3">
      <c r="A7398" s="24">
        <v>42276</v>
      </c>
      <c r="B7398" s="66">
        <v>1255.4270000000001</v>
      </c>
      <c r="C7398" s="66">
        <v>940</v>
      </c>
      <c r="D7398" s="70">
        <v>0</v>
      </c>
      <c r="E7398" s="111">
        <f t="shared" si="119"/>
        <v>138710</v>
      </c>
      <c r="F7398" s="69">
        <v>5.8154778701184212E-2</v>
      </c>
      <c r="G7398" s="69">
        <v>7.9230643134254958E-2</v>
      </c>
    </row>
    <row r="7399" spans="1:7" x14ac:dyDescent="0.3">
      <c r="A7399" s="24">
        <v>42277</v>
      </c>
      <c r="B7399" s="66">
        <v>1255.4270000000001</v>
      </c>
      <c r="C7399" s="66">
        <v>940</v>
      </c>
      <c r="D7399" s="70">
        <v>0</v>
      </c>
      <c r="E7399" s="111">
        <f t="shared" si="119"/>
        <v>138710</v>
      </c>
      <c r="F7399" s="69">
        <v>4.9331295036176954E-2</v>
      </c>
      <c r="G7399" s="69">
        <v>6.6964285714285712E-2</v>
      </c>
    </row>
    <row r="7400" spans="1:7" x14ac:dyDescent="0.3">
      <c r="A7400" s="24">
        <v>42278</v>
      </c>
      <c r="B7400" s="66">
        <v>1255.4270000000001</v>
      </c>
      <c r="C7400" s="66">
        <v>940</v>
      </c>
      <c r="D7400" s="70">
        <v>0</v>
      </c>
      <c r="E7400" s="111">
        <f t="shared" si="119"/>
        <v>138710</v>
      </c>
      <c r="F7400" s="69">
        <v>4.9331295036176954E-2</v>
      </c>
      <c r="G7400" s="69">
        <v>6.7213114754098358E-2</v>
      </c>
    </row>
    <row r="7401" spans="1:7" x14ac:dyDescent="0.3">
      <c r="A7401" s="24">
        <v>42279</v>
      </c>
      <c r="B7401" s="66">
        <v>1276.0540000000001</v>
      </c>
      <c r="C7401" s="66">
        <v>940</v>
      </c>
      <c r="D7401" s="70">
        <v>0</v>
      </c>
      <c r="E7401" s="111">
        <f t="shared" si="119"/>
        <v>138710</v>
      </c>
      <c r="F7401" s="69">
        <v>4.9331295036176954E-2</v>
      </c>
      <c r="G7401" s="69">
        <v>6.7213114754098358E-2</v>
      </c>
    </row>
    <row r="7402" spans="1:7" x14ac:dyDescent="0.3">
      <c r="A7402" s="24">
        <v>42280</v>
      </c>
      <c r="B7402" s="66">
        <v>1276.0540000000001</v>
      </c>
      <c r="C7402" s="66">
        <v>940</v>
      </c>
      <c r="D7402" s="70">
        <v>0</v>
      </c>
      <c r="E7402" s="111">
        <f t="shared" si="119"/>
        <v>138710</v>
      </c>
      <c r="F7402" s="69">
        <v>4.9331295036176954E-2</v>
      </c>
      <c r="G7402" s="69">
        <v>6.7213114754098358E-2</v>
      </c>
    </row>
    <row r="7403" spans="1:7" x14ac:dyDescent="0.3">
      <c r="A7403" s="24">
        <v>42281</v>
      </c>
      <c r="B7403" s="66">
        <v>1276.0540000000001</v>
      </c>
      <c r="C7403" s="66">
        <v>940</v>
      </c>
      <c r="D7403" s="70">
        <v>0</v>
      </c>
      <c r="E7403" s="111">
        <f t="shared" si="119"/>
        <v>138710</v>
      </c>
      <c r="F7403" s="69">
        <v>4.9331295036176954E-2</v>
      </c>
      <c r="G7403" s="69">
        <v>6.7213114754098358E-2</v>
      </c>
    </row>
    <row r="7404" spans="1:7" x14ac:dyDescent="0.3">
      <c r="A7404" s="24">
        <v>42282</v>
      </c>
      <c r="B7404" s="66">
        <v>1276.0540000000001</v>
      </c>
      <c r="C7404" s="66">
        <v>940</v>
      </c>
      <c r="D7404" s="70">
        <v>0</v>
      </c>
      <c r="E7404" s="111">
        <f t="shared" si="119"/>
        <v>138710</v>
      </c>
      <c r="F7404" s="69">
        <v>4.9331295036176954E-2</v>
      </c>
      <c r="G7404" s="69">
        <v>6.7205769861217346E-2</v>
      </c>
    </row>
    <row r="7405" spans="1:7" x14ac:dyDescent="0.3">
      <c r="A7405" s="24">
        <v>42283</v>
      </c>
      <c r="B7405" s="66">
        <v>1276.0540000000001</v>
      </c>
      <c r="C7405" s="66">
        <v>940</v>
      </c>
      <c r="D7405" s="70">
        <v>0</v>
      </c>
      <c r="E7405" s="111">
        <f t="shared" si="119"/>
        <v>138710</v>
      </c>
      <c r="F7405" s="69">
        <v>4.9331295036176954E-2</v>
      </c>
      <c r="G7405" s="69">
        <v>6.6847826086956524E-2</v>
      </c>
    </row>
    <row r="7406" spans="1:7" x14ac:dyDescent="0.3">
      <c r="A7406" s="24">
        <v>42284</v>
      </c>
      <c r="B7406" s="66">
        <v>1276.0540000000001</v>
      </c>
      <c r="C7406" s="66">
        <v>940</v>
      </c>
      <c r="D7406" s="70">
        <v>0</v>
      </c>
      <c r="E7406" s="111">
        <f t="shared" si="119"/>
        <v>138710</v>
      </c>
      <c r="F7406" s="69">
        <v>4.9331295036176954E-2</v>
      </c>
      <c r="G7406" s="69">
        <v>6.6847826086956524E-2</v>
      </c>
    </row>
    <row r="7407" spans="1:7" x14ac:dyDescent="0.3">
      <c r="A7407" s="24">
        <v>42285</v>
      </c>
      <c r="B7407" s="66">
        <v>1276.0540000000001</v>
      </c>
      <c r="C7407" s="66">
        <v>940</v>
      </c>
      <c r="D7407" s="70">
        <v>0</v>
      </c>
      <c r="E7407" s="111">
        <f t="shared" si="119"/>
        <v>138710</v>
      </c>
      <c r="F7407" s="69">
        <v>4.9331295036176954E-2</v>
      </c>
      <c r="G7407" s="69">
        <v>6.7213114754098358E-2</v>
      </c>
    </row>
    <row r="7408" spans="1:7" x14ac:dyDescent="0.3">
      <c r="A7408" s="24">
        <v>42286</v>
      </c>
      <c r="B7408" s="66">
        <v>1276.0540000000001</v>
      </c>
      <c r="C7408" s="66">
        <v>940</v>
      </c>
      <c r="D7408" s="70">
        <v>0</v>
      </c>
      <c r="E7408" s="111">
        <f t="shared" si="119"/>
        <v>138710</v>
      </c>
      <c r="F7408" s="69">
        <v>4.9331295036176954E-2</v>
      </c>
      <c r="G7408" s="69">
        <v>6.6847826086956524E-2</v>
      </c>
    </row>
    <row r="7409" spans="1:7" x14ac:dyDescent="0.3">
      <c r="A7409" s="24">
        <v>42287</v>
      </c>
      <c r="B7409" s="66">
        <v>1276.0540000000001</v>
      </c>
      <c r="C7409" s="66">
        <v>940</v>
      </c>
      <c r="D7409" s="70">
        <v>0</v>
      </c>
      <c r="E7409" s="111">
        <f t="shared" si="119"/>
        <v>138710</v>
      </c>
      <c r="F7409" s="69">
        <v>4.9331295036176954E-2</v>
      </c>
      <c r="G7409" s="69">
        <v>6.6847826086956524E-2</v>
      </c>
    </row>
    <row r="7410" spans="1:7" x14ac:dyDescent="0.3">
      <c r="A7410" s="24">
        <v>42288</v>
      </c>
      <c r="B7410" s="66">
        <v>1276.0540000000001</v>
      </c>
      <c r="C7410" s="66">
        <v>940</v>
      </c>
      <c r="D7410" s="70">
        <v>0</v>
      </c>
      <c r="E7410" s="111">
        <f t="shared" si="119"/>
        <v>138710</v>
      </c>
      <c r="F7410" s="69">
        <v>4.9331295036176954E-2</v>
      </c>
      <c r="G7410" s="69">
        <v>6.6847826086956524E-2</v>
      </c>
    </row>
    <row r="7411" spans="1:7" x14ac:dyDescent="0.3">
      <c r="A7411" s="24">
        <v>42289</v>
      </c>
      <c r="B7411" s="66">
        <v>1276.0540000000001</v>
      </c>
      <c r="C7411" s="66">
        <v>940</v>
      </c>
      <c r="D7411" s="70">
        <v>0</v>
      </c>
      <c r="E7411" s="111">
        <f t="shared" si="119"/>
        <v>138710</v>
      </c>
      <c r="F7411" s="69">
        <v>4.9331295036176954E-2</v>
      </c>
      <c r="G7411" s="69">
        <v>6.6840560808607757E-2</v>
      </c>
    </row>
    <row r="7412" spans="1:7" x14ac:dyDescent="0.3">
      <c r="A7412" s="24">
        <v>42290</v>
      </c>
      <c r="B7412" s="66">
        <v>1276.0540000000001</v>
      </c>
      <c r="C7412" s="66">
        <v>940</v>
      </c>
      <c r="D7412" s="70">
        <v>0</v>
      </c>
      <c r="E7412" s="111">
        <f t="shared" si="119"/>
        <v>138710</v>
      </c>
      <c r="F7412" s="69">
        <v>4.9331295036176954E-2</v>
      </c>
      <c r="G7412" s="69">
        <v>6.6847826086956524E-2</v>
      </c>
    </row>
    <row r="7413" spans="1:7" x14ac:dyDescent="0.3">
      <c r="A7413" s="24">
        <v>42291</v>
      </c>
      <c r="B7413" s="66">
        <v>1276.0540000000001</v>
      </c>
      <c r="C7413" s="66">
        <v>941</v>
      </c>
      <c r="D7413" s="70">
        <v>0</v>
      </c>
      <c r="E7413" s="111">
        <f t="shared" si="119"/>
        <v>138710</v>
      </c>
      <c r="F7413" s="69">
        <v>4.8789388506330723E-2</v>
      </c>
      <c r="G7413" s="69">
        <v>6.6847826086956524E-2</v>
      </c>
    </row>
    <row r="7414" spans="1:7" x14ac:dyDescent="0.3">
      <c r="A7414" s="24">
        <v>42292</v>
      </c>
      <c r="B7414" s="66">
        <v>1276.0540000000001</v>
      </c>
      <c r="C7414" s="66">
        <v>950</v>
      </c>
      <c r="D7414" s="70">
        <v>0</v>
      </c>
      <c r="E7414" s="111">
        <f t="shared" si="119"/>
        <v>138710</v>
      </c>
      <c r="F7414" s="69">
        <v>4.8789388506330723E-2</v>
      </c>
      <c r="G7414" s="69">
        <v>6.6848552701659805E-2</v>
      </c>
    </row>
    <row r="7415" spans="1:7" x14ac:dyDescent="0.3">
      <c r="A7415" s="24">
        <v>42293</v>
      </c>
      <c r="B7415" s="66">
        <v>1276.0540000000001</v>
      </c>
      <c r="C7415" s="66">
        <v>950</v>
      </c>
      <c r="D7415" s="70">
        <v>0</v>
      </c>
      <c r="E7415" s="111">
        <f t="shared" si="119"/>
        <v>138710</v>
      </c>
      <c r="F7415" s="69">
        <v>4.8789388506330723E-2</v>
      </c>
      <c r="G7415" s="69">
        <v>6.6847826086956524E-2</v>
      </c>
    </row>
    <row r="7416" spans="1:7" x14ac:dyDescent="0.3">
      <c r="A7416" s="24">
        <v>42294</v>
      </c>
      <c r="B7416" s="66">
        <v>1276.0540000000001</v>
      </c>
      <c r="C7416" s="66">
        <v>950</v>
      </c>
      <c r="D7416" s="70">
        <v>0</v>
      </c>
      <c r="E7416" s="111">
        <f t="shared" si="119"/>
        <v>138710</v>
      </c>
      <c r="F7416" s="69">
        <v>4.8789388506330723E-2</v>
      </c>
      <c r="G7416" s="69">
        <v>6.6847826086956524E-2</v>
      </c>
    </row>
    <row r="7417" spans="1:7" x14ac:dyDescent="0.3">
      <c r="A7417" s="24">
        <v>42295</v>
      </c>
      <c r="B7417" s="66">
        <v>1276.0540000000001</v>
      </c>
      <c r="C7417" s="66">
        <v>950</v>
      </c>
      <c r="D7417" s="70">
        <v>0</v>
      </c>
      <c r="E7417" s="111">
        <f t="shared" si="119"/>
        <v>138710</v>
      </c>
      <c r="F7417" s="69">
        <v>4.8789388506330723E-2</v>
      </c>
      <c r="G7417" s="69">
        <v>6.6847826086956524E-2</v>
      </c>
    </row>
    <row r="7418" spans="1:7" x14ac:dyDescent="0.3">
      <c r="A7418" s="24">
        <v>42296</v>
      </c>
      <c r="B7418" s="66">
        <v>1276.0540000000001</v>
      </c>
      <c r="C7418" s="66">
        <v>950</v>
      </c>
      <c r="D7418" s="70">
        <v>0</v>
      </c>
      <c r="E7418" s="111">
        <f t="shared" si="119"/>
        <v>138710</v>
      </c>
      <c r="F7418" s="69">
        <v>4.8789388506330723E-2</v>
      </c>
      <c r="G7418" s="69">
        <v>6.6847826086956524E-2</v>
      </c>
    </row>
    <row r="7419" spans="1:7" x14ac:dyDescent="0.3">
      <c r="A7419" s="24">
        <v>42297</v>
      </c>
      <c r="B7419" s="66">
        <v>1276.0540000000001</v>
      </c>
      <c r="C7419" s="66">
        <v>950</v>
      </c>
      <c r="D7419" s="70">
        <v>0</v>
      </c>
      <c r="E7419" s="111">
        <f t="shared" si="119"/>
        <v>138710</v>
      </c>
      <c r="F7419" s="69">
        <v>4.8789388506330723E-2</v>
      </c>
      <c r="G7419" s="69">
        <v>6.7213114754098358E-2</v>
      </c>
    </row>
    <row r="7420" spans="1:7" x14ac:dyDescent="0.3">
      <c r="A7420" s="24">
        <v>42298</v>
      </c>
      <c r="B7420" s="66">
        <v>1276.0540000000001</v>
      </c>
      <c r="C7420" s="66">
        <v>950</v>
      </c>
      <c r="D7420" s="70">
        <v>0</v>
      </c>
      <c r="E7420" s="111">
        <f t="shared" si="119"/>
        <v>138710</v>
      </c>
      <c r="F7420" s="69">
        <v>4.8789388506330723E-2</v>
      </c>
      <c r="G7420" s="69">
        <v>6.7213114754098358E-2</v>
      </c>
    </row>
    <row r="7421" spans="1:7" x14ac:dyDescent="0.3">
      <c r="A7421" s="24">
        <v>42299</v>
      </c>
      <c r="B7421" s="66">
        <v>1276.0540000000001</v>
      </c>
      <c r="C7421" s="66">
        <v>950</v>
      </c>
      <c r="D7421" s="70">
        <v>0</v>
      </c>
      <c r="E7421" s="111">
        <f t="shared" si="119"/>
        <v>138710</v>
      </c>
      <c r="F7421" s="69">
        <v>4.8789388506330723E-2</v>
      </c>
      <c r="G7421" s="69">
        <v>6.7582417582417578E-2</v>
      </c>
    </row>
    <row r="7422" spans="1:7" x14ac:dyDescent="0.3">
      <c r="A7422" s="24">
        <v>42300</v>
      </c>
      <c r="B7422" s="66">
        <v>1276.0540000000001</v>
      </c>
      <c r="C7422" s="66">
        <v>970</v>
      </c>
      <c r="D7422" s="70">
        <v>0</v>
      </c>
      <c r="E7422" s="111">
        <f t="shared" si="119"/>
        <v>138710</v>
      </c>
      <c r="F7422" s="69">
        <v>4.8789388506330723E-2</v>
      </c>
      <c r="G7422" s="69">
        <v>6.7582417582417578E-2</v>
      </c>
    </row>
    <row r="7423" spans="1:7" x14ac:dyDescent="0.3">
      <c r="A7423" s="24">
        <v>42301</v>
      </c>
      <c r="B7423" s="66">
        <v>1276.0540000000001</v>
      </c>
      <c r="C7423" s="66">
        <v>970</v>
      </c>
      <c r="D7423" s="70">
        <v>0</v>
      </c>
      <c r="E7423" s="111">
        <f t="shared" si="119"/>
        <v>138710</v>
      </c>
      <c r="F7423" s="69">
        <v>4.8789388506330723E-2</v>
      </c>
      <c r="G7423" s="69">
        <v>6.7582417582417578E-2</v>
      </c>
    </row>
    <row r="7424" spans="1:7" x14ac:dyDescent="0.3">
      <c r="A7424" s="24">
        <v>42302</v>
      </c>
      <c r="B7424" s="66">
        <v>1276.0540000000001</v>
      </c>
      <c r="C7424" s="66">
        <v>970</v>
      </c>
      <c r="D7424" s="70">
        <v>0</v>
      </c>
      <c r="E7424" s="111">
        <f t="shared" si="119"/>
        <v>138710</v>
      </c>
      <c r="F7424" s="69">
        <v>4.8789388506330723E-2</v>
      </c>
      <c r="G7424" s="69">
        <v>6.7582417582417578E-2</v>
      </c>
    </row>
    <row r="7425" spans="1:7" x14ac:dyDescent="0.3">
      <c r="A7425" s="24">
        <v>42303</v>
      </c>
      <c r="B7425" s="66">
        <v>1276.0540000000001</v>
      </c>
      <c r="C7425" s="66">
        <v>970</v>
      </c>
      <c r="D7425" s="70">
        <v>0</v>
      </c>
      <c r="E7425" s="111">
        <f t="shared" si="119"/>
        <v>138710</v>
      </c>
      <c r="F7425" s="69">
        <v>4.8789388506330723E-2</v>
      </c>
      <c r="G7425" s="69">
        <v>6.7582417582417578E-2</v>
      </c>
    </row>
    <row r="7426" spans="1:7" x14ac:dyDescent="0.3">
      <c r="A7426" s="24">
        <v>42304</v>
      </c>
      <c r="B7426" s="66">
        <v>1276.0540000000001</v>
      </c>
      <c r="C7426" s="66">
        <v>980</v>
      </c>
      <c r="D7426" s="70">
        <v>0</v>
      </c>
      <c r="E7426" s="111">
        <f t="shared" si="119"/>
        <v>138710</v>
      </c>
      <c r="F7426" s="69">
        <v>4.8789388506330723E-2</v>
      </c>
      <c r="G7426" s="69">
        <v>6.7582417582417578E-2</v>
      </c>
    </row>
    <row r="7427" spans="1:7" x14ac:dyDescent="0.3">
      <c r="A7427" s="24">
        <v>42305</v>
      </c>
      <c r="B7427" s="66">
        <v>1276.0540000000001</v>
      </c>
      <c r="C7427" s="66">
        <v>980</v>
      </c>
      <c r="D7427" s="70">
        <v>0</v>
      </c>
      <c r="E7427" s="111">
        <f t="shared" si="119"/>
        <v>138710</v>
      </c>
      <c r="F7427" s="69">
        <v>4.8789388506330723E-2</v>
      </c>
      <c r="G7427" s="69">
        <v>6.8325741584268407E-2</v>
      </c>
    </row>
    <row r="7428" spans="1:7" x14ac:dyDescent="0.3">
      <c r="A7428" s="24">
        <v>42306</v>
      </c>
      <c r="B7428" s="66">
        <v>1300.4767099999999</v>
      </c>
      <c r="C7428" s="66">
        <v>980</v>
      </c>
      <c r="D7428" s="70">
        <v>0</v>
      </c>
      <c r="E7428" s="111">
        <f t="shared" si="119"/>
        <v>138710</v>
      </c>
      <c r="F7428" s="69">
        <v>4.9462388076266975E-2</v>
      </c>
      <c r="G7428" s="69">
        <v>6.8325741584268407E-2</v>
      </c>
    </row>
    <row r="7429" spans="1:7" x14ac:dyDescent="0.3">
      <c r="A7429" s="24">
        <v>42307</v>
      </c>
      <c r="B7429" s="66">
        <v>1300.4767099999999</v>
      </c>
      <c r="C7429" s="66">
        <v>990</v>
      </c>
      <c r="D7429" s="70">
        <v>0</v>
      </c>
      <c r="E7429" s="111">
        <f t="shared" si="119"/>
        <v>138710</v>
      </c>
      <c r="F7429" s="69">
        <v>4.9462388076266975E-2</v>
      </c>
      <c r="G7429" s="69">
        <v>6.8325741584268407E-2</v>
      </c>
    </row>
    <row r="7430" spans="1:7" x14ac:dyDescent="0.3">
      <c r="A7430" s="24">
        <v>42308</v>
      </c>
      <c r="B7430" s="66">
        <v>1300.4767099999999</v>
      </c>
      <c r="C7430" s="66">
        <v>990</v>
      </c>
      <c r="D7430" s="70">
        <v>0</v>
      </c>
      <c r="E7430" s="111">
        <f t="shared" si="119"/>
        <v>138710</v>
      </c>
      <c r="F7430" s="69">
        <v>4.9462388076266975E-2</v>
      </c>
      <c r="G7430" s="69">
        <v>6.8325741584268407E-2</v>
      </c>
    </row>
    <row r="7431" spans="1:7" x14ac:dyDescent="0.3">
      <c r="A7431" s="24">
        <v>42309</v>
      </c>
      <c r="B7431" s="66">
        <v>1300.4767099999999</v>
      </c>
      <c r="C7431" s="66">
        <v>990</v>
      </c>
      <c r="D7431" s="70">
        <v>0</v>
      </c>
      <c r="E7431" s="111">
        <f t="shared" si="119"/>
        <v>138710</v>
      </c>
      <c r="F7431" s="69">
        <v>4.9462388076266975E-2</v>
      </c>
      <c r="G7431" s="69">
        <v>6.8325741584268407E-2</v>
      </c>
    </row>
    <row r="7432" spans="1:7" x14ac:dyDescent="0.3">
      <c r="A7432" s="24">
        <v>42310</v>
      </c>
      <c r="B7432" s="66">
        <v>1300.4767099999999</v>
      </c>
      <c r="C7432" s="66">
        <v>990</v>
      </c>
      <c r="D7432" s="70">
        <v>0</v>
      </c>
      <c r="E7432" s="111">
        <f t="shared" si="119"/>
        <v>138710</v>
      </c>
      <c r="F7432" s="69">
        <v>4.9462388076266975E-2</v>
      </c>
      <c r="G7432" s="69">
        <v>6.8333333333333329E-2</v>
      </c>
    </row>
    <row r="7433" spans="1:7" x14ac:dyDescent="0.3">
      <c r="A7433" s="24">
        <v>42311</v>
      </c>
      <c r="B7433" s="66">
        <v>1300.4767099999999</v>
      </c>
      <c r="C7433" s="66">
        <v>990</v>
      </c>
      <c r="D7433" s="70">
        <v>0</v>
      </c>
      <c r="E7433" s="111">
        <f t="shared" ref="E7433:E7496" si="120">+E7432</f>
        <v>138710</v>
      </c>
      <c r="F7433" s="69">
        <v>4.9462388076266975E-2</v>
      </c>
      <c r="G7433" s="69">
        <v>6.7955801104972374E-2</v>
      </c>
    </row>
    <row r="7434" spans="1:7" x14ac:dyDescent="0.3">
      <c r="A7434" s="24">
        <v>42312</v>
      </c>
      <c r="B7434" s="66">
        <v>1300.4767099999999</v>
      </c>
      <c r="C7434" s="66">
        <v>980</v>
      </c>
      <c r="D7434" s="70">
        <v>0</v>
      </c>
      <c r="E7434" s="111">
        <f t="shared" si="120"/>
        <v>138710</v>
      </c>
      <c r="F7434" s="69">
        <v>4.9462388076266975E-2</v>
      </c>
      <c r="G7434" s="69">
        <v>6.7955050220439558E-2</v>
      </c>
    </row>
    <row r="7435" spans="1:7" x14ac:dyDescent="0.3">
      <c r="A7435" s="24">
        <v>42313</v>
      </c>
      <c r="B7435" s="66">
        <v>1300.4767099999999</v>
      </c>
      <c r="C7435" s="66">
        <v>1030</v>
      </c>
      <c r="D7435" s="70">
        <v>0</v>
      </c>
      <c r="E7435" s="111">
        <f t="shared" si="120"/>
        <v>138710</v>
      </c>
      <c r="F7435" s="69">
        <v>4.9462388076266975E-2</v>
      </c>
      <c r="G7435" s="69">
        <v>6.7955050220439558E-2</v>
      </c>
    </row>
    <row r="7436" spans="1:7" x14ac:dyDescent="0.3">
      <c r="A7436" s="24">
        <v>42314</v>
      </c>
      <c r="B7436" s="66">
        <v>1300.4767099999999</v>
      </c>
      <c r="C7436" s="66">
        <v>1030</v>
      </c>
      <c r="D7436" s="70">
        <v>0</v>
      </c>
      <c r="E7436" s="111">
        <f t="shared" si="120"/>
        <v>138710</v>
      </c>
      <c r="F7436" s="69">
        <v>4.9462388076266975E-2</v>
      </c>
      <c r="G7436" s="69">
        <v>6.7955801104972374E-2</v>
      </c>
    </row>
    <row r="7437" spans="1:7" x14ac:dyDescent="0.3">
      <c r="A7437" s="24">
        <v>42315</v>
      </c>
      <c r="B7437" s="66">
        <v>1300.4767099999999</v>
      </c>
      <c r="C7437" s="66">
        <v>1030</v>
      </c>
      <c r="D7437" s="70">
        <v>0</v>
      </c>
      <c r="E7437" s="111">
        <f t="shared" si="120"/>
        <v>138710</v>
      </c>
      <c r="F7437" s="69">
        <v>4.9462388076266975E-2</v>
      </c>
      <c r="G7437" s="69">
        <v>6.7955801104972374E-2</v>
      </c>
    </row>
    <row r="7438" spans="1:7" x14ac:dyDescent="0.3">
      <c r="A7438" s="24">
        <v>42316</v>
      </c>
      <c r="B7438" s="66">
        <v>1300.4767099999999</v>
      </c>
      <c r="C7438" s="66">
        <v>1030</v>
      </c>
      <c r="D7438" s="70">
        <v>0</v>
      </c>
      <c r="E7438" s="111">
        <f t="shared" si="120"/>
        <v>138710</v>
      </c>
      <c r="F7438" s="69">
        <v>4.9462388076266975E-2</v>
      </c>
      <c r="G7438" s="69">
        <v>6.7955801104972374E-2</v>
      </c>
    </row>
    <row r="7439" spans="1:7" x14ac:dyDescent="0.3">
      <c r="A7439" s="24">
        <v>42317</v>
      </c>
      <c r="B7439" s="66">
        <v>1300.4767099999999</v>
      </c>
      <c r="C7439" s="66">
        <v>1030</v>
      </c>
      <c r="D7439" s="70">
        <v>0</v>
      </c>
      <c r="E7439" s="111">
        <f t="shared" si="120"/>
        <v>138710</v>
      </c>
      <c r="F7439" s="69">
        <v>4.9462388076266975E-2</v>
      </c>
      <c r="G7439" s="69">
        <v>6.7656765676567657E-2</v>
      </c>
    </row>
    <row r="7440" spans="1:7" x14ac:dyDescent="0.3">
      <c r="A7440" s="24">
        <v>42318</v>
      </c>
      <c r="B7440" s="66">
        <v>1300.4767099999999</v>
      </c>
      <c r="C7440" s="66">
        <v>1029</v>
      </c>
      <c r="D7440" s="70">
        <v>0</v>
      </c>
      <c r="E7440" s="111">
        <f t="shared" si="120"/>
        <v>138710</v>
      </c>
      <c r="F7440" s="69">
        <v>4.9462388076266975E-2</v>
      </c>
      <c r="G7440" s="69">
        <v>6.7955801104972374E-2</v>
      </c>
    </row>
    <row r="7441" spans="1:7" x14ac:dyDescent="0.3">
      <c r="A7441" s="24">
        <v>42319</v>
      </c>
      <c r="B7441" s="66">
        <v>1300.4767099999999</v>
      </c>
      <c r="C7441" s="66">
        <v>1029</v>
      </c>
      <c r="D7441" s="70">
        <v>0</v>
      </c>
      <c r="E7441" s="111">
        <f t="shared" si="120"/>
        <v>138710</v>
      </c>
      <c r="F7441" s="69">
        <v>4.9462388076266975E-2</v>
      </c>
      <c r="G7441" s="69">
        <v>6.7955801104972374E-2</v>
      </c>
    </row>
    <row r="7442" spans="1:7" x14ac:dyDescent="0.3">
      <c r="A7442" s="24">
        <v>42320</v>
      </c>
      <c r="B7442" s="66">
        <v>1300.4767099999999</v>
      </c>
      <c r="C7442" s="66">
        <v>1029</v>
      </c>
      <c r="D7442" s="70">
        <v>0</v>
      </c>
      <c r="E7442" s="111">
        <f t="shared" si="120"/>
        <v>138710</v>
      </c>
      <c r="F7442" s="69">
        <v>4.9462388076266975E-2</v>
      </c>
      <c r="G7442" s="69">
        <v>6.7656765676567657E-2</v>
      </c>
    </row>
    <row r="7443" spans="1:7" x14ac:dyDescent="0.3">
      <c r="A7443" s="24">
        <v>42321</v>
      </c>
      <c r="B7443" s="66">
        <v>1300.4767099999999</v>
      </c>
      <c r="C7443" s="66">
        <v>1040</v>
      </c>
      <c r="D7443" s="70">
        <v>0</v>
      </c>
      <c r="E7443" s="111">
        <f t="shared" si="120"/>
        <v>138710</v>
      </c>
      <c r="F7443" s="69">
        <v>4.9462388076266975E-2</v>
      </c>
      <c r="G7443" s="69">
        <v>6.6847826086956524E-2</v>
      </c>
    </row>
    <row r="7444" spans="1:7" x14ac:dyDescent="0.3">
      <c r="A7444" s="24">
        <v>42322</v>
      </c>
      <c r="B7444" s="66">
        <v>1300.4767099999999</v>
      </c>
      <c r="C7444" s="66">
        <v>1040</v>
      </c>
      <c r="D7444" s="70">
        <v>0</v>
      </c>
      <c r="E7444" s="111">
        <f t="shared" si="120"/>
        <v>138710</v>
      </c>
      <c r="F7444" s="69">
        <v>4.9462388076266975E-2</v>
      </c>
      <c r="G7444" s="69">
        <v>6.6847826086956524E-2</v>
      </c>
    </row>
    <row r="7445" spans="1:7" x14ac:dyDescent="0.3">
      <c r="A7445" s="24">
        <v>42323</v>
      </c>
      <c r="B7445" s="66">
        <v>1300.4767099999999</v>
      </c>
      <c r="C7445" s="66">
        <v>1040</v>
      </c>
      <c r="D7445" s="70">
        <v>0</v>
      </c>
      <c r="E7445" s="111">
        <f t="shared" si="120"/>
        <v>138710</v>
      </c>
      <c r="F7445" s="69">
        <v>4.9462388076266975E-2</v>
      </c>
      <c r="G7445" s="69">
        <v>6.6847826086956524E-2</v>
      </c>
    </row>
    <row r="7446" spans="1:7" x14ac:dyDescent="0.3">
      <c r="A7446" s="24">
        <v>42324</v>
      </c>
      <c r="B7446" s="66">
        <v>1300.4767099999999</v>
      </c>
      <c r="C7446" s="66">
        <v>1046.8</v>
      </c>
      <c r="D7446" s="70">
        <v>0</v>
      </c>
      <c r="E7446" s="111">
        <f t="shared" si="120"/>
        <v>138710</v>
      </c>
      <c r="F7446" s="69">
        <v>4.9462388076266975E-2</v>
      </c>
      <c r="G7446" s="69">
        <v>6.6847826086956524E-2</v>
      </c>
    </row>
    <row r="7447" spans="1:7" x14ac:dyDescent="0.3">
      <c r="A7447" s="24">
        <v>42325</v>
      </c>
      <c r="B7447" s="66">
        <v>1300.4767099999999</v>
      </c>
      <c r="C7447" s="66">
        <v>1049</v>
      </c>
      <c r="D7447" s="70">
        <v>0</v>
      </c>
      <c r="E7447" s="111">
        <f t="shared" si="120"/>
        <v>138710</v>
      </c>
      <c r="F7447" s="69">
        <v>4.9462388076266975E-2</v>
      </c>
      <c r="G7447" s="69">
        <v>6.6811515480716996E-2</v>
      </c>
    </row>
    <row r="7448" spans="1:7" x14ac:dyDescent="0.3">
      <c r="A7448" s="24">
        <v>42326</v>
      </c>
      <c r="B7448" s="66">
        <v>1300.4767099999999</v>
      </c>
      <c r="C7448" s="66">
        <v>1045</v>
      </c>
      <c r="D7448" s="70">
        <v>0</v>
      </c>
      <c r="E7448" s="111">
        <f t="shared" si="120"/>
        <v>138710</v>
      </c>
      <c r="F7448" s="69">
        <v>4.9462388076266975E-2</v>
      </c>
      <c r="G7448" s="69">
        <v>6.6811515480716996E-2</v>
      </c>
    </row>
    <row r="7449" spans="1:7" x14ac:dyDescent="0.3">
      <c r="A7449" s="24">
        <v>42327</v>
      </c>
      <c r="B7449" s="66">
        <v>1300.4767099999999</v>
      </c>
      <c r="C7449" s="66">
        <v>1044.9000000000001</v>
      </c>
      <c r="D7449" s="70">
        <v>0</v>
      </c>
      <c r="E7449" s="111">
        <f t="shared" si="120"/>
        <v>138710</v>
      </c>
      <c r="F7449" s="69">
        <v>4.9462388076266975E-2</v>
      </c>
      <c r="G7449" s="69">
        <v>6.6804258092548335E-2</v>
      </c>
    </row>
    <row r="7450" spans="1:7" x14ac:dyDescent="0.3">
      <c r="A7450" s="24">
        <v>42328</v>
      </c>
      <c r="B7450" s="66">
        <v>1300.4767099999999</v>
      </c>
      <c r="C7450" s="66">
        <v>1045</v>
      </c>
      <c r="D7450" s="70">
        <v>0</v>
      </c>
      <c r="E7450" s="111">
        <f t="shared" si="120"/>
        <v>138710</v>
      </c>
      <c r="F7450" s="69">
        <v>4.9462388076266975E-2</v>
      </c>
      <c r="G7450" s="69">
        <v>6.5775401069518721E-2</v>
      </c>
    </row>
    <row r="7451" spans="1:7" x14ac:dyDescent="0.3">
      <c r="A7451" s="24">
        <v>42329</v>
      </c>
      <c r="B7451" s="66">
        <v>1300.4767099999999</v>
      </c>
      <c r="C7451" s="66">
        <v>1045</v>
      </c>
      <c r="D7451" s="70">
        <v>0</v>
      </c>
      <c r="E7451" s="111">
        <f t="shared" si="120"/>
        <v>138710</v>
      </c>
      <c r="F7451" s="69">
        <v>4.9462388076266975E-2</v>
      </c>
      <c r="G7451" s="69">
        <v>6.5775401069518721E-2</v>
      </c>
    </row>
    <row r="7452" spans="1:7" x14ac:dyDescent="0.3">
      <c r="A7452" s="24">
        <v>42330</v>
      </c>
      <c r="B7452" s="66">
        <v>1300.4767099999999</v>
      </c>
      <c r="C7452" s="66">
        <v>1045</v>
      </c>
      <c r="D7452" s="70">
        <v>0</v>
      </c>
      <c r="E7452" s="111">
        <f t="shared" si="120"/>
        <v>138710</v>
      </c>
      <c r="F7452" s="69">
        <v>4.9462388076266975E-2</v>
      </c>
      <c r="G7452" s="69">
        <v>6.5775401069518721E-2</v>
      </c>
    </row>
    <row r="7453" spans="1:7" x14ac:dyDescent="0.3">
      <c r="A7453" s="24">
        <v>42331</v>
      </c>
      <c r="B7453" s="66">
        <v>1300.4767099999999</v>
      </c>
      <c r="C7453" s="66">
        <v>1045</v>
      </c>
      <c r="D7453" s="70">
        <v>0</v>
      </c>
      <c r="E7453" s="111">
        <f t="shared" si="120"/>
        <v>138710</v>
      </c>
      <c r="F7453" s="69">
        <v>4.9462388076266975E-2</v>
      </c>
      <c r="G7453" s="69">
        <v>6.6121922373938283E-2</v>
      </c>
    </row>
    <row r="7454" spans="1:7" x14ac:dyDescent="0.3">
      <c r="A7454" s="24">
        <v>42332</v>
      </c>
      <c r="B7454" s="66">
        <v>1300.4767099999999</v>
      </c>
      <c r="C7454" s="66">
        <v>1045</v>
      </c>
      <c r="D7454" s="70">
        <v>0</v>
      </c>
      <c r="E7454" s="111">
        <f t="shared" si="120"/>
        <v>138710</v>
      </c>
      <c r="F7454" s="69">
        <v>4.9462388076266975E-2</v>
      </c>
      <c r="G7454" s="69">
        <v>6.6114814018490647E-2</v>
      </c>
    </row>
    <row r="7455" spans="1:7" x14ac:dyDescent="0.3">
      <c r="A7455" s="24">
        <v>42333</v>
      </c>
      <c r="B7455" s="66">
        <v>1300.4767099999999</v>
      </c>
      <c r="C7455" s="66">
        <v>1045</v>
      </c>
      <c r="D7455" s="70">
        <v>0</v>
      </c>
      <c r="E7455" s="111">
        <f t="shared" si="120"/>
        <v>138710</v>
      </c>
      <c r="F7455" s="69">
        <v>4.9462388076266975E-2</v>
      </c>
      <c r="G7455" s="69">
        <v>6.5425531914893614E-2</v>
      </c>
    </row>
    <row r="7456" spans="1:7" x14ac:dyDescent="0.3">
      <c r="A7456" s="24">
        <v>42334</v>
      </c>
      <c r="B7456" s="66">
        <v>1300.4767099999999</v>
      </c>
      <c r="C7456" s="66">
        <v>1045</v>
      </c>
      <c r="D7456" s="70">
        <v>0</v>
      </c>
      <c r="E7456" s="111">
        <f t="shared" si="120"/>
        <v>138710</v>
      </c>
      <c r="F7456" s="69">
        <v>4.9462388076266975E-2</v>
      </c>
      <c r="G7456" s="69">
        <v>6.4668769716088328E-2</v>
      </c>
    </row>
    <row r="7457" spans="1:7" x14ac:dyDescent="0.3">
      <c r="A7457" s="24">
        <v>42335</v>
      </c>
      <c r="B7457" s="66">
        <v>1300.4767099999999</v>
      </c>
      <c r="C7457" s="66">
        <v>1040</v>
      </c>
      <c r="D7457" s="70">
        <v>0</v>
      </c>
      <c r="E7457" s="111">
        <f t="shared" si="120"/>
        <v>138710</v>
      </c>
      <c r="F7457" s="69">
        <v>4.9462388076266975E-2</v>
      </c>
      <c r="G7457" s="69">
        <v>6.4162084902609259E-2</v>
      </c>
    </row>
    <row r="7458" spans="1:7" x14ac:dyDescent="0.3">
      <c r="A7458" s="24">
        <v>42336</v>
      </c>
      <c r="B7458" s="66">
        <v>1300.4767099999999</v>
      </c>
      <c r="C7458" s="66">
        <v>1040</v>
      </c>
      <c r="D7458" s="70">
        <v>0</v>
      </c>
      <c r="E7458" s="111">
        <f t="shared" si="120"/>
        <v>138710</v>
      </c>
      <c r="F7458" s="69">
        <v>4.9462388076266975E-2</v>
      </c>
      <c r="G7458" s="69">
        <v>6.4162084902609259E-2</v>
      </c>
    </row>
    <row r="7459" spans="1:7" x14ac:dyDescent="0.3">
      <c r="A7459" s="24">
        <v>42337</v>
      </c>
      <c r="B7459" s="66">
        <v>1300.4767099999999</v>
      </c>
      <c r="C7459" s="66">
        <v>1040</v>
      </c>
      <c r="D7459" s="70">
        <v>0</v>
      </c>
      <c r="E7459" s="111">
        <f t="shared" si="120"/>
        <v>138710</v>
      </c>
      <c r="F7459" s="69">
        <v>4.9462388076266975E-2</v>
      </c>
      <c r="G7459" s="69">
        <v>6.4162084902609259E-2</v>
      </c>
    </row>
    <row r="7460" spans="1:7" x14ac:dyDescent="0.3">
      <c r="A7460" s="24">
        <v>42338</v>
      </c>
      <c r="B7460" s="66">
        <v>1300.4767099999999</v>
      </c>
      <c r="C7460" s="66">
        <v>1040</v>
      </c>
      <c r="D7460" s="70">
        <v>0</v>
      </c>
      <c r="E7460" s="111">
        <f t="shared" si="120"/>
        <v>138710</v>
      </c>
      <c r="F7460" s="69">
        <v>4.9462388076266975E-2</v>
      </c>
      <c r="G7460" s="69">
        <v>6.275510204081633E-2</v>
      </c>
    </row>
    <row r="7461" spans="1:7" x14ac:dyDescent="0.3">
      <c r="A7461" s="24">
        <v>42339</v>
      </c>
      <c r="B7461" s="66">
        <v>1300.4767099999999</v>
      </c>
      <c r="C7461" s="66">
        <v>1020</v>
      </c>
      <c r="D7461" s="70">
        <v>0</v>
      </c>
      <c r="E7461" s="111">
        <f t="shared" si="120"/>
        <v>138710</v>
      </c>
      <c r="F7461" s="69">
        <v>4.9462388076266975E-2</v>
      </c>
      <c r="G7461" s="69">
        <v>6.3076923076923072E-2</v>
      </c>
    </row>
    <row r="7462" spans="1:7" x14ac:dyDescent="0.3">
      <c r="A7462" s="24">
        <v>42340</v>
      </c>
      <c r="B7462" s="66">
        <v>1300.4767099999999</v>
      </c>
      <c r="C7462" s="66">
        <v>1038.5</v>
      </c>
      <c r="D7462" s="70">
        <v>0</v>
      </c>
      <c r="E7462" s="111">
        <f t="shared" si="120"/>
        <v>138710</v>
      </c>
      <c r="F7462" s="69">
        <v>4.9462388076266975E-2</v>
      </c>
      <c r="G7462" s="69">
        <v>6.3141683778234092E-2</v>
      </c>
    </row>
    <row r="7463" spans="1:7" x14ac:dyDescent="0.3">
      <c r="A7463" s="24">
        <v>42341</v>
      </c>
      <c r="B7463" s="66">
        <v>1300.4767099999999</v>
      </c>
      <c r="C7463" s="66">
        <v>1038</v>
      </c>
      <c r="D7463" s="70">
        <v>0</v>
      </c>
      <c r="E7463" s="111">
        <f t="shared" si="120"/>
        <v>138710</v>
      </c>
      <c r="F7463" s="69">
        <v>4.9462388076266975E-2</v>
      </c>
      <c r="G7463" s="69">
        <v>6.3141683778234092E-2</v>
      </c>
    </row>
    <row r="7464" spans="1:7" x14ac:dyDescent="0.3">
      <c r="A7464" s="24">
        <v>42342</v>
      </c>
      <c r="B7464" s="66">
        <v>1300.4767099999999</v>
      </c>
      <c r="C7464" s="66">
        <v>1038</v>
      </c>
      <c r="D7464" s="70">
        <v>0</v>
      </c>
      <c r="E7464" s="111">
        <f t="shared" si="120"/>
        <v>138710</v>
      </c>
      <c r="F7464" s="69">
        <v>4.9462388076266975E-2</v>
      </c>
      <c r="G7464" s="69">
        <v>6.4736842105263162E-2</v>
      </c>
    </row>
    <row r="7465" spans="1:7" x14ac:dyDescent="0.3">
      <c r="A7465" s="24">
        <v>42343</v>
      </c>
      <c r="B7465" s="66">
        <v>1300.4767099999999</v>
      </c>
      <c r="C7465" s="66">
        <v>1038</v>
      </c>
      <c r="D7465" s="70">
        <v>0</v>
      </c>
      <c r="E7465" s="111">
        <f t="shared" si="120"/>
        <v>138710</v>
      </c>
      <c r="F7465" s="69">
        <v>4.9462388076266975E-2</v>
      </c>
      <c r="G7465" s="69">
        <v>6.4736842105263162E-2</v>
      </c>
    </row>
    <row r="7466" spans="1:7" x14ac:dyDescent="0.3">
      <c r="A7466" s="24">
        <v>42344</v>
      </c>
      <c r="B7466" s="66">
        <v>1300.4767099999999</v>
      </c>
      <c r="C7466" s="66">
        <v>1038</v>
      </c>
      <c r="D7466" s="70">
        <v>0</v>
      </c>
      <c r="E7466" s="111">
        <f t="shared" si="120"/>
        <v>138710</v>
      </c>
      <c r="F7466" s="69">
        <v>4.9462388076266975E-2</v>
      </c>
      <c r="G7466" s="69">
        <v>6.4736842105263162E-2</v>
      </c>
    </row>
    <row r="7467" spans="1:7" x14ac:dyDescent="0.3">
      <c r="A7467" s="24">
        <v>42345</v>
      </c>
      <c r="B7467" s="66">
        <v>1300.4767099999999</v>
      </c>
      <c r="C7467" s="66">
        <v>1038</v>
      </c>
      <c r="D7467" s="70">
        <v>15</v>
      </c>
      <c r="E7467" s="111">
        <f t="shared" si="120"/>
        <v>138710</v>
      </c>
      <c r="F7467" s="69">
        <v>6.1526385168039412E-2</v>
      </c>
      <c r="G7467" s="69">
        <v>8.0526315789473682E-2</v>
      </c>
    </row>
    <row r="7468" spans="1:7" x14ac:dyDescent="0.3">
      <c r="A7468" s="24">
        <v>42346</v>
      </c>
      <c r="B7468" s="66">
        <v>1300.4767099999999</v>
      </c>
      <c r="C7468" s="66">
        <v>1038</v>
      </c>
      <c r="D7468" s="70">
        <v>0</v>
      </c>
      <c r="E7468" s="111">
        <f t="shared" si="120"/>
        <v>138710</v>
      </c>
      <c r="F7468" s="69">
        <v>6.1526385168039412E-2</v>
      </c>
      <c r="G7468" s="69">
        <v>8.0526315789473682E-2</v>
      </c>
    </row>
    <row r="7469" spans="1:7" x14ac:dyDescent="0.3">
      <c r="A7469" s="24">
        <v>42347</v>
      </c>
      <c r="B7469" s="66">
        <v>1300.4767099999999</v>
      </c>
      <c r="C7469" s="66">
        <v>1035</v>
      </c>
      <c r="D7469" s="70">
        <v>0</v>
      </c>
      <c r="E7469" s="111">
        <f t="shared" si="120"/>
        <v>138710</v>
      </c>
      <c r="F7469" s="69">
        <v>6.1526385168039412E-2</v>
      </c>
      <c r="G7469" s="69">
        <v>8.0526315789473682E-2</v>
      </c>
    </row>
    <row r="7470" spans="1:7" x14ac:dyDescent="0.3">
      <c r="A7470" s="24">
        <v>42348</v>
      </c>
      <c r="B7470" s="66">
        <v>1300.4767099999999</v>
      </c>
      <c r="C7470" s="66">
        <v>1038.4000000000001</v>
      </c>
      <c r="D7470" s="70">
        <v>0</v>
      </c>
      <c r="E7470" s="111">
        <f t="shared" si="120"/>
        <v>138710</v>
      </c>
      <c r="F7470" s="69">
        <v>6.1526385168039412E-2</v>
      </c>
      <c r="G7470" s="69">
        <v>8.0526315789473682E-2</v>
      </c>
    </row>
    <row r="7471" spans="1:7" x14ac:dyDescent="0.3">
      <c r="A7471" s="24">
        <v>42349</v>
      </c>
      <c r="B7471" s="66">
        <v>1300.4767099999999</v>
      </c>
      <c r="C7471" s="66">
        <v>1040</v>
      </c>
      <c r="D7471" s="70">
        <v>0</v>
      </c>
      <c r="E7471" s="111">
        <f t="shared" si="120"/>
        <v>138710</v>
      </c>
      <c r="F7471" s="69">
        <v>6.1526385168039412E-2</v>
      </c>
      <c r="G7471" s="69">
        <v>8.0517840227344484E-2</v>
      </c>
    </row>
    <row r="7472" spans="1:7" x14ac:dyDescent="0.3">
      <c r="A7472" s="24">
        <v>42350</v>
      </c>
      <c r="B7472" s="66">
        <v>1300.4767099999999</v>
      </c>
      <c r="C7472" s="66">
        <v>1040</v>
      </c>
      <c r="D7472" s="70">
        <v>0</v>
      </c>
      <c r="E7472" s="111">
        <f t="shared" si="120"/>
        <v>138710</v>
      </c>
      <c r="F7472" s="69">
        <v>6.1526385168039412E-2</v>
      </c>
      <c r="G7472" s="69">
        <v>8.0517840227344484E-2</v>
      </c>
    </row>
    <row r="7473" spans="1:7" x14ac:dyDescent="0.3">
      <c r="A7473" s="24">
        <v>42351</v>
      </c>
      <c r="B7473" s="66">
        <v>1300.4767099999999</v>
      </c>
      <c r="C7473" s="66">
        <v>1040</v>
      </c>
      <c r="D7473" s="70">
        <v>0</v>
      </c>
      <c r="E7473" s="111">
        <f t="shared" si="120"/>
        <v>138710</v>
      </c>
      <c r="F7473" s="69">
        <v>6.1526385168039412E-2</v>
      </c>
      <c r="G7473" s="69">
        <v>8.0517840227344484E-2</v>
      </c>
    </row>
    <row r="7474" spans="1:7" x14ac:dyDescent="0.3">
      <c r="A7474" s="24">
        <v>42352</v>
      </c>
      <c r="B7474" s="66">
        <v>1300.4767099999999</v>
      </c>
      <c r="C7474" s="66">
        <v>1022</v>
      </c>
      <c r="D7474" s="70">
        <v>0</v>
      </c>
      <c r="E7474" s="111">
        <f t="shared" si="120"/>
        <v>138710</v>
      </c>
      <c r="F7474" s="69">
        <v>6.1526385168039412E-2</v>
      </c>
      <c r="G7474" s="69">
        <v>8.0526315789473682E-2</v>
      </c>
    </row>
    <row r="7475" spans="1:7" x14ac:dyDescent="0.3">
      <c r="A7475" s="24">
        <v>42353</v>
      </c>
      <c r="B7475" s="66">
        <v>1300.4767099999999</v>
      </c>
      <c r="C7475" s="66">
        <v>1039.9000000000001</v>
      </c>
      <c r="D7475" s="70">
        <v>0</v>
      </c>
      <c r="E7475" s="111">
        <f t="shared" si="120"/>
        <v>138710</v>
      </c>
      <c r="F7475" s="69">
        <v>6.0473495613102432E-2</v>
      </c>
      <c r="G7475" s="69">
        <v>8.1818181818181818E-2</v>
      </c>
    </row>
    <row r="7476" spans="1:7" x14ac:dyDescent="0.3">
      <c r="A7476" s="24">
        <v>42354</v>
      </c>
      <c r="B7476" s="66">
        <v>1300.4767099999999</v>
      </c>
      <c r="C7476" s="66">
        <v>1039.9000000000001</v>
      </c>
      <c r="D7476" s="70">
        <v>0</v>
      </c>
      <c r="E7476" s="111">
        <f t="shared" si="120"/>
        <v>138710</v>
      </c>
      <c r="F7476" s="69">
        <v>6.0473495613102432E-2</v>
      </c>
      <c r="G7476" s="69">
        <v>8.2249220513923235E-2</v>
      </c>
    </row>
    <row r="7477" spans="1:7" x14ac:dyDescent="0.3">
      <c r="A7477" s="24">
        <v>42355</v>
      </c>
      <c r="B7477" s="66">
        <v>1300.4767099999999</v>
      </c>
      <c r="C7477" s="66">
        <v>1030</v>
      </c>
      <c r="D7477" s="70">
        <v>0</v>
      </c>
      <c r="E7477" s="111">
        <f t="shared" si="120"/>
        <v>138710</v>
      </c>
      <c r="F7477" s="69">
        <v>6.0473495613102432E-2</v>
      </c>
      <c r="G7477" s="69">
        <v>8.1818181818181818E-2</v>
      </c>
    </row>
    <row r="7478" spans="1:7" x14ac:dyDescent="0.3">
      <c r="A7478" s="24">
        <v>42356</v>
      </c>
      <c r="B7478" s="66">
        <v>1300.4767099999999</v>
      </c>
      <c r="C7478" s="66">
        <v>1030</v>
      </c>
      <c r="D7478" s="70">
        <v>0</v>
      </c>
      <c r="E7478" s="111">
        <f t="shared" si="120"/>
        <v>138710</v>
      </c>
      <c r="F7478" s="69">
        <v>6.0473495613102432E-2</v>
      </c>
      <c r="G7478" s="69">
        <v>8.0611169652265544E-2</v>
      </c>
    </row>
    <row r="7479" spans="1:7" x14ac:dyDescent="0.3">
      <c r="A7479" s="24">
        <v>42357</v>
      </c>
      <c r="B7479" s="66">
        <v>1300.4767099999999</v>
      </c>
      <c r="C7479" s="66">
        <v>1030</v>
      </c>
      <c r="D7479" s="70">
        <v>0</v>
      </c>
      <c r="E7479" s="111">
        <f t="shared" si="120"/>
        <v>138710</v>
      </c>
      <c r="F7479" s="69">
        <v>6.0473495613102432E-2</v>
      </c>
      <c r="G7479" s="69">
        <v>8.0611169652265544E-2</v>
      </c>
    </row>
    <row r="7480" spans="1:7" x14ac:dyDescent="0.3">
      <c r="A7480" s="24">
        <v>42358</v>
      </c>
      <c r="B7480" s="66">
        <v>1300.4767099999999</v>
      </c>
      <c r="C7480" s="66">
        <v>1030</v>
      </c>
      <c r="D7480" s="70">
        <v>0</v>
      </c>
      <c r="E7480" s="111">
        <f t="shared" si="120"/>
        <v>138710</v>
      </c>
      <c r="F7480" s="69">
        <v>6.0473495613102432E-2</v>
      </c>
      <c r="G7480" s="69">
        <v>8.0611169652265544E-2</v>
      </c>
    </row>
    <row r="7481" spans="1:7" x14ac:dyDescent="0.3">
      <c r="A7481" s="24">
        <v>42359</v>
      </c>
      <c r="B7481" s="66">
        <v>1300.4767099999999</v>
      </c>
      <c r="C7481" s="66">
        <v>1030</v>
      </c>
      <c r="D7481" s="70">
        <v>0</v>
      </c>
      <c r="E7481" s="111">
        <f t="shared" si="120"/>
        <v>138710</v>
      </c>
      <c r="F7481" s="69">
        <v>6.0473495613102432E-2</v>
      </c>
      <c r="G7481" s="69">
        <v>8.0526315789473682E-2</v>
      </c>
    </row>
    <row r="7482" spans="1:7" x14ac:dyDescent="0.3">
      <c r="A7482" s="24">
        <v>42360</v>
      </c>
      <c r="B7482" s="66">
        <v>1300.4767099999999</v>
      </c>
      <c r="C7482" s="66">
        <v>1030</v>
      </c>
      <c r="D7482" s="70">
        <v>0</v>
      </c>
      <c r="E7482" s="111">
        <f t="shared" si="120"/>
        <v>138710</v>
      </c>
      <c r="F7482" s="69">
        <v>6.0473495613102432E-2</v>
      </c>
      <c r="G7482" s="69">
        <v>8.0526315789473682E-2</v>
      </c>
    </row>
    <row r="7483" spans="1:7" x14ac:dyDescent="0.3">
      <c r="A7483" s="24">
        <v>42361</v>
      </c>
      <c r="B7483" s="66">
        <v>1300.4767099999999</v>
      </c>
      <c r="C7483" s="66">
        <v>1030</v>
      </c>
      <c r="D7483" s="70">
        <v>0</v>
      </c>
      <c r="E7483" s="111">
        <f t="shared" si="120"/>
        <v>138710</v>
      </c>
      <c r="F7483" s="69">
        <v>5.177796029618574E-2</v>
      </c>
      <c r="G7483" s="69">
        <v>6.8947368421052632E-2</v>
      </c>
    </row>
    <row r="7484" spans="1:7" x14ac:dyDescent="0.3">
      <c r="A7484" s="24">
        <v>42362</v>
      </c>
      <c r="B7484" s="66">
        <v>1300.4767099999999</v>
      </c>
      <c r="C7484" s="66">
        <v>1030</v>
      </c>
      <c r="D7484" s="70">
        <v>0</v>
      </c>
      <c r="E7484" s="111">
        <f t="shared" si="120"/>
        <v>138710</v>
      </c>
      <c r="F7484" s="69">
        <v>5.177796029618574E-2</v>
      </c>
      <c r="G7484" s="69">
        <v>6.8947368421052632E-2</v>
      </c>
    </row>
    <row r="7485" spans="1:7" x14ac:dyDescent="0.3">
      <c r="A7485" s="24">
        <v>42363</v>
      </c>
      <c r="B7485" s="66">
        <v>1300.4767099999999</v>
      </c>
      <c r="C7485" s="66">
        <v>1030</v>
      </c>
      <c r="D7485" s="70">
        <v>0</v>
      </c>
      <c r="E7485" s="111">
        <f t="shared" si="120"/>
        <v>138710</v>
      </c>
      <c r="F7485" s="69">
        <v>5.177796029618574E-2</v>
      </c>
      <c r="G7485" s="69">
        <v>6.8947368421052632E-2</v>
      </c>
    </row>
    <row r="7486" spans="1:7" x14ac:dyDescent="0.3">
      <c r="A7486" s="24">
        <v>42364</v>
      </c>
      <c r="B7486" s="66">
        <v>1300.4767099999999</v>
      </c>
      <c r="C7486" s="66">
        <v>1030</v>
      </c>
      <c r="D7486" s="70">
        <v>0</v>
      </c>
      <c r="E7486" s="111">
        <f t="shared" si="120"/>
        <v>138710</v>
      </c>
      <c r="F7486" s="69">
        <v>5.177796029618574E-2</v>
      </c>
      <c r="G7486" s="69">
        <v>6.8947368421052632E-2</v>
      </c>
    </row>
    <row r="7487" spans="1:7" x14ac:dyDescent="0.3">
      <c r="A7487" s="24">
        <v>42365</v>
      </c>
      <c r="B7487" s="66">
        <v>1300.4767099999999</v>
      </c>
      <c r="C7487" s="66">
        <v>1030</v>
      </c>
      <c r="D7487" s="70">
        <v>0</v>
      </c>
      <c r="E7487" s="111">
        <f t="shared" si="120"/>
        <v>138710</v>
      </c>
      <c r="F7487" s="69">
        <v>5.177796029618574E-2</v>
      </c>
      <c r="G7487" s="69">
        <v>6.8947368421052632E-2</v>
      </c>
    </row>
    <row r="7488" spans="1:7" x14ac:dyDescent="0.3">
      <c r="A7488" s="24">
        <v>42366</v>
      </c>
      <c r="B7488" s="66">
        <v>1300.4767099999999</v>
      </c>
      <c r="C7488" s="66">
        <v>1030</v>
      </c>
      <c r="D7488" s="70">
        <v>0</v>
      </c>
      <c r="E7488" s="111">
        <f t="shared" si="120"/>
        <v>138710</v>
      </c>
      <c r="F7488" s="69">
        <v>5.177796029618574E-2</v>
      </c>
      <c r="G7488" s="69">
        <v>6.8947368421052632E-2</v>
      </c>
    </row>
    <row r="7489" spans="1:7" x14ac:dyDescent="0.3">
      <c r="A7489" s="24">
        <v>42367</v>
      </c>
      <c r="B7489" s="66">
        <v>1300.4767099999999</v>
      </c>
      <c r="C7489" s="66">
        <v>1030</v>
      </c>
      <c r="D7489" s="70">
        <v>0</v>
      </c>
      <c r="E7489" s="111">
        <f t="shared" si="120"/>
        <v>138710</v>
      </c>
      <c r="F7489" s="69">
        <v>5.177796029618574E-2</v>
      </c>
      <c r="G7489" s="69">
        <v>6.8940111567203449E-2</v>
      </c>
    </row>
    <row r="7490" spans="1:7" x14ac:dyDescent="0.3">
      <c r="A7490" s="24">
        <v>42368</v>
      </c>
      <c r="B7490" s="66">
        <v>1300.4767099999999</v>
      </c>
      <c r="C7490" s="66">
        <v>1030</v>
      </c>
      <c r="D7490" s="70">
        <v>0</v>
      </c>
      <c r="E7490" s="111">
        <f t="shared" si="120"/>
        <v>138710</v>
      </c>
      <c r="F7490" s="69">
        <v>5.177796029618574E-2</v>
      </c>
      <c r="G7490" s="69">
        <v>6.8940111567203449E-2</v>
      </c>
    </row>
    <row r="7491" spans="1:7" x14ac:dyDescent="0.3">
      <c r="A7491" s="24">
        <v>42369</v>
      </c>
      <c r="B7491" s="66">
        <v>1300.4767099999999</v>
      </c>
      <c r="C7491" s="66">
        <v>1030</v>
      </c>
      <c r="D7491" s="70">
        <v>0</v>
      </c>
      <c r="E7491" s="111">
        <f t="shared" si="120"/>
        <v>138710</v>
      </c>
      <c r="F7491" s="69">
        <v>5.177796029618574E-2</v>
      </c>
      <c r="G7491" s="69">
        <v>6.8940111567203449E-2</v>
      </c>
    </row>
    <row r="7492" spans="1:7" x14ac:dyDescent="0.3">
      <c r="A7492" s="24">
        <v>42370</v>
      </c>
      <c r="B7492" s="66">
        <v>1300.4767099999999</v>
      </c>
      <c r="C7492" s="66">
        <v>1030</v>
      </c>
      <c r="D7492" s="70">
        <v>0</v>
      </c>
      <c r="E7492" s="111">
        <f t="shared" si="120"/>
        <v>138710</v>
      </c>
      <c r="F7492" s="69">
        <v>5.177796029618574E-2</v>
      </c>
      <c r="G7492" s="69">
        <v>6.8947368421052632E-2</v>
      </c>
    </row>
    <row r="7493" spans="1:7" x14ac:dyDescent="0.3">
      <c r="A7493" s="24">
        <v>42371</v>
      </c>
      <c r="B7493" s="66">
        <v>1300.4767099999999</v>
      </c>
      <c r="C7493" s="66">
        <v>1030</v>
      </c>
      <c r="D7493" s="70">
        <v>0</v>
      </c>
      <c r="E7493" s="111">
        <f t="shared" si="120"/>
        <v>138710</v>
      </c>
      <c r="F7493" s="69">
        <v>5.177796029618574E-2</v>
      </c>
      <c r="G7493" s="69">
        <v>6.8947368421052632E-2</v>
      </c>
    </row>
    <row r="7494" spans="1:7" x14ac:dyDescent="0.3">
      <c r="A7494" s="24">
        <v>42372</v>
      </c>
      <c r="B7494" s="66">
        <v>1300.4767099999999</v>
      </c>
      <c r="C7494" s="66">
        <v>1030</v>
      </c>
      <c r="D7494" s="70">
        <v>0</v>
      </c>
      <c r="E7494" s="111">
        <f t="shared" si="120"/>
        <v>138710</v>
      </c>
      <c r="F7494" s="69">
        <v>5.177796029618574E-2</v>
      </c>
      <c r="G7494" s="69">
        <v>6.8947368421052632E-2</v>
      </c>
    </row>
    <row r="7495" spans="1:7" x14ac:dyDescent="0.3">
      <c r="A7495" s="24">
        <v>42373</v>
      </c>
      <c r="B7495" s="66">
        <v>1300.4767099999999</v>
      </c>
      <c r="C7495" s="66">
        <v>1030</v>
      </c>
      <c r="D7495" s="70">
        <v>0</v>
      </c>
      <c r="E7495" s="111">
        <f t="shared" si="120"/>
        <v>138710</v>
      </c>
      <c r="F7495" s="69">
        <v>5.177796029618574E-2</v>
      </c>
      <c r="G7495" s="69">
        <v>6.8947368421052632E-2</v>
      </c>
    </row>
    <row r="7496" spans="1:7" x14ac:dyDescent="0.3">
      <c r="A7496" s="24">
        <v>42374</v>
      </c>
      <c r="B7496" s="66">
        <v>1300.4767099999999</v>
      </c>
      <c r="C7496" s="66">
        <v>1037</v>
      </c>
      <c r="D7496" s="70">
        <v>0</v>
      </c>
      <c r="E7496" s="111">
        <f t="shared" si="120"/>
        <v>138710</v>
      </c>
      <c r="F7496" s="69">
        <v>5.177796029618574E-2</v>
      </c>
      <c r="G7496" s="69">
        <v>6.8947368421052632E-2</v>
      </c>
    </row>
    <row r="7497" spans="1:7" x14ac:dyDescent="0.3">
      <c r="A7497" s="24">
        <v>42375</v>
      </c>
      <c r="B7497" s="66">
        <v>1300.4767099999999</v>
      </c>
      <c r="C7497" s="66">
        <v>1030</v>
      </c>
      <c r="D7497" s="70">
        <v>0</v>
      </c>
      <c r="E7497" s="111">
        <f t="shared" ref="E7497:E7560" si="121">+E7496</f>
        <v>138710</v>
      </c>
      <c r="F7497" s="69">
        <v>5.177796029618574E-2</v>
      </c>
      <c r="G7497" s="69">
        <v>6.8947368421052632E-2</v>
      </c>
    </row>
    <row r="7498" spans="1:7" x14ac:dyDescent="0.3">
      <c r="A7498" s="24">
        <v>42376</v>
      </c>
      <c r="B7498" s="66">
        <v>1300.4767099999999</v>
      </c>
      <c r="C7498" s="66">
        <v>1030</v>
      </c>
      <c r="D7498" s="70">
        <v>0</v>
      </c>
      <c r="E7498" s="111">
        <f t="shared" si="121"/>
        <v>138710</v>
      </c>
      <c r="F7498" s="69">
        <v>5.177796029618574E-2</v>
      </c>
      <c r="G7498" s="69">
        <v>6.8947368421052632E-2</v>
      </c>
    </row>
    <row r="7499" spans="1:7" x14ac:dyDescent="0.3">
      <c r="A7499" s="24">
        <v>42377</v>
      </c>
      <c r="B7499" s="66">
        <v>1300.4767099999999</v>
      </c>
      <c r="C7499" s="66">
        <v>1033</v>
      </c>
      <c r="D7499" s="70">
        <v>0</v>
      </c>
      <c r="E7499" s="111">
        <f t="shared" si="121"/>
        <v>138710</v>
      </c>
      <c r="F7499" s="69">
        <v>5.177796029618574E-2</v>
      </c>
      <c r="G7499" s="69">
        <v>6.8947368421052632E-2</v>
      </c>
    </row>
    <row r="7500" spans="1:7" x14ac:dyDescent="0.3">
      <c r="A7500" s="24">
        <v>42378</v>
      </c>
      <c r="B7500" s="66">
        <v>1300.4767099999999</v>
      </c>
      <c r="C7500" s="66">
        <v>1033</v>
      </c>
      <c r="D7500" s="70">
        <v>0</v>
      </c>
      <c r="E7500" s="111">
        <f t="shared" si="121"/>
        <v>138710</v>
      </c>
      <c r="F7500" s="69">
        <v>5.177796029618574E-2</v>
      </c>
      <c r="G7500" s="69">
        <v>6.8947368421052632E-2</v>
      </c>
    </row>
    <row r="7501" spans="1:7" x14ac:dyDescent="0.3">
      <c r="A7501" s="24">
        <v>42379</v>
      </c>
      <c r="B7501" s="66">
        <v>1300.4767099999999</v>
      </c>
      <c r="C7501" s="66">
        <v>1033</v>
      </c>
      <c r="D7501" s="70">
        <v>0</v>
      </c>
      <c r="E7501" s="111">
        <f t="shared" si="121"/>
        <v>138710</v>
      </c>
      <c r="F7501" s="69">
        <v>5.177796029618574E-2</v>
      </c>
      <c r="G7501" s="69">
        <v>6.8947368421052632E-2</v>
      </c>
    </row>
    <row r="7502" spans="1:7" x14ac:dyDescent="0.3">
      <c r="A7502" s="24">
        <v>42380</v>
      </c>
      <c r="B7502" s="66">
        <v>1300.4767099999999</v>
      </c>
      <c r="C7502" s="66">
        <v>1033</v>
      </c>
      <c r="D7502" s="70">
        <v>0</v>
      </c>
      <c r="E7502" s="111">
        <f t="shared" si="121"/>
        <v>138710</v>
      </c>
      <c r="F7502" s="69">
        <v>5.1181391539989463E-2</v>
      </c>
      <c r="G7502" s="69">
        <v>6.8940111567203449E-2</v>
      </c>
    </row>
    <row r="7503" spans="1:7" x14ac:dyDescent="0.3">
      <c r="A7503" s="24">
        <v>42381</v>
      </c>
      <c r="B7503" s="66">
        <v>1327.021</v>
      </c>
      <c r="C7503" s="66">
        <v>1035</v>
      </c>
      <c r="D7503" s="70">
        <v>0</v>
      </c>
      <c r="E7503" s="111">
        <f t="shared" si="121"/>
        <v>138710</v>
      </c>
      <c r="F7503" s="69">
        <v>5.1181391539989463E-2</v>
      </c>
      <c r="G7503" s="69">
        <v>6.8300312825860271E-2</v>
      </c>
    </row>
    <row r="7504" spans="1:7" x14ac:dyDescent="0.3">
      <c r="A7504" s="24">
        <v>42382</v>
      </c>
      <c r="B7504" s="66">
        <v>1327.021</v>
      </c>
      <c r="C7504" s="66">
        <v>1042</v>
      </c>
      <c r="D7504" s="70">
        <v>0</v>
      </c>
      <c r="E7504" s="111">
        <f t="shared" si="121"/>
        <v>138710</v>
      </c>
      <c r="F7504" s="69">
        <v>5.1181391539989463E-2</v>
      </c>
      <c r="G7504" s="69">
        <v>6.8300312825860271E-2</v>
      </c>
    </row>
    <row r="7505" spans="1:12" x14ac:dyDescent="0.3">
      <c r="A7505" s="24">
        <v>42383</v>
      </c>
      <c r="B7505" s="66">
        <v>1327.021</v>
      </c>
      <c r="C7505" s="66">
        <v>1043.4000000000001</v>
      </c>
      <c r="D7505" s="70">
        <v>0</v>
      </c>
      <c r="E7505" s="111">
        <f t="shared" si="121"/>
        <v>138710</v>
      </c>
      <c r="F7505" s="69">
        <v>5.1181391539989463E-2</v>
      </c>
      <c r="G7505" s="69">
        <v>6.8586387434554974E-2</v>
      </c>
    </row>
    <row r="7506" spans="1:12" x14ac:dyDescent="0.3">
      <c r="A7506" s="24">
        <v>42384</v>
      </c>
      <c r="B7506" s="66">
        <v>1327.021</v>
      </c>
      <c r="C7506" s="66">
        <v>1040</v>
      </c>
      <c r="D7506" s="70">
        <v>0</v>
      </c>
      <c r="E7506" s="111">
        <f t="shared" si="121"/>
        <v>138710</v>
      </c>
      <c r="F7506" s="69">
        <v>5.1181391539989463E-2</v>
      </c>
      <c r="G7506" s="69">
        <v>6.8300312825860271E-2</v>
      </c>
    </row>
    <row r="7507" spans="1:12" x14ac:dyDescent="0.3">
      <c r="A7507" s="24">
        <v>42385</v>
      </c>
      <c r="B7507" s="66">
        <v>1327.021</v>
      </c>
      <c r="C7507" s="66">
        <v>1040</v>
      </c>
      <c r="D7507" s="70">
        <v>0</v>
      </c>
      <c r="E7507" s="111">
        <f t="shared" si="121"/>
        <v>138710</v>
      </c>
      <c r="F7507" s="69">
        <v>5.1181391539989463E-2</v>
      </c>
      <c r="G7507" s="69">
        <v>6.8300312825860271E-2</v>
      </c>
    </row>
    <row r="7508" spans="1:12" x14ac:dyDescent="0.3">
      <c r="A7508" s="24">
        <v>42386</v>
      </c>
      <c r="B7508" s="66">
        <v>1327.021</v>
      </c>
      <c r="C7508" s="66">
        <v>1040</v>
      </c>
      <c r="D7508" s="70">
        <v>0</v>
      </c>
      <c r="E7508" s="111">
        <f t="shared" si="121"/>
        <v>138710</v>
      </c>
      <c r="F7508" s="69">
        <v>5.1181391539989463E-2</v>
      </c>
      <c r="G7508" s="69">
        <v>6.8300312825860271E-2</v>
      </c>
    </row>
    <row r="7509" spans="1:12" x14ac:dyDescent="0.3">
      <c r="A7509" s="24">
        <v>42387</v>
      </c>
      <c r="B7509" s="66">
        <v>1327.021</v>
      </c>
      <c r="C7509" s="66">
        <v>1040</v>
      </c>
      <c r="D7509" s="70">
        <v>0</v>
      </c>
      <c r="E7509" s="111">
        <f t="shared" si="121"/>
        <v>138710</v>
      </c>
      <c r="F7509" s="69">
        <v>5.1181391539989463E-2</v>
      </c>
      <c r="G7509" s="69">
        <v>6.8300312825860271E-2</v>
      </c>
      <c r="J7509" s="121" t="s">
        <v>268</v>
      </c>
      <c r="K7509" s="122"/>
      <c r="L7509" s="123"/>
    </row>
    <row r="7510" spans="1:12" x14ac:dyDescent="0.3">
      <c r="A7510" s="24">
        <v>42388</v>
      </c>
      <c r="B7510" s="66">
        <v>1327.021</v>
      </c>
      <c r="C7510" s="66">
        <v>1041</v>
      </c>
      <c r="D7510" s="70">
        <v>0</v>
      </c>
      <c r="E7510" s="111">
        <f t="shared" si="121"/>
        <v>138710</v>
      </c>
      <c r="F7510" s="69">
        <v>5.1181391539989463E-2</v>
      </c>
      <c r="G7510" s="69">
        <v>6.8300312825860271E-2</v>
      </c>
      <c r="J7510" s="124"/>
      <c r="K7510" s="125"/>
      <c r="L7510" s="126"/>
    </row>
    <row r="7511" spans="1:12" x14ac:dyDescent="0.3">
      <c r="A7511" s="24">
        <v>42389</v>
      </c>
      <c r="B7511" s="66">
        <v>1327.021</v>
      </c>
      <c r="C7511" s="66">
        <v>1047</v>
      </c>
      <c r="D7511" s="70">
        <v>0</v>
      </c>
      <c r="E7511" s="111">
        <f t="shared" si="121"/>
        <v>138710</v>
      </c>
      <c r="F7511" s="69">
        <v>5.1181391539989463E-2</v>
      </c>
      <c r="G7511" s="69">
        <v>6.8300312825860271E-2</v>
      </c>
      <c r="J7511" s="124"/>
      <c r="K7511" s="125"/>
      <c r="L7511" s="126"/>
    </row>
    <row r="7512" spans="1:12" x14ac:dyDescent="0.3">
      <c r="A7512" s="24">
        <v>42390</v>
      </c>
      <c r="B7512" s="66">
        <v>1327.021</v>
      </c>
      <c r="C7512" s="66">
        <v>1047</v>
      </c>
      <c r="D7512" s="70">
        <v>0</v>
      </c>
      <c r="E7512" s="111">
        <f t="shared" si="121"/>
        <v>138710</v>
      </c>
      <c r="F7512" s="69">
        <v>5.1181391539989463E-2</v>
      </c>
      <c r="G7512" s="69">
        <v>6.8947368421052632E-2</v>
      </c>
      <c r="J7512" s="124"/>
      <c r="K7512" s="125"/>
      <c r="L7512" s="126"/>
    </row>
    <row r="7513" spans="1:12" x14ac:dyDescent="0.3">
      <c r="A7513" s="24">
        <v>42391</v>
      </c>
      <c r="B7513" s="66">
        <v>1327.021</v>
      </c>
      <c r="C7513" s="66">
        <v>1047</v>
      </c>
      <c r="D7513" s="70">
        <v>0</v>
      </c>
      <c r="E7513" s="111">
        <f t="shared" si="121"/>
        <v>138710</v>
      </c>
      <c r="F7513" s="69">
        <v>5.1181391539989463E-2</v>
      </c>
      <c r="G7513" s="69">
        <v>6.8947368421052632E-2</v>
      </c>
      <c r="J7513" s="124"/>
      <c r="K7513" s="125"/>
      <c r="L7513" s="126"/>
    </row>
    <row r="7514" spans="1:12" x14ac:dyDescent="0.3">
      <c r="A7514" s="24">
        <v>42392</v>
      </c>
      <c r="B7514" s="66">
        <v>1327.021</v>
      </c>
      <c r="C7514" s="66">
        <v>1047</v>
      </c>
      <c r="D7514" s="70">
        <v>0</v>
      </c>
      <c r="E7514" s="111">
        <f t="shared" si="121"/>
        <v>138710</v>
      </c>
      <c r="F7514" s="69">
        <v>5.1181391539989463E-2</v>
      </c>
      <c r="G7514" s="69">
        <v>6.8947368421052632E-2</v>
      </c>
      <c r="J7514" s="124"/>
      <c r="K7514" s="125"/>
      <c r="L7514" s="126"/>
    </row>
    <row r="7515" spans="1:12" x14ac:dyDescent="0.3">
      <c r="A7515" s="24">
        <v>42393</v>
      </c>
      <c r="B7515" s="66">
        <v>1327.021</v>
      </c>
      <c r="C7515" s="66">
        <v>1047</v>
      </c>
      <c r="D7515" s="70">
        <v>0</v>
      </c>
      <c r="E7515" s="111">
        <f t="shared" si="121"/>
        <v>138710</v>
      </c>
      <c r="F7515" s="69">
        <v>5.1181391539989463E-2</v>
      </c>
      <c r="G7515" s="69">
        <v>6.8947368421052632E-2</v>
      </c>
      <c r="J7515" s="127"/>
      <c r="K7515" s="128"/>
      <c r="L7515" s="129"/>
    </row>
    <row r="7516" spans="1:12" x14ac:dyDescent="0.3">
      <c r="A7516" s="24">
        <v>42394</v>
      </c>
      <c r="B7516" s="66">
        <v>1327.021</v>
      </c>
      <c r="C7516" s="66">
        <v>1050</v>
      </c>
      <c r="D7516" s="70">
        <v>0</v>
      </c>
      <c r="E7516" s="111">
        <f t="shared" si="121"/>
        <v>138710</v>
      </c>
      <c r="F7516" s="69">
        <v>5.1181391539989463E-2</v>
      </c>
      <c r="G7516" s="69">
        <v>6.9680851063829791E-2</v>
      </c>
      <c r="J7516" s="121" t="s">
        <v>6</v>
      </c>
      <c r="K7516" s="122"/>
      <c r="L7516" s="123"/>
    </row>
    <row r="7517" spans="1:12" x14ac:dyDescent="0.3">
      <c r="A7517" s="24">
        <v>42395</v>
      </c>
      <c r="B7517" s="66">
        <v>1327.021</v>
      </c>
      <c r="C7517" s="66">
        <v>1060</v>
      </c>
      <c r="D7517" s="70">
        <v>0</v>
      </c>
      <c r="E7517" s="111">
        <f t="shared" si="121"/>
        <v>138710</v>
      </c>
      <c r="F7517" s="69">
        <v>5.1181391539989463E-2</v>
      </c>
      <c r="G7517" s="69">
        <v>6.9680851063829791E-2</v>
      </c>
      <c r="J7517" s="127"/>
      <c r="K7517" s="128"/>
      <c r="L7517" s="129"/>
    </row>
    <row r="7518" spans="1:12" x14ac:dyDescent="0.3">
      <c r="A7518" s="24">
        <v>42396</v>
      </c>
      <c r="B7518" s="66">
        <v>1327.021</v>
      </c>
      <c r="C7518" s="66">
        <v>1059.9000000000001</v>
      </c>
      <c r="D7518" s="70">
        <v>0</v>
      </c>
      <c r="E7518" s="111">
        <f t="shared" si="121"/>
        <v>138710</v>
      </c>
      <c r="F7518" s="69">
        <v>5.1181391539989463E-2</v>
      </c>
      <c r="G7518" s="69">
        <v>6.9680851063829791E-2</v>
      </c>
    </row>
    <row r="7519" spans="1:12" x14ac:dyDescent="0.3">
      <c r="A7519" s="24">
        <v>42397</v>
      </c>
      <c r="B7519" s="66">
        <v>1327.021</v>
      </c>
      <c r="C7519" s="66">
        <v>1055</v>
      </c>
      <c r="D7519" s="70">
        <v>0</v>
      </c>
      <c r="E7519" s="111">
        <f t="shared" si="121"/>
        <v>138710</v>
      </c>
      <c r="F7519" s="69">
        <v>5.1181391539989463E-2</v>
      </c>
      <c r="G7519" s="69">
        <v>6.9680109786066105E-2</v>
      </c>
    </row>
    <row r="7520" spans="1:12" x14ac:dyDescent="0.3">
      <c r="A7520" s="24">
        <v>42398</v>
      </c>
      <c r="B7520" s="66">
        <v>1327.021</v>
      </c>
      <c r="C7520" s="66">
        <v>1050</v>
      </c>
      <c r="D7520" s="70">
        <v>0</v>
      </c>
      <c r="E7520" s="111">
        <f t="shared" si="121"/>
        <v>138710</v>
      </c>
      <c r="F7520" s="69">
        <v>5.1181391539989463E-2</v>
      </c>
      <c r="G7520" s="69">
        <v>6.9680851063829791E-2</v>
      </c>
    </row>
    <row r="7521" spans="1:7" x14ac:dyDescent="0.3">
      <c r="A7521" s="24">
        <v>42399</v>
      </c>
      <c r="B7521" s="66">
        <v>1327.021</v>
      </c>
      <c r="C7521" s="66">
        <v>1050</v>
      </c>
      <c r="D7521" s="70">
        <v>0</v>
      </c>
      <c r="E7521" s="111">
        <f t="shared" si="121"/>
        <v>138710</v>
      </c>
      <c r="F7521" s="69">
        <v>5.1181391539989463E-2</v>
      </c>
      <c r="G7521" s="69">
        <v>6.9680851063829791E-2</v>
      </c>
    </row>
    <row r="7522" spans="1:7" x14ac:dyDescent="0.3">
      <c r="A7522" s="24">
        <v>42400</v>
      </c>
      <c r="B7522" s="66">
        <v>1327.021</v>
      </c>
      <c r="C7522" s="66">
        <v>1050</v>
      </c>
      <c r="D7522" s="70">
        <v>0</v>
      </c>
      <c r="E7522" s="111">
        <f t="shared" si="121"/>
        <v>138710</v>
      </c>
      <c r="F7522" s="69">
        <v>5.1181391539989463E-2</v>
      </c>
      <c r="G7522" s="69">
        <v>6.9680851063829791E-2</v>
      </c>
    </row>
    <row r="7523" spans="1:7" x14ac:dyDescent="0.3">
      <c r="A7523" s="24">
        <v>42401</v>
      </c>
      <c r="B7523" s="66">
        <v>1327.021</v>
      </c>
      <c r="C7523" s="66">
        <v>1050</v>
      </c>
      <c r="D7523" s="70">
        <v>0</v>
      </c>
      <c r="E7523" s="111">
        <f t="shared" si="121"/>
        <v>138710</v>
      </c>
      <c r="F7523" s="69">
        <v>5.1181391539989463E-2</v>
      </c>
      <c r="G7523" s="69">
        <v>6.9680851063829791E-2</v>
      </c>
    </row>
    <row r="7524" spans="1:7" x14ac:dyDescent="0.3">
      <c r="A7524" s="24">
        <v>42402</v>
      </c>
      <c r="B7524" s="66">
        <v>1327.021</v>
      </c>
      <c r="C7524" s="66">
        <v>1050</v>
      </c>
      <c r="D7524" s="70">
        <v>0</v>
      </c>
      <c r="E7524" s="111">
        <f t="shared" si="121"/>
        <v>138710</v>
      </c>
      <c r="F7524" s="69">
        <v>5.1181391539989463E-2</v>
      </c>
      <c r="G7524" s="69">
        <v>6.9312169312169311E-2</v>
      </c>
    </row>
    <row r="7525" spans="1:7" x14ac:dyDescent="0.3">
      <c r="A7525" s="24">
        <v>42403</v>
      </c>
      <c r="B7525" s="66">
        <v>1327.021</v>
      </c>
      <c r="C7525" s="66">
        <v>1045</v>
      </c>
      <c r="D7525" s="70">
        <v>0</v>
      </c>
      <c r="E7525" s="111">
        <f t="shared" si="121"/>
        <v>138710</v>
      </c>
      <c r="F7525" s="69">
        <v>5.1181391539989463E-2</v>
      </c>
      <c r="G7525" s="69">
        <v>6.9202324352879027E-2</v>
      </c>
    </row>
    <row r="7526" spans="1:7" x14ac:dyDescent="0.3">
      <c r="A7526" s="24">
        <v>42404</v>
      </c>
      <c r="B7526" s="66">
        <v>1327.021</v>
      </c>
      <c r="C7526" s="66">
        <v>1041</v>
      </c>
      <c r="D7526" s="70">
        <v>0</v>
      </c>
      <c r="E7526" s="111">
        <f t="shared" si="121"/>
        <v>138710</v>
      </c>
      <c r="F7526" s="69">
        <v>5.1181391539989463E-2</v>
      </c>
      <c r="G7526" s="69">
        <v>6.8939385965835528E-2</v>
      </c>
    </row>
    <row r="7527" spans="1:7" x14ac:dyDescent="0.3">
      <c r="A7527" s="24">
        <v>42405</v>
      </c>
      <c r="B7527" s="66">
        <v>1327.021</v>
      </c>
      <c r="C7527" s="66">
        <v>1041</v>
      </c>
      <c r="D7527" s="70">
        <v>0</v>
      </c>
      <c r="E7527" s="111">
        <f t="shared" si="121"/>
        <v>138710</v>
      </c>
      <c r="F7527" s="69">
        <v>5.1181391539989463E-2</v>
      </c>
      <c r="G7527" s="69">
        <v>6.7525773195876285E-2</v>
      </c>
    </row>
    <row r="7528" spans="1:7" x14ac:dyDescent="0.3">
      <c r="A7528" s="24">
        <v>42406</v>
      </c>
      <c r="B7528" s="66">
        <v>1327.021</v>
      </c>
      <c r="C7528" s="66">
        <v>1041</v>
      </c>
      <c r="D7528" s="70">
        <v>0</v>
      </c>
      <c r="E7528" s="111">
        <f t="shared" si="121"/>
        <v>138710</v>
      </c>
      <c r="F7528" s="69">
        <v>5.1181391539989463E-2</v>
      </c>
      <c r="G7528" s="69">
        <v>6.7525773195876285E-2</v>
      </c>
    </row>
    <row r="7529" spans="1:7" x14ac:dyDescent="0.3">
      <c r="A7529" s="24">
        <v>42407</v>
      </c>
      <c r="B7529" s="66">
        <v>1327.021</v>
      </c>
      <c r="C7529" s="66">
        <v>1041</v>
      </c>
      <c r="D7529" s="70">
        <v>0</v>
      </c>
      <c r="E7529" s="111">
        <f t="shared" si="121"/>
        <v>138710</v>
      </c>
      <c r="F7529" s="69">
        <v>5.1181391539989463E-2</v>
      </c>
      <c r="G7529" s="69">
        <v>6.7525773195876285E-2</v>
      </c>
    </row>
    <row r="7530" spans="1:7" x14ac:dyDescent="0.3">
      <c r="A7530" s="24">
        <v>42408</v>
      </c>
      <c r="B7530" s="66">
        <v>1327.021</v>
      </c>
      <c r="C7530" s="66">
        <v>1045</v>
      </c>
      <c r="D7530" s="70">
        <v>0</v>
      </c>
      <c r="E7530" s="111">
        <f t="shared" si="121"/>
        <v>138710</v>
      </c>
      <c r="F7530" s="69">
        <v>5.1181391539989463E-2</v>
      </c>
      <c r="G7530" s="69">
        <v>6.7179487179487185E-2</v>
      </c>
    </row>
    <row r="7531" spans="1:7" x14ac:dyDescent="0.3">
      <c r="A7531" s="24">
        <v>42409</v>
      </c>
      <c r="B7531" s="66">
        <v>1327.021</v>
      </c>
      <c r="C7531" s="66">
        <v>1045</v>
      </c>
      <c r="D7531" s="70">
        <v>0</v>
      </c>
      <c r="E7531" s="111">
        <f t="shared" si="121"/>
        <v>138710</v>
      </c>
      <c r="F7531" s="69">
        <v>5.1181391539989463E-2</v>
      </c>
      <c r="G7531" s="69">
        <v>6.7179487179487185E-2</v>
      </c>
    </row>
    <row r="7532" spans="1:7" x14ac:dyDescent="0.3">
      <c r="A7532" s="24">
        <v>42410</v>
      </c>
      <c r="B7532" s="66">
        <v>1327.021</v>
      </c>
      <c r="C7532" s="66">
        <v>1050</v>
      </c>
      <c r="D7532" s="70">
        <v>0</v>
      </c>
      <c r="E7532" s="111">
        <f t="shared" si="121"/>
        <v>138710</v>
      </c>
      <c r="F7532" s="69">
        <v>5.1181391539989463E-2</v>
      </c>
      <c r="G7532" s="69">
        <v>6.7179487179487185E-2</v>
      </c>
    </row>
    <row r="7533" spans="1:7" x14ac:dyDescent="0.3">
      <c r="A7533" s="24">
        <v>42411</v>
      </c>
      <c r="B7533" s="66">
        <v>1327.021</v>
      </c>
      <c r="C7533" s="66">
        <v>1050</v>
      </c>
      <c r="D7533" s="70">
        <v>0</v>
      </c>
      <c r="E7533" s="111">
        <f t="shared" si="121"/>
        <v>138710</v>
      </c>
      <c r="F7533" s="69">
        <v>5.1181391539989463E-2</v>
      </c>
      <c r="G7533" s="69">
        <v>6.7179487179487185E-2</v>
      </c>
    </row>
    <row r="7534" spans="1:7" x14ac:dyDescent="0.3">
      <c r="A7534" s="24">
        <v>42412</v>
      </c>
      <c r="B7534" s="66">
        <v>1327.021</v>
      </c>
      <c r="C7534" s="66">
        <v>1060</v>
      </c>
      <c r="D7534" s="70">
        <v>0</v>
      </c>
      <c r="E7534" s="111">
        <f t="shared" si="121"/>
        <v>138710</v>
      </c>
      <c r="F7534" s="69">
        <v>5.1181391539989463E-2</v>
      </c>
      <c r="G7534" s="69">
        <v>6.6836734693877548E-2</v>
      </c>
    </row>
    <row r="7535" spans="1:7" x14ac:dyDescent="0.3">
      <c r="A7535" s="24">
        <v>42413</v>
      </c>
      <c r="B7535" s="66">
        <v>1327.021</v>
      </c>
      <c r="C7535" s="66">
        <v>1060</v>
      </c>
      <c r="D7535" s="70">
        <v>0</v>
      </c>
      <c r="E7535" s="111">
        <f t="shared" si="121"/>
        <v>138710</v>
      </c>
      <c r="F7535" s="69">
        <v>5.1181391539989463E-2</v>
      </c>
      <c r="G7535" s="69">
        <v>6.6836734693877548E-2</v>
      </c>
    </row>
    <row r="7536" spans="1:7" x14ac:dyDescent="0.3">
      <c r="A7536" s="24">
        <v>42414</v>
      </c>
      <c r="B7536" s="66">
        <v>1327.021</v>
      </c>
      <c r="C7536" s="66">
        <v>1060</v>
      </c>
      <c r="D7536" s="70">
        <v>0</v>
      </c>
      <c r="E7536" s="111">
        <f t="shared" si="121"/>
        <v>138710</v>
      </c>
      <c r="F7536" s="69">
        <v>5.1181391539989463E-2</v>
      </c>
      <c r="G7536" s="69">
        <v>6.6836734693877548E-2</v>
      </c>
    </row>
    <row r="7537" spans="1:7" x14ac:dyDescent="0.3">
      <c r="A7537" s="24">
        <v>42415</v>
      </c>
      <c r="B7537" s="66">
        <v>1327.021</v>
      </c>
      <c r="C7537" s="66">
        <v>1050</v>
      </c>
      <c r="D7537" s="70">
        <v>0</v>
      </c>
      <c r="E7537" s="111">
        <f t="shared" si="121"/>
        <v>138710</v>
      </c>
      <c r="F7537" s="69">
        <v>5.1181391539989463E-2</v>
      </c>
      <c r="G7537" s="69">
        <v>6.6161616161616157E-2</v>
      </c>
    </row>
    <row r="7538" spans="1:7" x14ac:dyDescent="0.3">
      <c r="A7538" s="24">
        <v>42416</v>
      </c>
      <c r="B7538" s="66">
        <v>1327.021</v>
      </c>
      <c r="C7538" s="66">
        <v>1060</v>
      </c>
      <c r="D7538" s="70">
        <v>0</v>
      </c>
      <c r="E7538" s="111">
        <f t="shared" si="121"/>
        <v>138710</v>
      </c>
      <c r="F7538" s="69">
        <v>5.1181391539989463E-2</v>
      </c>
      <c r="G7538" s="69">
        <v>6.8228455953583816E-2</v>
      </c>
    </row>
    <row r="7539" spans="1:7" x14ac:dyDescent="0.3">
      <c r="A7539" s="24">
        <v>42417</v>
      </c>
      <c r="B7539" s="66">
        <v>1327.021</v>
      </c>
      <c r="C7539" s="66">
        <v>1060</v>
      </c>
      <c r="D7539" s="70">
        <v>0</v>
      </c>
      <c r="E7539" s="111">
        <f t="shared" si="121"/>
        <v>138710</v>
      </c>
      <c r="F7539" s="69">
        <v>5.1181391539989463E-2</v>
      </c>
      <c r="G7539" s="69">
        <v>6.822916666666666E-2</v>
      </c>
    </row>
    <row r="7540" spans="1:7" x14ac:dyDescent="0.3">
      <c r="A7540" s="24">
        <v>42418</v>
      </c>
      <c r="B7540" s="66">
        <v>1327.021</v>
      </c>
      <c r="C7540" s="66">
        <v>1060</v>
      </c>
      <c r="D7540" s="70">
        <v>0</v>
      </c>
      <c r="E7540" s="111">
        <f t="shared" si="121"/>
        <v>138710</v>
      </c>
      <c r="F7540" s="69">
        <v>5.1181391539989463E-2</v>
      </c>
      <c r="G7540" s="69">
        <v>6.7525773195876285E-2</v>
      </c>
    </row>
    <row r="7541" spans="1:7" x14ac:dyDescent="0.3">
      <c r="A7541" s="24">
        <v>42419</v>
      </c>
      <c r="B7541" s="66">
        <v>1327.021</v>
      </c>
      <c r="C7541" s="66">
        <v>1067.4000000000001</v>
      </c>
      <c r="D7541" s="70">
        <v>0</v>
      </c>
      <c r="E7541" s="111">
        <f t="shared" si="121"/>
        <v>138710</v>
      </c>
      <c r="F7541" s="69">
        <v>5.1181391539989463E-2</v>
      </c>
      <c r="G7541" s="69">
        <v>6.7525773195876285E-2</v>
      </c>
    </row>
    <row r="7542" spans="1:7" x14ac:dyDescent="0.3">
      <c r="A7542" s="24">
        <v>42420</v>
      </c>
      <c r="B7542" s="66">
        <v>1327.021</v>
      </c>
      <c r="C7542" s="66">
        <v>1067.4000000000001</v>
      </c>
      <c r="D7542" s="70">
        <v>0</v>
      </c>
      <c r="E7542" s="111">
        <f t="shared" si="121"/>
        <v>138710</v>
      </c>
      <c r="F7542" s="69">
        <v>5.1181391539989463E-2</v>
      </c>
      <c r="G7542" s="69">
        <v>6.7525773195876285E-2</v>
      </c>
    </row>
    <row r="7543" spans="1:7" x14ac:dyDescent="0.3">
      <c r="A7543" s="24">
        <v>42421</v>
      </c>
      <c r="B7543" s="66">
        <v>1327.021</v>
      </c>
      <c r="C7543" s="66">
        <v>1067.4000000000001</v>
      </c>
      <c r="D7543" s="70">
        <v>0</v>
      </c>
      <c r="E7543" s="111">
        <f t="shared" si="121"/>
        <v>138710</v>
      </c>
      <c r="F7543" s="69">
        <v>5.1181391539989463E-2</v>
      </c>
      <c r="G7543" s="69">
        <v>6.7525773195876285E-2</v>
      </c>
    </row>
    <row r="7544" spans="1:7" x14ac:dyDescent="0.3">
      <c r="A7544" s="24">
        <v>42422</v>
      </c>
      <c r="B7544" s="66">
        <v>1327.021</v>
      </c>
      <c r="C7544" s="66">
        <v>1065</v>
      </c>
      <c r="D7544" s="70">
        <v>0</v>
      </c>
      <c r="E7544" s="111">
        <f t="shared" si="121"/>
        <v>138710</v>
      </c>
      <c r="F7544" s="69">
        <v>5.1181391539989463E-2</v>
      </c>
      <c r="G7544" s="69">
        <v>6.7179487179487185E-2</v>
      </c>
    </row>
    <row r="7545" spans="1:7" x14ac:dyDescent="0.3">
      <c r="A7545" s="24">
        <v>42423</v>
      </c>
      <c r="B7545" s="66">
        <v>1327.021</v>
      </c>
      <c r="C7545" s="66">
        <v>1064.5</v>
      </c>
      <c r="D7545" s="70">
        <v>0</v>
      </c>
      <c r="E7545" s="111">
        <f t="shared" si="121"/>
        <v>138710</v>
      </c>
      <c r="F7545" s="69">
        <v>5.1181391539989463E-2</v>
      </c>
      <c r="G7545" s="69">
        <v>6.6836734693877548E-2</v>
      </c>
    </row>
    <row r="7546" spans="1:7" x14ac:dyDescent="0.3">
      <c r="A7546" s="24">
        <v>42424</v>
      </c>
      <c r="B7546" s="66">
        <v>1327.021</v>
      </c>
      <c r="C7546" s="66">
        <v>1065</v>
      </c>
      <c r="D7546" s="70">
        <v>0</v>
      </c>
      <c r="E7546" s="111">
        <f t="shared" si="121"/>
        <v>138710</v>
      </c>
      <c r="F7546" s="69">
        <v>5.1181391539989463E-2</v>
      </c>
      <c r="G7546" s="69">
        <v>6.5500000000000003E-2</v>
      </c>
    </row>
    <row r="7547" spans="1:7" x14ac:dyDescent="0.3">
      <c r="A7547" s="24">
        <v>42425</v>
      </c>
      <c r="B7547" s="66">
        <v>1327.021</v>
      </c>
      <c r="C7547" s="66">
        <v>1065</v>
      </c>
      <c r="D7547" s="70">
        <v>0</v>
      </c>
      <c r="E7547" s="111">
        <f t="shared" si="121"/>
        <v>138710</v>
      </c>
      <c r="F7547" s="69">
        <v>5.1181391539989463E-2</v>
      </c>
      <c r="G7547" s="69">
        <v>6.5500000000000003E-2</v>
      </c>
    </row>
    <row r="7548" spans="1:7" x14ac:dyDescent="0.3">
      <c r="A7548" s="24">
        <v>42426</v>
      </c>
      <c r="B7548" s="66">
        <v>1327.021</v>
      </c>
      <c r="C7548" s="66">
        <v>1067.5</v>
      </c>
      <c r="D7548" s="70">
        <v>0</v>
      </c>
      <c r="E7548" s="111">
        <f t="shared" si="121"/>
        <v>138710</v>
      </c>
      <c r="F7548" s="69">
        <v>5.1181391539989463E-2</v>
      </c>
      <c r="G7548" s="69">
        <v>6.5493450654934504E-2</v>
      </c>
    </row>
    <row r="7549" spans="1:7" x14ac:dyDescent="0.3">
      <c r="A7549" s="24">
        <v>42427</v>
      </c>
      <c r="B7549" s="66">
        <v>1327.021</v>
      </c>
      <c r="C7549" s="66">
        <v>1067.5</v>
      </c>
      <c r="D7549" s="70">
        <v>0</v>
      </c>
      <c r="E7549" s="111">
        <f t="shared" si="121"/>
        <v>138710</v>
      </c>
      <c r="F7549" s="69">
        <v>5.2552317637440359E-2</v>
      </c>
      <c r="G7549" s="69">
        <v>6.5493450654934504E-2</v>
      </c>
    </row>
    <row r="7550" spans="1:7" x14ac:dyDescent="0.3">
      <c r="A7550" s="24">
        <v>42428</v>
      </c>
      <c r="B7550" s="66">
        <v>1327.021</v>
      </c>
      <c r="C7550" s="66">
        <v>1067.5</v>
      </c>
      <c r="D7550" s="70">
        <v>0</v>
      </c>
      <c r="E7550" s="111">
        <f t="shared" si="121"/>
        <v>138710</v>
      </c>
      <c r="F7550" s="69">
        <v>5.2552317637440359E-2</v>
      </c>
      <c r="G7550" s="69">
        <v>6.5493450654934504E-2</v>
      </c>
    </row>
    <row r="7551" spans="1:7" x14ac:dyDescent="0.3">
      <c r="A7551" s="24">
        <v>42429</v>
      </c>
      <c r="B7551" s="66">
        <v>1313.643</v>
      </c>
      <c r="C7551" s="66">
        <v>1060</v>
      </c>
      <c r="D7551" s="70">
        <v>0</v>
      </c>
      <c r="E7551" s="111">
        <f t="shared" si="121"/>
        <v>138710</v>
      </c>
      <c r="F7551" s="69">
        <v>5.2552317637440359E-2</v>
      </c>
      <c r="G7551" s="69">
        <v>6.5500000000000003E-2</v>
      </c>
    </row>
    <row r="7552" spans="1:7" x14ac:dyDescent="0.3">
      <c r="A7552" s="24">
        <v>42430</v>
      </c>
      <c r="B7552" s="66">
        <v>1313.643</v>
      </c>
      <c r="C7552" s="66">
        <v>1060</v>
      </c>
      <c r="D7552" s="70">
        <v>0</v>
      </c>
      <c r="E7552" s="111">
        <f t="shared" si="121"/>
        <v>138710</v>
      </c>
      <c r="F7552" s="69">
        <v>5.2552317637440359E-2</v>
      </c>
      <c r="G7552" s="69">
        <v>6.5500000000000003E-2</v>
      </c>
    </row>
    <row r="7553" spans="1:7" x14ac:dyDescent="0.3">
      <c r="A7553" s="24">
        <v>42431</v>
      </c>
      <c r="B7553" s="66">
        <v>1313.643</v>
      </c>
      <c r="C7553" s="66">
        <v>1067.5</v>
      </c>
      <c r="D7553" s="70">
        <v>0</v>
      </c>
      <c r="E7553" s="111">
        <f t="shared" si="121"/>
        <v>138710</v>
      </c>
      <c r="F7553" s="69">
        <v>5.2552317637440359E-2</v>
      </c>
      <c r="G7553" s="69">
        <v>6.5500000000000003E-2</v>
      </c>
    </row>
    <row r="7554" spans="1:7" x14ac:dyDescent="0.3">
      <c r="A7554" s="24">
        <v>42432</v>
      </c>
      <c r="B7554" s="66">
        <v>1313.643</v>
      </c>
      <c r="C7554" s="66">
        <v>1067.5</v>
      </c>
      <c r="D7554" s="70">
        <v>0</v>
      </c>
      <c r="E7554" s="111">
        <f t="shared" si="121"/>
        <v>138710</v>
      </c>
      <c r="F7554" s="69">
        <v>5.2552317637440359E-2</v>
      </c>
      <c r="G7554" s="69">
        <v>6.4851485148514854E-2</v>
      </c>
    </row>
    <row r="7555" spans="1:7" x14ac:dyDescent="0.3">
      <c r="A7555" s="24">
        <v>42433</v>
      </c>
      <c r="B7555" s="66">
        <v>1313.643</v>
      </c>
      <c r="C7555" s="66">
        <v>1080</v>
      </c>
      <c r="D7555" s="70">
        <v>0</v>
      </c>
      <c r="E7555" s="111">
        <f t="shared" si="121"/>
        <v>138710</v>
      </c>
      <c r="F7555" s="69">
        <v>5.2552317637440359E-2</v>
      </c>
      <c r="G7555" s="69">
        <v>6.3902439024390245E-2</v>
      </c>
    </row>
    <row r="7556" spans="1:7" x14ac:dyDescent="0.3">
      <c r="A7556" s="24">
        <v>42434</v>
      </c>
      <c r="B7556" s="66">
        <v>1313.643</v>
      </c>
      <c r="C7556" s="66">
        <v>1080</v>
      </c>
      <c r="D7556" s="70">
        <v>0</v>
      </c>
      <c r="E7556" s="111">
        <f t="shared" si="121"/>
        <v>138710</v>
      </c>
      <c r="F7556" s="69">
        <v>5.2552317637440359E-2</v>
      </c>
      <c r="G7556" s="69">
        <v>6.3902439024390245E-2</v>
      </c>
    </row>
    <row r="7557" spans="1:7" x14ac:dyDescent="0.3">
      <c r="A7557" s="24">
        <v>42435</v>
      </c>
      <c r="B7557" s="66">
        <v>1313.643</v>
      </c>
      <c r="C7557" s="66">
        <v>1080</v>
      </c>
      <c r="D7557" s="70">
        <v>0</v>
      </c>
      <c r="E7557" s="111">
        <f t="shared" si="121"/>
        <v>138710</v>
      </c>
      <c r="F7557" s="69">
        <v>5.2552317637440359E-2</v>
      </c>
      <c r="G7557" s="69">
        <v>6.3902439024390245E-2</v>
      </c>
    </row>
    <row r="7558" spans="1:7" x14ac:dyDescent="0.3">
      <c r="A7558" s="24">
        <v>42436</v>
      </c>
      <c r="B7558" s="66">
        <v>1313.643</v>
      </c>
      <c r="C7558" s="66">
        <v>1100</v>
      </c>
      <c r="D7558" s="70">
        <v>0</v>
      </c>
      <c r="E7558" s="111">
        <f t="shared" si="121"/>
        <v>138710</v>
      </c>
      <c r="F7558" s="69">
        <v>5.2552317637440359E-2</v>
      </c>
      <c r="G7558" s="69">
        <v>6.3902439024390245E-2</v>
      </c>
    </row>
    <row r="7559" spans="1:7" x14ac:dyDescent="0.3">
      <c r="A7559" s="24">
        <v>42437</v>
      </c>
      <c r="B7559" s="66">
        <v>1313.643</v>
      </c>
      <c r="C7559" s="66">
        <v>1112.5</v>
      </c>
      <c r="D7559" s="70">
        <v>0</v>
      </c>
      <c r="E7559" s="111">
        <f t="shared" si="121"/>
        <v>138710</v>
      </c>
      <c r="F7559" s="69">
        <v>5.2552317637440359E-2</v>
      </c>
      <c r="G7559" s="69">
        <v>6.3896205248268473E-2</v>
      </c>
    </row>
    <row r="7560" spans="1:7" x14ac:dyDescent="0.3">
      <c r="A7560" s="24">
        <v>42438</v>
      </c>
      <c r="B7560" s="66">
        <v>1313.643</v>
      </c>
      <c r="C7560" s="66">
        <v>1112.51</v>
      </c>
      <c r="D7560" s="70">
        <v>0</v>
      </c>
      <c r="E7560" s="111">
        <f t="shared" si="121"/>
        <v>138710</v>
      </c>
      <c r="F7560" s="69">
        <v>5.2552317637440359E-2</v>
      </c>
      <c r="G7560" s="69">
        <v>6.2380952380952384E-2</v>
      </c>
    </row>
    <row r="7561" spans="1:7" x14ac:dyDescent="0.3">
      <c r="A7561" s="24">
        <v>42439</v>
      </c>
      <c r="B7561" s="66">
        <v>1313.643</v>
      </c>
      <c r="C7561" s="66">
        <v>1112.51</v>
      </c>
      <c r="D7561" s="70">
        <v>0</v>
      </c>
      <c r="E7561" s="111">
        <f t="shared" ref="E7561:E7624" si="122">+E7560</f>
        <v>138710</v>
      </c>
      <c r="F7561" s="69">
        <v>5.2552317637440359E-2</v>
      </c>
      <c r="G7561" s="69">
        <v>6.1214953271028036E-2</v>
      </c>
    </row>
    <row r="7562" spans="1:7" x14ac:dyDescent="0.3">
      <c r="A7562" s="24">
        <v>42440</v>
      </c>
      <c r="B7562" s="66">
        <v>1313.643</v>
      </c>
      <c r="C7562" s="66">
        <v>1120</v>
      </c>
      <c r="D7562" s="70">
        <v>0</v>
      </c>
      <c r="E7562" s="111">
        <f t="shared" si="122"/>
        <v>138710</v>
      </c>
      <c r="F7562" s="69">
        <v>5.2552317637440359E-2</v>
      </c>
      <c r="G7562" s="69">
        <v>6.0424354243542436E-2</v>
      </c>
    </row>
    <row r="7563" spans="1:7" x14ac:dyDescent="0.3">
      <c r="A7563" s="24">
        <v>42441</v>
      </c>
      <c r="B7563" s="66">
        <v>1313.643</v>
      </c>
      <c r="C7563" s="66">
        <v>1120</v>
      </c>
      <c r="D7563" s="70">
        <v>0</v>
      </c>
      <c r="E7563" s="111">
        <f t="shared" si="122"/>
        <v>138710</v>
      </c>
      <c r="F7563" s="69">
        <v>5.2552317637440359E-2</v>
      </c>
      <c r="G7563" s="69">
        <v>6.0424354243542436E-2</v>
      </c>
    </row>
    <row r="7564" spans="1:7" x14ac:dyDescent="0.3">
      <c r="A7564" s="24">
        <v>42442</v>
      </c>
      <c r="B7564" s="66">
        <v>1313.643</v>
      </c>
      <c r="C7564" s="66">
        <v>1120</v>
      </c>
      <c r="D7564" s="70">
        <v>0</v>
      </c>
      <c r="E7564" s="111">
        <f t="shared" si="122"/>
        <v>138710</v>
      </c>
      <c r="F7564" s="69">
        <v>5.2552317637440359E-2</v>
      </c>
      <c r="G7564" s="69">
        <v>6.0424354243542436E-2</v>
      </c>
    </row>
    <row r="7565" spans="1:7" x14ac:dyDescent="0.3">
      <c r="A7565" s="24">
        <v>42443</v>
      </c>
      <c r="B7565" s="66">
        <v>1313.643</v>
      </c>
      <c r="C7565" s="66">
        <v>1120</v>
      </c>
      <c r="D7565" s="70">
        <v>0</v>
      </c>
      <c r="E7565" s="111">
        <f t="shared" si="122"/>
        <v>138710</v>
      </c>
      <c r="F7565" s="69">
        <v>5.2552317637440359E-2</v>
      </c>
      <c r="G7565" s="69">
        <v>6.0091743119266058E-2</v>
      </c>
    </row>
    <row r="7566" spans="1:7" x14ac:dyDescent="0.3">
      <c r="A7566" s="24">
        <v>42444</v>
      </c>
      <c r="B7566" s="66">
        <v>1313.643</v>
      </c>
      <c r="C7566" s="66">
        <v>1120.2</v>
      </c>
      <c r="D7566" s="70">
        <v>0</v>
      </c>
      <c r="E7566" s="111">
        <f t="shared" si="122"/>
        <v>138710</v>
      </c>
      <c r="F7566" s="69">
        <v>5.2552317637440359E-2</v>
      </c>
      <c r="G7566" s="69">
        <v>6.0091743119266058E-2</v>
      </c>
    </row>
    <row r="7567" spans="1:7" x14ac:dyDescent="0.3">
      <c r="A7567" s="24">
        <v>42445</v>
      </c>
      <c r="B7567" s="66">
        <v>1313.643</v>
      </c>
      <c r="C7567" s="66">
        <v>1125.01</v>
      </c>
      <c r="D7567" s="70">
        <v>0</v>
      </c>
      <c r="E7567" s="111">
        <f t="shared" si="122"/>
        <v>138710</v>
      </c>
      <c r="F7567" s="69">
        <v>5.2552317637440359E-2</v>
      </c>
      <c r="G7567" s="69">
        <v>6.0091743119266058E-2</v>
      </c>
    </row>
    <row r="7568" spans="1:7" x14ac:dyDescent="0.3">
      <c r="A7568" s="24">
        <v>42446</v>
      </c>
      <c r="B7568" s="66">
        <v>1313.643</v>
      </c>
      <c r="C7568" s="66">
        <v>1125.01</v>
      </c>
      <c r="D7568" s="70">
        <v>0</v>
      </c>
      <c r="E7568" s="111">
        <f t="shared" si="122"/>
        <v>138710</v>
      </c>
      <c r="F7568" s="69">
        <v>5.2552317637440359E-2</v>
      </c>
      <c r="G7568" s="69">
        <v>6.0091743119266058E-2</v>
      </c>
    </row>
    <row r="7569" spans="1:7" x14ac:dyDescent="0.3">
      <c r="A7569" s="24">
        <v>42447</v>
      </c>
      <c r="B7569" s="66">
        <v>1313.643</v>
      </c>
      <c r="C7569" s="66">
        <v>1130.0999999999999</v>
      </c>
      <c r="D7569" s="70">
        <v>0</v>
      </c>
      <c r="E7569" s="111">
        <f t="shared" si="122"/>
        <v>138710</v>
      </c>
      <c r="F7569" s="69">
        <v>5.2552317637440359E-2</v>
      </c>
      <c r="G7569" s="69">
        <v>6.0368663594470046E-2</v>
      </c>
    </row>
    <row r="7570" spans="1:7" x14ac:dyDescent="0.3">
      <c r="A7570" s="24">
        <v>42448</v>
      </c>
      <c r="B7570" s="66">
        <v>1313.643</v>
      </c>
      <c r="C7570" s="66">
        <v>1130.0999999999999</v>
      </c>
      <c r="D7570" s="70">
        <v>0</v>
      </c>
      <c r="E7570" s="111">
        <f t="shared" si="122"/>
        <v>138710</v>
      </c>
      <c r="F7570" s="69">
        <v>5.2552317637440359E-2</v>
      </c>
      <c r="G7570" s="69">
        <v>6.0368663594470046E-2</v>
      </c>
    </row>
    <row r="7571" spans="1:7" x14ac:dyDescent="0.3">
      <c r="A7571" s="24">
        <v>42449</v>
      </c>
      <c r="B7571" s="66">
        <v>1313.643</v>
      </c>
      <c r="C7571" s="66">
        <v>1130.0999999999999</v>
      </c>
      <c r="D7571" s="70">
        <v>0</v>
      </c>
      <c r="E7571" s="111">
        <f t="shared" si="122"/>
        <v>138710</v>
      </c>
      <c r="F7571" s="69">
        <v>5.2552317637440359E-2</v>
      </c>
      <c r="G7571" s="69">
        <v>6.0368663594470046E-2</v>
      </c>
    </row>
    <row r="7572" spans="1:7" x14ac:dyDescent="0.3">
      <c r="A7572" s="24">
        <v>42450</v>
      </c>
      <c r="B7572" s="66">
        <v>1313.643</v>
      </c>
      <c r="C7572" s="66">
        <v>1140</v>
      </c>
      <c r="D7572" s="70">
        <v>0</v>
      </c>
      <c r="E7572" s="111">
        <f t="shared" si="122"/>
        <v>138710</v>
      </c>
      <c r="F7572" s="69">
        <v>5.2552317637440359E-2</v>
      </c>
      <c r="G7572" s="69">
        <v>6.0368663594470046E-2</v>
      </c>
    </row>
    <row r="7573" spans="1:7" x14ac:dyDescent="0.3">
      <c r="A7573" s="24">
        <v>42451</v>
      </c>
      <c r="B7573" s="66">
        <v>1313.643</v>
      </c>
      <c r="C7573" s="66">
        <v>1155</v>
      </c>
      <c r="D7573" s="70">
        <v>0</v>
      </c>
      <c r="E7573" s="111">
        <f t="shared" si="122"/>
        <v>138710</v>
      </c>
      <c r="F7573" s="69">
        <v>5.2552317637440359E-2</v>
      </c>
      <c r="G7573" s="69">
        <v>6.0930232558139535E-2</v>
      </c>
    </row>
    <row r="7574" spans="1:7" x14ac:dyDescent="0.3">
      <c r="A7574" s="24">
        <v>42452</v>
      </c>
      <c r="B7574" s="66">
        <v>1313.643</v>
      </c>
      <c r="C7574" s="66">
        <v>1170</v>
      </c>
      <c r="D7574" s="70">
        <v>0</v>
      </c>
      <c r="E7574" s="111">
        <f t="shared" si="122"/>
        <v>138710</v>
      </c>
      <c r="F7574" s="69">
        <v>5.2552317637440359E-2</v>
      </c>
      <c r="G7574" s="69">
        <v>6.1214953271028036E-2</v>
      </c>
    </row>
    <row r="7575" spans="1:7" x14ac:dyDescent="0.3">
      <c r="A7575" s="24">
        <v>42453</v>
      </c>
      <c r="B7575" s="66">
        <v>1313.643</v>
      </c>
      <c r="C7575" s="66">
        <v>1190</v>
      </c>
      <c r="D7575" s="70">
        <v>0</v>
      </c>
      <c r="E7575" s="111">
        <f t="shared" si="122"/>
        <v>138710</v>
      </c>
      <c r="F7575" s="69">
        <v>5.2552317637440359E-2</v>
      </c>
      <c r="G7575" s="69">
        <v>6.1214953271028036E-2</v>
      </c>
    </row>
    <row r="7576" spans="1:7" x14ac:dyDescent="0.3">
      <c r="A7576" s="24">
        <v>42454</v>
      </c>
      <c r="B7576" s="66">
        <v>1313.643</v>
      </c>
      <c r="C7576" s="66">
        <v>1190</v>
      </c>
      <c r="D7576" s="70">
        <v>0</v>
      </c>
      <c r="E7576" s="111">
        <f t="shared" si="122"/>
        <v>138710</v>
      </c>
      <c r="F7576" s="69">
        <v>5.2552317637440359E-2</v>
      </c>
      <c r="G7576" s="69">
        <v>6.1214953271028036E-2</v>
      </c>
    </row>
    <row r="7577" spans="1:7" x14ac:dyDescent="0.3">
      <c r="A7577" s="24">
        <v>42455</v>
      </c>
      <c r="B7577" s="66">
        <v>1313.643</v>
      </c>
      <c r="C7577" s="66">
        <v>1190</v>
      </c>
      <c r="D7577" s="70">
        <v>0</v>
      </c>
      <c r="E7577" s="111">
        <f t="shared" si="122"/>
        <v>138710</v>
      </c>
      <c r="F7577" s="69">
        <v>5.2552317637440359E-2</v>
      </c>
      <c r="G7577" s="69">
        <v>6.1214953271028036E-2</v>
      </c>
    </row>
    <row r="7578" spans="1:7" x14ac:dyDescent="0.3">
      <c r="A7578" s="24">
        <v>42456</v>
      </c>
      <c r="B7578" s="66">
        <v>1313.643</v>
      </c>
      <c r="C7578" s="66">
        <v>1190</v>
      </c>
      <c r="D7578" s="70">
        <v>0</v>
      </c>
      <c r="E7578" s="111">
        <f t="shared" si="122"/>
        <v>138710</v>
      </c>
      <c r="F7578" s="69">
        <v>5.2552317637440359E-2</v>
      </c>
      <c r="G7578" s="69">
        <v>6.1214953271028036E-2</v>
      </c>
    </row>
    <row r="7579" spans="1:7" x14ac:dyDescent="0.3">
      <c r="A7579" s="24">
        <v>42457</v>
      </c>
      <c r="B7579" s="66">
        <v>1313.643</v>
      </c>
      <c r="C7579" s="66">
        <v>1189.99</v>
      </c>
      <c r="D7579" s="70">
        <v>0</v>
      </c>
      <c r="E7579" s="111">
        <f t="shared" si="122"/>
        <v>138710</v>
      </c>
      <c r="F7579" s="69">
        <v>5.2552317637440359E-2</v>
      </c>
      <c r="G7579" s="69">
        <v>6.1214953271028036E-2</v>
      </c>
    </row>
    <row r="7580" spans="1:7" x14ac:dyDescent="0.3">
      <c r="A7580" s="24">
        <v>42458</v>
      </c>
      <c r="B7580" s="66">
        <v>1313.643</v>
      </c>
      <c r="C7580" s="66">
        <v>1175</v>
      </c>
      <c r="D7580" s="70">
        <v>0</v>
      </c>
      <c r="E7580" s="111">
        <f t="shared" si="122"/>
        <v>138710</v>
      </c>
      <c r="F7580" s="69">
        <v>5.2552317637440359E-2</v>
      </c>
      <c r="G7580" s="69">
        <v>6.2980769230769229E-2</v>
      </c>
    </row>
    <row r="7581" spans="1:7" x14ac:dyDescent="0.3">
      <c r="A7581" s="24">
        <v>42459</v>
      </c>
      <c r="B7581" s="66">
        <v>1313.643</v>
      </c>
      <c r="C7581" s="66">
        <v>1175</v>
      </c>
      <c r="D7581" s="70">
        <v>0</v>
      </c>
      <c r="E7581" s="111">
        <f t="shared" si="122"/>
        <v>138710</v>
      </c>
      <c r="F7581" s="69">
        <v>5.2552317637440359E-2</v>
      </c>
      <c r="G7581" s="69">
        <v>6.3592233009708732E-2</v>
      </c>
    </row>
    <row r="7582" spans="1:7" x14ac:dyDescent="0.3">
      <c r="A7582" s="24">
        <v>42460</v>
      </c>
      <c r="B7582" s="66">
        <v>1313.643</v>
      </c>
      <c r="C7582" s="66">
        <v>1185</v>
      </c>
      <c r="D7582" s="70">
        <v>0</v>
      </c>
      <c r="E7582" s="111">
        <f t="shared" si="122"/>
        <v>138710</v>
      </c>
      <c r="F7582" s="69">
        <v>5.2552317637440359E-2</v>
      </c>
      <c r="G7582" s="69">
        <v>6.3592233009708732E-2</v>
      </c>
    </row>
    <row r="7583" spans="1:7" x14ac:dyDescent="0.3">
      <c r="A7583" s="24">
        <v>42461</v>
      </c>
      <c r="B7583" s="66">
        <v>1313.643</v>
      </c>
      <c r="C7583" s="66">
        <v>1180</v>
      </c>
      <c r="D7583" s="70">
        <v>0</v>
      </c>
      <c r="E7583" s="111">
        <f t="shared" si="122"/>
        <v>138710</v>
      </c>
      <c r="F7583" s="69">
        <v>5.2552317637440359E-2</v>
      </c>
      <c r="G7583" s="69">
        <v>6.3592233009708732E-2</v>
      </c>
    </row>
    <row r="7584" spans="1:7" x14ac:dyDescent="0.3">
      <c r="A7584" s="24">
        <v>42462</v>
      </c>
      <c r="B7584" s="66">
        <v>1313.643</v>
      </c>
      <c r="C7584" s="66">
        <v>1180</v>
      </c>
      <c r="D7584" s="70">
        <v>0</v>
      </c>
      <c r="E7584" s="111">
        <f t="shared" si="122"/>
        <v>138710</v>
      </c>
      <c r="F7584" s="69">
        <v>5.2552317637440359E-2</v>
      </c>
      <c r="G7584" s="69">
        <v>6.3592233009708732E-2</v>
      </c>
    </row>
    <row r="7585" spans="1:7" x14ac:dyDescent="0.3">
      <c r="A7585" s="24">
        <v>42463</v>
      </c>
      <c r="B7585" s="66">
        <v>1313.643</v>
      </c>
      <c r="C7585" s="66">
        <v>1180</v>
      </c>
      <c r="D7585" s="70">
        <v>0</v>
      </c>
      <c r="E7585" s="111">
        <f t="shared" si="122"/>
        <v>138710</v>
      </c>
      <c r="F7585" s="69">
        <v>5.2552317637440359E-2</v>
      </c>
      <c r="G7585" s="69">
        <v>6.3592233009708732E-2</v>
      </c>
    </row>
    <row r="7586" spans="1:7" x14ac:dyDescent="0.3">
      <c r="A7586" s="24">
        <v>42464</v>
      </c>
      <c r="B7586" s="66">
        <v>1313.643</v>
      </c>
      <c r="C7586" s="66">
        <v>1180</v>
      </c>
      <c r="D7586" s="70">
        <v>0</v>
      </c>
      <c r="E7586" s="111">
        <f t="shared" si="122"/>
        <v>138710</v>
      </c>
      <c r="F7586" s="69">
        <v>5.2552317637440359E-2</v>
      </c>
      <c r="G7586" s="69">
        <v>6.3592233009708732E-2</v>
      </c>
    </row>
    <row r="7587" spans="1:7" x14ac:dyDescent="0.3">
      <c r="A7587" s="24">
        <v>42465</v>
      </c>
      <c r="B7587" s="66">
        <v>1313.643</v>
      </c>
      <c r="C7587" s="66">
        <v>1180</v>
      </c>
      <c r="D7587" s="70">
        <v>0</v>
      </c>
      <c r="E7587" s="111">
        <f t="shared" si="122"/>
        <v>138710</v>
      </c>
      <c r="F7587" s="69">
        <v>5.2552317637440359E-2</v>
      </c>
      <c r="G7587" s="69">
        <v>6.3592233009708732E-2</v>
      </c>
    </row>
    <row r="7588" spans="1:7" x14ac:dyDescent="0.3">
      <c r="A7588" s="24">
        <v>42466</v>
      </c>
      <c r="B7588" s="66">
        <v>1313.643</v>
      </c>
      <c r="C7588" s="66">
        <v>1170</v>
      </c>
      <c r="D7588" s="70">
        <v>0</v>
      </c>
      <c r="E7588" s="111">
        <f t="shared" si="122"/>
        <v>138710</v>
      </c>
      <c r="F7588" s="69">
        <v>5.2552317637440359E-2</v>
      </c>
      <c r="G7588" s="69">
        <v>6.3592233009708732E-2</v>
      </c>
    </row>
    <row r="7589" spans="1:7" x14ac:dyDescent="0.3">
      <c r="A7589" s="24">
        <v>42467</v>
      </c>
      <c r="B7589" s="66">
        <v>1313.643</v>
      </c>
      <c r="C7589" s="66">
        <v>1180</v>
      </c>
      <c r="D7589" s="70">
        <v>0</v>
      </c>
      <c r="E7589" s="111">
        <f t="shared" si="122"/>
        <v>138710</v>
      </c>
      <c r="F7589" s="69">
        <v>5.2552317637440359E-2</v>
      </c>
      <c r="G7589" s="69">
        <v>6.3592233009708732E-2</v>
      </c>
    </row>
    <row r="7590" spans="1:7" x14ac:dyDescent="0.3">
      <c r="A7590" s="24">
        <v>42468</v>
      </c>
      <c r="B7590" s="66">
        <v>1313.643</v>
      </c>
      <c r="C7590" s="66">
        <v>1160</v>
      </c>
      <c r="D7590" s="70">
        <v>0</v>
      </c>
      <c r="E7590" s="111">
        <f t="shared" si="122"/>
        <v>138710</v>
      </c>
      <c r="F7590" s="69">
        <v>5.2552317637440359E-2</v>
      </c>
      <c r="G7590" s="69">
        <v>6.3592233009708732E-2</v>
      </c>
    </row>
    <row r="7591" spans="1:7" x14ac:dyDescent="0.3">
      <c r="A7591" s="24">
        <v>42469</v>
      </c>
      <c r="B7591" s="66">
        <v>1313.643</v>
      </c>
      <c r="C7591" s="66">
        <v>1160</v>
      </c>
      <c r="D7591" s="70">
        <v>0</v>
      </c>
      <c r="E7591" s="111">
        <f t="shared" si="122"/>
        <v>138710</v>
      </c>
      <c r="F7591" s="69">
        <v>5.2552317637440359E-2</v>
      </c>
      <c r="G7591" s="69">
        <v>6.3592233009708732E-2</v>
      </c>
    </row>
    <row r="7592" spans="1:7" x14ac:dyDescent="0.3">
      <c r="A7592" s="24">
        <v>42470</v>
      </c>
      <c r="B7592" s="66">
        <v>1313.643</v>
      </c>
      <c r="C7592" s="66">
        <v>1160</v>
      </c>
      <c r="D7592" s="70">
        <v>0</v>
      </c>
      <c r="E7592" s="111">
        <f t="shared" si="122"/>
        <v>138710</v>
      </c>
      <c r="F7592" s="69">
        <v>5.2552317637440359E-2</v>
      </c>
      <c r="G7592" s="69">
        <v>6.3592233009708732E-2</v>
      </c>
    </row>
    <row r="7593" spans="1:7" x14ac:dyDescent="0.3">
      <c r="A7593" s="24">
        <v>42471</v>
      </c>
      <c r="B7593" s="66">
        <v>1313.643</v>
      </c>
      <c r="C7593" s="66">
        <v>1160</v>
      </c>
      <c r="D7593" s="70">
        <v>0</v>
      </c>
      <c r="E7593" s="111">
        <f t="shared" si="122"/>
        <v>138710</v>
      </c>
      <c r="F7593" s="69">
        <v>5.2552317637440359E-2</v>
      </c>
      <c r="G7593" s="69">
        <v>6.3592233009708732E-2</v>
      </c>
    </row>
    <row r="7594" spans="1:7" x14ac:dyDescent="0.3">
      <c r="A7594" s="24">
        <v>42472</v>
      </c>
      <c r="B7594" s="66">
        <v>1313.643</v>
      </c>
      <c r="C7594" s="66">
        <v>1175</v>
      </c>
      <c r="D7594" s="70">
        <v>0</v>
      </c>
      <c r="E7594" s="111">
        <f t="shared" si="122"/>
        <v>138710</v>
      </c>
      <c r="F7594" s="69">
        <v>5.2552317637440359E-2</v>
      </c>
      <c r="G7594" s="69">
        <v>6.2375011903628229E-2</v>
      </c>
    </row>
    <row r="7595" spans="1:7" x14ac:dyDescent="0.3">
      <c r="A7595" s="24">
        <v>42473</v>
      </c>
      <c r="B7595" s="66">
        <v>1313.643</v>
      </c>
      <c r="C7595" s="66">
        <v>1175</v>
      </c>
      <c r="D7595" s="70">
        <v>0</v>
      </c>
      <c r="E7595" s="111">
        <f t="shared" si="122"/>
        <v>138710</v>
      </c>
      <c r="F7595" s="69">
        <v>5.2552317637440359E-2</v>
      </c>
      <c r="G7595" s="69">
        <v>6.2980769230769229E-2</v>
      </c>
    </row>
    <row r="7596" spans="1:7" x14ac:dyDescent="0.3">
      <c r="A7596" s="24">
        <v>42474</v>
      </c>
      <c r="B7596" s="66">
        <v>1313.643</v>
      </c>
      <c r="C7596" s="66">
        <v>1170</v>
      </c>
      <c r="D7596" s="70">
        <v>0</v>
      </c>
      <c r="E7596" s="111">
        <f t="shared" si="122"/>
        <v>138710</v>
      </c>
      <c r="F7596" s="69">
        <v>5.2552317637440359E-2</v>
      </c>
      <c r="G7596" s="69">
        <v>6.2980769230769229E-2</v>
      </c>
    </row>
    <row r="7597" spans="1:7" x14ac:dyDescent="0.3">
      <c r="A7597" s="24">
        <v>42475</v>
      </c>
      <c r="B7597" s="66">
        <v>1313.643</v>
      </c>
      <c r="C7597" s="66">
        <v>1159.9000000000001</v>
      </c>
      <c r="D7597" s="70">
        <v>0</v>
      </c>
      <c r="E7597" s="111">
        <f t="shared" si="122"/>
        <v>138710</v>
      </c>
      <c r="F7597" s="69">
        <v>5.2552317637440359E-2</v>
      </c>
      <c r="G7597" s="69">
        <v>6.2980769230769229E-2</v>
      </c>
    </row>
    <row r="7598" spans="1:7" x14ac:dyDescent="0.3">
      <c r="A7598" s="24">
        <v>42476</v>
      </c>
      <c r="B7598" s="66">
        <v>1313.643</v>
      </c>
      <c r="C7598" s="66">
        <v>1159.9000000000001</v>
      </c>
      <c r="D7598" s="70">
        <v>0</v>
      </c>
      <c r="E7598" s="111">
        <f t="shared" si="122"/>
        <v>138710</v>
      </c>
      <c r="F7598" s="69">
        <v>2.6877902913805374E-2</v>
      </c>
      <c r="G7598" s="69">
        <v>3.2211538461538458E-2</v>
      </c>
    </row>
    <row r="7599" spans="1:7" x14ac:dyDescent="0.3">
      <c r="A7599" s="24">
        <v>42477</v>
      </c>
      <c r="B7599" s="66">
        <v>1313.643</v>
      </c>
      <c r="C7599" s="66">
        <v>1159.9000000000001</v>
      </c>
      <c r="D7599" s="70">
        <v>0</v>
      </c>
      <c r="E7599" s="111">
        <f t="shared" si="122"/>
        <v>138710</v>
      </c>
      <c r="F7599" s="69">
        <v>2.6877902913805374E-2</v>
      </c>
      <c r="G7599" s="69">
        <v>3.2211538461538458E-2</v>
      </c>
    </row>
    <row r="7600" spans="1:7" x14ac:dyDescent="0.3">
      <c r="A7600" s="24">
        <v>42478</v>
      </c>
      <c r="B7600" s="66">
        <v>1313.643</v>
      </c>
      <c r="C7600" s="66">
        <v>1150.0999999999999</v>
      </c>
      <c r="D7600" s="70">
        <v>0</v>
      </c>
      <c r="E7600" s="111">
        <f t="shared" si="122"/>
        <v>138710</v>
      </c>
      <c r="F7600" s="69">
        <v>2.6501550142910599E-2</v>
      </c>
      <c r="G7600" s="69">
        <v>3.2211538461538458E-2</v>
      </c>
    </row>
    <row r="7601" spans="1:7" x14ac:dyDescent="0.3">
      <c r="A7601" s="24">
        <v>42479</v>
      </c>
      <c r="B7601" s="66">
        <v>1313.643</v>
      </c>
      <c r="C7601" s="66">
        <v>1159.9000000000001</v>
      </c>
      <c r="D7601" s="70">
        <v>0</v>
      </c>
      <c r="E7601" s="111">
        <f t="shared" si="122"/>
        <v>138710</v>
      </c>
      <c r="F7601" s="69">
        <v>2.6501550142910599E-2</v>
      </c>
      <c r="G7601" s="69">
        <v>3.2211538461538458E-2</v>
      </c>
    </row>
    <row r="7602" spans="1:7" x14ac:dyDescent="0.3">
      <c r="A7602" s="24">
        <v>42480</v>
      </c>
      <c r="B7602" s="66">
        <v>1313.643</v>
      </c>
      <c r="C7602" s="66">
        <v>1159.9000000000001</v>
      </c>
      <c r="D7602" s="70">
        <v>0</v>
      </c>
      <c r="E7602" s="111">
        <f t="shared" si="122"/>
        <v>138710</v>
      </c>
      <c r="F7602" s="69">
        <v>2.6501550142910599E-2</v>
      </c>
      <c r="G7602" s="69">
        <v>3.2211538461538458E-2</v>
      </c>
    </row>
    <row r="7603" spans="1:7" x14ac:dyDescent="0.3">
      <c r="A7603" s="24">
        <v>42481</v>
      </c>
      <c r="B7603" s="66">
        <v>1313.643</v>
      </c>
      <c r="C7603" s="66">
        <v>1155</v>
      </c>
      <c r="D7603" s="70">
        <v>0</v>
      </c>
      <c r="E7603" s="111">
        <f t="shared" si="122"/>
        <v>138710</v>
      </c>
      <c r="F7603" s="69">
        <v>2.6501550142910599E-2</v>
      </c>
      <c r="G7603" s="69">
        <v>3.2211538461538458E-2</v>
      </c>
    </row>
    <row r="7604" spans="1:7" x14ac:dyDescent="0.3">
      <c r="A7604" s="24">
        <v>42482</v>
      </c>
      <c r="B7604" s="66">
        <v>1313.643</v>
      </c>
      <c r="C7604" s="66">
        <v>1145</v>
      </c>
      <c r="D7604" s="70">
        <v>0</v>
      </c>
      <c r="E7604" s="111">
        <f t="shared" si="122"/>
        <v>138710</v>
      </c>
      <c r="F7604" s="69">
        <v>2.6501550142910599E-2</v>
      </c>
      <c r="G7604" s="69">
        <v>3.2211538461538458E-2</v>
      </c>
    </row>
    <row r="7605" spans="1:7" x14ac:dyDescent="0.3">
      <c r="A7605" s="24">
        <v>42483</v>
      </c>
      <c r="B7605" s="66">
        <v>1313.643</v>
      </c>
      <c r="C7605" s="66">
        <v>1145</v>
      </c>
      <c r="D7605" s="70">
        <v>0</v>
      </c>
      <c r="E7605" s="111">
        <f t="shared" si="122"/>
        <v>138710</v>
      </c>
      <c r="F7605" s="69">
        <v>2.6501550142910599E-2</v>
      </c>
      <c r="G7605" s="69">
        <v>3.2211538461538458E-2</v>
      </c>
    </row>
    <row r="7606" spans="1:7" x14ac:dyDescent="0.3">
      <c r="A7606" s="24">
        <v>42484</v>
      </c>
      <c r="B7606" s="66">
        <v>1313.643</v>
      </c>
      <c r="C7606" s="66">
        <v>1145</v>
      </c>
      <c r="D7606" s="70">
        <v>0</v>
      </c>
      <c r="E7606" s="111">
        <f t="shared" si="122"/>
        <v>138710</v>
      </c>
      <c r="F7606" s="69">
        <v>2.6501550142910599E-2</v>
      </c>
      <c r="G7606" s="69">
        <v>3.2211538461538458E-2</v>
      </c>
    </row>
    <row r="7607" spans="1:7" x14ac:dyDescent="0.3">
      <c r="A7607" s="24">
        <v>42485</v>
      </c>
      <c r="B7607" s="66">
        <v>1313.643</v>
      </c>
      <c r="C7607" s="66">
        <v>1140</v>
      </c>
      <c r="D7607" s="70">
        <v>0</v>
      </c>
      <c r="E7607" s="111">
        <f t="shared" si="122"/>
        <v>138710</v>
      </c>
      <c r="F7607" s="69">
        <v>2.6501550142910599E-2</v>
      </c>
      <c r="G7607" s="69">
        <v>3.2211538461538458E-2</v>
      </c>
    </row>
    <row r="7608" spans="1:7" x14ac:dyDescent="0.3">
      <c r="A7608" s="24">
        <v>42486</v>
      </c>
      <c r="B7608" s="66">
        <v>1313.643</v>
      </c>
      <c r="C7608" s="66">
        <v>1130</v>
      </c>
      <c r="D7608" s="70">
        <v>0</v>
      </c>
      <c r="E7608" s="111">
        <f t="shared" si="122"/>
        <v>138710</v>
      </c>
      <c r="F7608" s="69">
        <v>2.6501550142910599E-2</v>
      </c>
      <c r="G7608" s="69">
        <v>3.2524271844660196E-2</v>
      </c>
    </row>
    <row r="7609" spans="1:7" x14ac:dyDescent="0.3">
      <c r="A7609" s="24">
        <v>42487</v>
      </c>
      <c r="B7609" s="66">
        <v>1313.643</v>
      </c>
      <c r="C7609" s="66">
        <v>1130</v>
      </c>
      <c r="D7609" s="70">
        <v>0</v>
      </c>
      <c r="E7609" s="111">
        <f t="shared" si="122"/>
        <v>138710</v>
      </c>
      <c r="F7609" s="69">
        <v>2.6501550142910599E-2</v>
      </c>
      <c r="G7609" s="69">
        <v>3.2524271844660196E-2</v>
      </c>
    </row>
    <row r="7610" spans="1:7" x14ac:dyDescent="0.3">
      <c r="A7610" s="24">
        <v>42488</v>
      </c>
      <c r="B7610" s="66">
        <v>1313.643</v>
      </c>
      <c r="C7610" s="66">
        <v>1130</v>
      </c>
      <c r="D7610" s="70">
        <v>45.8</v>
      </c>
      <c r="E7610" s="111">
        <f t="shared" si="122"/>
        <v>138710</v>
      </c>
      <c r="F7610" s="69">
        <v>6.2733520189039119E-2</v>
      </c>
      <c r="G7610" s="69">
        <v>7.6990291262135926E-2</v>
      </c>
    </row>
    <row r="7611" spans="1:7" x14ac:dyDescent="0.3">
      <c r="A7611" s="24">
        <v>42489</v>
      </c>
      <c r="B7611" s="66">
        <v>1284.4573700000001</v>
      </c>
      <c r="C7611" s="66">
        <v>1125</v>
      </c>
      <c r="D7611" s="70">
        <v>0</v>
      </c>
      <c r="E7611" s="111">
        <f t="shared" si="122"/>
        <v>138710</v>
      </c>
      <c r="F7611" s="69">
        <v>6.2733520189039119E-2</v>
      </c>
      <c r="G7611" s="69">
        <v>7.6990291262135926E-2</v>
      </c>
    </row>
    <row r="7612" spans="1:7" x14ac:dyDescent="0.3">
      <c r="A7612" s="24">
        <v>42490</v>
      </c>
      <c r="B7612" s="66">
        <v>1284.4573700000001</v>
      </c>
      <c r="C7612" s="66">
        <v>1125</v>
      </c>
      <c r="D7612" s="70">
        <v>0</v>
      </c>
      <c r="E7612" s="111">
        <f t="shared" si="122"/>
        <v>138710</v>
      </c>
      <c r="F7612" s="69">
        <v>6.2733520189039119E-2</v>
      </c>
      <c r="G7612" s="69">
        <v>7.6990291262135926E-2</v>
      </c>
    </row>
    <row r="7613" spans="1:7" x14ac:dyDescent="0.3">
      <c r="A7613" s="24">
        <v>42491</v>
      </c>
      <c r="B7613" s="66">
        <v>1284.4573700000001</v>
      </c>
      <c r="C7613" s="66">
        <v>1125</v>
      </c>
      <c r="D7613" s="70">
        <v>0</v>
      </c>
      <c r="E7613" s="111">
        <f t="shared" si="122"/>
        <v>138710</v>
      </c>
      <c r="F7613" s="69">
        <v>6.2733520189039119E-2</v>
      </c>
      <c r="G7613" s="69">
        <v>7.6990291262135926E-2</v>
      </c>
    </row>
    <row r="7614" spans="1:7" x14ac:dyDescent="0.3">
      <c r="A7614" s="24">
        <v>42492</v>
      </c>
      <c r="B7614" s="66">
        <v>1284.4573700000001</v>
      </c>
      <c r="C7614" s="66">
        <v>1125</v>
      </c>
      <c r="D7614" s="70">
        <v>0</v>
      </c>
      <c r="E7614" s="111">
        <f t="shared" si="122"/>
        <v>138710</v>
      </c>
      <c r="F7614" s="69">
        <v>6.237488643916482E-2</v>
      </c>
      <c r="G7614" s="69">
        <v>7.7745098039215685E-2</v>
      </c>
    </row>
    <row r="7615" spans="1:7" x14ac:dyDescent="0.3">
      <c r="A7615" s="24">
        <v>42493</v>
      </c>
      <c r="B7615" s="66">
        <v>1284.4573700000001</v>
      </c>
      <c r="C7615" s="66">
        <v>1125</v>
      </c>
      <c r="D7615" s="70">
        <v>0</v>
      </c>
      <c r="E7615" s="111">
        <f t="shared" si="122"/>
        <v>138710</v>
      </c>
      <c r="F7615" s="69">
        <v>6.237488643916482E-2</v>
      </c>
      <c r="G7615" s="69">
        <v>7.7745098039215685E-2</v>
      </c>
    </row>
    <row r="7616" spans="1:7" x14ac:dyDescent="0.3">
      <c r="A7616" s="24">
        <v>42494</v>
      </c>
      <c r="B7616" s="66">
        <v>1284.4573700000001</v>
      </c>
      <c r="C7616" s="66">
        <v>1125</v>
      </c>
      <c r="D7616" s="70">
        <v>0</v>
      </c>
      <c r="E7616" s="111">
        <f t="shared" si="122"/>
        <v>138710</v>
      </c>
      <c r="F7616" s="69">
        <v>6.237488643916482E-2</v>
      </c>
      <c r="G7616" s="69">
        <v>7.7745098039215685E-2</v>
      </c>
    </row>
    <row r="7617" spans="1:7" x14ac:dyDescent="0.3">
      <c r="A7617" s="24">
        <v>42495</v>
      </c>
      <c r="B7617" s="66">
        <v>1284.4573700000001</v>
      </c>
      <c r="C7617" s="66">
        <v>1130</v>
      </c>
      <c r="D7617" s="70">
        <v>0</v>
      </c>
      <c r="E7617" s="111">
        <f t="shared" si="122"/>
        <v>138710</v>
      </c>
      <c r="F7617" s="69">
        <v>6.237488643916482E-2</v>
      </c>
      <c r="G7617" s="69">
        <v>7.7745098039215685E-2</v>
      </c>
    </row>
    <row r="7618" spans="1:7" x14ac:dyDescent="0.3">
      <c r="A7618" s="24">
        <v>42496</v>
      </c>
      <c r="B7618" s="66">
        <v>1284.4573700000001</v>
      </c>
      <c r="C7618" s="66">
        <v>1140</v>
      </c>
      <c r="D7618" s="70">
        <v>0</v>
      </c>
      <c r="E7618" s="111">
        <f t="shared" si="122"/>
        <v>138710</v>
      </c>
      <c r="F7618" s="69">
        <v>6.237488643916482E-2</v>
      </c>
      <c r="G7618" s="69">
        <v>7.7745098039215685E-2</v>
      </c>
    </row>
    <row r="7619" spans="1:7" x14ac:dyDescent="0.3">
      <c r="A7619" s="24">
        <v>42497</v>
      </c>
      <c r="B7619" s="66">
        <v>1284.4573700000001</v>
      </c>
      <c r="C7619" s="66">
        <v>1140</v>
      </c>
      <c r="D7619" s="70">
        <v>0</v>
      </c>
      <c r="E7619" s="111">
        <f t="shared" si="122"/>
        <v>138710</v>
      </c>
      <c r="F7619" s="69">
        <v>6.237488643916482E-2</v>
      </c>
      <c r="G7619" s="69">
        <v>7.7745098039215685E-2</v>
      </c>
    </row>
    <row r="7620" spans="1:7" x14ac:dyDescent="0.3">
      <c r="A7620" s="24">
        <v>42498</v>
      </c>
      <c r="B7620" s="66">
        <v>1284.4573700000001</v>
      </c>
      <c r="C7620" s="66">
        <v>1140</v>
      </c>
      <c r="D7620" s="70">
        <v>0</v>
      </c>
      <c r="E7620" s="111">
        <f t="shared" si="122"/>
        <v>138710</v>
      </c>
      <c r="F7620" s="69">
        <v>6.237488643916482E-2</v>
      </c>
      <c r="G7620" s="69">
        <v>7.7745098039215685E-2</v>
      </c>
    </row>
    <row r="7621" spans="1:7" x14ac:dyDescent="0.3">
      <c r="A7621" s="24">
        <v>42499</v>
      </c>
      <c r="B7621" s="66">
        <v>1284.4573700000001</v>
      </c>
      <c r="C7621" s="66">
        <v>1140</v>
      </c>
      <c r="D7621" s="70">
        <v>0</v>
      </c>
      <c r="E7621" s="111">
        <f t="shared" si="122"/>
        <v>138710</v>
      </c>
      <c r="F7621" s="69">
        <v>6.237488643916482E-2</v>
      </c>
      <c r="G7621" s="69">
        <v>7.7745098039215685E-2</v>
      </c>
    </row>
    <row r="7622" spans="1:7" x14ac:dyDescent="0.3">
      <c r="A7622" s="24">
        <v>42500</v>
      </c>
      <c r="B7622" s="66">
        <v>1284.4573700000001</v>
      </c>
      <c r="C7622" s="66">
        <v>1140</v>
      </c>
      <c r="D7622" s="70">
        <v>0</v>
      </c>
      <c r="E7622" s="111">
        <f t="shared" si="122"/>
        <v>138710</v>
      </c>
      <c r="F7622" s="69">
        <v>6.237488643916482E-2</v>
      </c>
      <c r="G7622" s="69">
        <v>7.6990291262135926E-2</v>
      </c>
    </row>
    <row r="7623" spans="1:7" x14ac:dyDescent="0.3">
      <c r="A7623" s="24">
        <v>42501</v>
      </c>
      <c r="B7623" s="66">
        <v>1284.4573700000001</v>
      </c>
      <c r="C7623" s="66">
        <v>1140</v>
      </c>
      <c r="D7623" s="70">
        <v>0</v>
      </c>
      <c r="E7623" s="111">
        <f t="shared" si="122"/>
        <v>138710</v>
      </c>
      <c r="F7623" s="69">
        <v>6.237488643916482E-2</v>
      </c>
      <c r="G7623" s="69">
        <v>7.6990291262135926E-2</v>
      </c>
    </row>
    <row r="7624" spans="1:7" x14ac:dyDescent="0.3">
      <c r="A7624" s="24">
        <v>42502</v>
      </c>
      <c r="B7624" s="66">
        <v>1284.4573700000001</v>
      </c>
      <c r="C7624" s="66">
        <v>1139.9000000000001</v>
      </c>
      <c r="D7624" s="70">
        <v>0</v>
      </c>
      <c r="E7624" s="111">
        <f t="shared" si="122"/>
        <v>138710</v>
      </c>
      <c r="F7624" s="69">
        <v>6.237488643916482E-2</v>
      </c>
      <c r="G7624" s="69">
        <v>7.6990291262135926E-2</v>
      </c>
    </row>
    <row r="7625" spans="1:7" x14ac:dyDescent="0.3">
      <c r="A7625" s="24">
        <v>42503</v>
      </c>
      <c r="B7625" s="66">
        <v>1284.4573700000001</v>
      </c>
      <c r="C7625" s="66">
        <v>1139.9000000000001</v>
      </c>
      <c r="D7625" s="70">
        <v>0</v>
      </c>
      <c r="E7625" s="111">
        <f t="shared" ref="E7625:E7688" si="123">+E7624</f>
        <v>138710</v>
      </c>
      <c r="F7625" s="69">
        <v>6.237488643916482E-2</v>
      </c>
      <c r="G7625" s="69">
        <v>7.6249999999999998E-2</v>
      </c>
    </row>
    <row r="7626" spans="1:7" x14ac:dyDescent="0.3">
      <c r="A7626" s="24">
        <v>42504</v>
      </c>
      <c r="B7626" s="66">
        <v>1284.4573700000001</v>
      </c>
      <c r="C7626" s="66">
        <v>1139.9000000000001</v>
      </c>
      <c r="D7626" s="70">
        <v>0</v>
      </c>
      <c r="E7626" s="111">
        <f t="shared" si="123"/>
        <v>138710</v>
      </c>
      <c r="F7626" s="69">
        <v>6.237488643916482E-2</v>
      </c>
      <c r="G7626" s="69">
        <v>7.6249999999999998E-2</v>
      </c>
    </row>
    <row r="7627" spans="1:7" x14ac:dyDescent="0.3">
      <c r="A7627" s="24">
        <v>42505</v>
      </c>
      <c r="B7627" s="66">
        <v>1284.4573700000001</v>
      </c>
      <c r="C7627" s="66">
        <v>1139.9000000000001</v>
      </c>
      <c r="D7627" s="70">
        <v>0</v>
      </c>
      <c r="E7627" s="111">
        <f t="shared" si="123"/>
        <v>138710</v>
      </c>
      <c r="F7627" s="69">
        <v>6.237488643916482E-2</v>
      </c>
      <c r="G7627" s="69">
        <v>7.6249999999999998E-2</v>
      </c>
    </row>
    <row r="7628" spans="1:7" x14ac:dyDescent="0.3">
      <c r="A7628" s="24">
        <v>42506</v>
      </c>
      <c r="B7628" s="66">
        <v>1284.4573700000001</v>
      </c>
      <c r="C7628" s="66">
        <v>1135</v>
      </c>
      <c r="D7628" s="70">
        <v>0</v>
      </c>
      <c r="E7628" s="111">
        <f t="shared" si="123"/>
        <v>138710</v>
      </c>
      <c r="F7628" s="69">
        <v>6.237488643916482E-2</v>
      </c>
      <c r="G7628" s="69">
        <v>7.625733243581112E-2</v>
      </c>
    </row>
    <row r="7629" spans="1:7" x14ac:dyDescent="0.3">
      <c r="A7629" s="24">
        <v>42507</v>
      </c>
      <c r="B7629" s="66">
        <v>1284.4573700000001</v>
      </c>
      <c r="C7629" s="66">
        <v>1135</v>
      </c>
      <c r="D7629" s="70">
        <v>0</v>
      </c>
      <c r="E7629" s="111">
        <f t="shared" si="123"/>
        <v>138710</v>
      </c>
      <c r="F7629" s="69">
        <v>6.237488643916482E-2</v>
      </c>
      <c r="G7629" s="69">
        <v>7.6249999999999998E-2</v>
      </c>
    </row>
    <row r="7630" spans="1:7" x14ac:dyDescent="0.3">
      <c r="A7630" s="24">
        <v>42508</v>
      </c>
      <c r="B7630" s="66">
        <v>1284.4573700000001</v>
      </c>
      <c r="C7630" s="66">
        <v>1135</v>
      </c>
      <c r="D7630" s="70">
        <v>0</v>
      </c>
      <c r="E7630" s="111">
        <f t="shared" si="123"/>
        <v>138710</v>
      </c>
      <c r="F7630" s="69">
        <v>6.237488643916482E-2</v>
      </c>
      <c r="G7630" s="69">
        <v>7.6264666281977297E-2</v>
      </c>
    </row>
    <row r="7631" spans="1:7" x14ac:dyDescent="0.3">
      <c r="A7631" s="24">
        <v>42509</v>
      </c>
      <c r="B7631" s="66">
        <v>1284.4573700000001</v>
      </c>
      <c r="C7631" s="66">
        <v>1135</v>
      </c>
      <c r="D7631" s="70">
        <v>0</v>
      </c>
      <c r="E7631" s="111">
        <f t="shared" si="123"/>
        <v>138710</v>
      </c>
      <c r="F7631" s="69">
        <v>6.237488643916482E-2</v>
      </c>
      <c r="G7631" s="69">
        <v>7.6264666281977297E-2</v>
      </c>
    </row>
    <row r="7632" spans="1:7" x14ac:dyDescent="0.3">
      <c r="A7632" s="24">
        <v>42510</v>
      </c>
      <c r="B7632" s="66">
        <v>1284.4573700000001</v>
      </c>
      <c r="C7632" s="66">
        <v>1136</v>
      </c>
      <c r="D7632" s="70">
        <v>0</v>
      </c>
      <c r="E7632" s="111">
        <f t="shared" si="123"/>
        <v>138710</v>
      </c>
      <c r="F7632" s="69">
        <v>6.237488643916482E-2</v>
      </c>
      <c r="G7632" s="69">
        <v>7.6249999999999998E-2</v>
      </c>
    </row>
    <row r="7633" spans="1:7" x14ac:dyDescent="0.3">
      <c r="A7633" s="24">
        <v>42511</v>
      </c>
      <c r="B7633" s="66">
        <v>1284.4573700000001</v>
      </c>
      <c r="C7633" s="66">
        <v>1136</v>
      </c>
      <c r="D7633" s="70">
        <v>0</v>
      </c>
      <c r="E7633" s="111">
        <f t="shared" si="123"/>
        <v>138710</v>
      </c>
      <c r="F7633" s="69">
        <v>6.237488643916482E-2</v>
      </c>
      <c r="G7633" s="69">
        <v>7.6249999999999998E-2</v>
      </c>
    </row>
    <row r="7634" spans="1:7" x14ac:dyDescent="0.3">
      <c r="A7634" s="24">
        <v>42512</v>
      </c>
      <c r="B7634" s="66">
        <v>1284.4573700000001</v>
      </c>
      <c r="C7634" s="66">
        <v>1136</v>
      </c>
      <c r="D7634" s="70">
        <v>0</v>
      </c>
      <c r="E7634" s="111">
        <f t="shared" si="123"/>
        <v>138710</v>
      </c>
      <c r="F7634" s="69">
        <v>6.237488643916482E-2</v>
      </c>
      <c r="G7634" s="69">
        <v>7.6249999999999998E-2</v>
      </c>
    </row>
    <row r="7635" spans="1:7" x14ac:dyDescent="0.3">
      <c r="A7635" s="24">
        <v>42513</v>
      </c>
      <c r="B7635" s="66">
        <v>1284.4573700000001</v>
      </c>
      <c r="C7635" s="66">
        <v>1136</v>
      </c>
      <c r="D7635" s="70">
        <v>0</v>
      </c>
      <c r="E7635" s="111">
        <f t="shared" si="123"/>
        <v>138710</v>
      </c>
      <c r="F7635" s="69">
        <v>6.237488643916482E-2</v>
      </c>
      <c r="G7635" s="69">
        <v>7.6249999999999998E-2</v>
      </c>
    </row>
    <row r="7636" spans="1:7" x14ac:dyDescent="0.3">
      <c r="A7636" s="24">
        <v>42514</v>
      </c>
      <c r="B7636" s="66">
        <v>1284.4573700000001</v>
      </c>
      <c r="C7636" s="66">
        <v>1136</v>
      </c>
      <c r="D7636" s="70">
        <v>0</v>
      </c>
      <c r="E7636" s="111">
        <f t="shared" si="123"/>
        <v>138710</v>
      </c>
      <c r="F7636" s="69">
        <v>6.237488643916482E-2</v>
      </c>
      <c r="G7636" s="69">
        <v>7.6323387872954757E-2</v>
      </c>
    </row>
    <row r="7637" spans="1:7" x14ac:dyDescent="0.3">
      <c r="A7637" s="24">
        <v>42515</v>
      </c>
      <c r="B7637" s="66">
        <v>1284.4573700000001</v>
      </c>
      <c r="C7637" s="66">
        <v>1137</v>
      </c>
      <c r="D7637" s="70">
        <v>0</v>
      </c>
      <c r="E7637" s="111">
        <f t="shared" si="123"/>
        <v>138710</v>
      </c>
      <c r="F7637" s="69">
        <v>6.237488643916482E-2</v>
      </c>
      <c r="G7637" s="69">
        <v>7.66183574879227E-2</v>
      </c>
    </row>
    <row r="7638" spans="1:7" x14ac:dyDescent="0.3">
      <c r="A7638" s="24">
        <v>42516</v>
      </c>
      <c r="B7638" s="66">
        <v>1284.4573700000001</v>
      </c>
      <c r="C7638" s="66">
        <v>1130.0999999999999</v>
      </c>
      <c r="D7638" s="70">
        <v>0</v>
      </c>
      <c r="E7638" s="111">
        <f t="shared" si="123"/>
        <v>138710</v>
      </c>
      <c r="F7638" s="69">
        <v>6.237488643916482E-2</v>
      </c>
      <c r="G7638" s="69">
        <v>7.7365853658536585E-2</v>
      </c>
    </row>
    <row r="7639" spans="1:7" x14ac:dyDescent="0.3">
      <c r="A7639" s="24">
        <v>42517</v>
      </c>
      <c r="B7639" s="66">
        <v>1284.4573700000001</v>
      </c>
      <c r="C7639" s="66">
        <v>1135</v>
      </c>
      <c r="D7639" s="70">
        <v>0</v>
      </c>
      <c r="E7639" s="111">
        <f t="shared" si="123"/>
        <v>138710</v>
      </c>
      <c r="F7639" s="69">
        <v>6.237488643916482E-2</v>
      </c>
      <c r="G7639" s="69">
        <v>7.6990291262135926E-2</v>
      </c>
    </row>
    <row r="7640" spans="1:7" x14ac:dyDescent="0.3">
      <c r="A7640" s="24">
        <v>42518</v>
      </c>
      <c r="B7640" s="66">
        <v>1284.4573700000001</v>
      </c>
      <c r="C7640" s="66">
        <v>1135</v>
      </c>
      <c r="D7640" s="70">
        <v>0</v>
      </c>
      <c r="E7640" s="111">
        <f t="shared" si="123"/>
        <v>138710</v>
      </c>
      <c r="F7640" s="69">
        <v>6.237488643916482E-2</v>
      </c>
      <c r="G7640" s="69">
        <v>7.6990291262135926E-2</v>
      </c>
    </row>
    <row r="7641" spans="1:7" x14ac:dyDescent="0.3">
      <c r="A7641" s="24">
        <v>42519</v>
      </c>
      <c r="B7641" s="66">
        <v>1284.4573700000001</v>
      </c>
      <c r="C7641" s="66">
        <v>1135</v>
      </c>
      <c r="D7641" s="70">
        <v>0</v>
      </c>
      <c r="E7641" s="111">
        <f t="shared" si="123"/>
        <v>138710</v>
      </c>
      <c r="F7641" s="69">
        <v>6.237488643916482E-2</v>
      </c>
      <c r="G7641" s="69">
        <v>7.6990291262135926E-2</v>
      </c>
    </row>
    <row r="7642" spans="1:7" x14ac:dyDescent="0.3">
      <c r="A7642" s="24">
        <v>42520</v>
      </c>
      <c r="B7642" s="66">
        <v>1284.4573700000001</v>
      </c>
      <c r="C7642" s="66">
        <v>1135</v>
      </c>
      <c r="D7642" s="70">
        <v>0</v>
      </c>
      <c r="E7642" s="111">
        <f t="shared" si="123"/>
        <v>138710</v>
      </c>
      <c r="F7642" s="69">
        <v>6.237488643916482E-2</v>
      </c>
      <c r="G7642" s="69">
        <v>7.6990291262135926E-2</v>
      </c>
    </row>
    <row r="7643" spans="1:7" x14ac:dyDescent="0.3">
      <c r="A7643" s="24">
        <v>42521</v>
      </c>
      <c r="B7643" s="66">
        <v>1284.4573700000001</v>
      </c>
      <c r="C7643" s="66">
        <v>1135</v>
      </c>
      <c r="D7643" s="70">
        <v>0</v>
      </c>
      <c r="E7643" s="111">
        <f t="shared" si="123"/>
        <v>138710</v>
      </c>
      <c r="F7643" s="69">
        <v>6.237488643916482E-2</v>
      </c>
      <c r="G7643" s="69">
        <v>7.6990291262135926E-2</v>
      </c>
    </row>
    <row r="7644" spans="1:7" x14ac:dyDescent="0.3">
      <c r="A7644" s="24">
        <v>42522</v>
      </c>
      <c r="B7644" s="66">
        <v>1284.4573700000001</v>
      </c>
      <c r="C7644" s="66">
        <v>1136</v>
      </c>
      <c r="D7644" s="70">
        <v>0</v>
      </c>
      <c r="E7644" s="111">
        <f t="shared" si="123"/>
        <v>138710</v>
      </c>
      <c r="F7644" s="69">
        <v>6.237488643916482E-2</v>
      </c>
      <c r="G7644" s="69">
        <v>7.6990291262135926E-2</v>
      </c>
    </row>
    <row r="7645" spans="1:7" x14ac:dyDescent="0.3">
      <c r="A7645" s="24">
        <v>42523</v>
      </c>
      <c r="B7645" s="66">
        <v>1284.4573700000001</v>
      </c>
      <c r="C7645" s="66">
        <v>1136</v>
      </c>
      <c r="D7645" s="70">
        <v>0</v>
      </c>
      <c r="E7645" s="111">
        <f t="shared" si="123"/>
        <v>138710</v>
      </c>
      <c r="F7645" s="69">
        <v>6.237488643916482E-2</v>
      </c>
      <c r="G7645" s="69">
        <v>7.6990291262135926E-2</v>
      </c>
    </row>
    <row r="7646" spans="1:7" x14ac:dyDescent="0.3">
      <c r="A7646" s="24">
        <v>42524</v>
      </c>
      <c r="B7646" s="66">
        <v>1284.4573700000001</v>
      </c>
      <c r="C7646" s="66">
        <v>1140</v>
      </c>
      <c r="D7646" s="70">
        <v>0</v>
      </c>
      <c r="E7646" s="111">
        <f t="shared" si="123"/>
        <v>138710</v>
      </c>
      <c r="F7646" s="69">
        <v>6.237488643916482E-2</v>
      </c>
      <c r="G7646" s="69">
        <v>7.8128078817733981E-2</v>
      </c>
    </row>
    <row r="7647" spans="1:7" x14ac:dyDescent="0.3">
      <c r="A7647" s="24">
        <v>42525</v>
      </c>
      <c r="B7647" s="66">
        <v>1284.4573700000001</v>
      </c>
      <c r="C7647" s="66">
        <v>1140</v>
      </c>
      <c r="D7647" s="70">
        <v>0</v>
      </c>
      <c r="E7647" s="111">
        <f t="shared" si="123"/>
        <v>138710</v>
      </c>
      <c r="F7647" s="69">
        <v>6.237488643916482E-2</v>
      </c>
      <c r="G7647" s="69">
        <v>7.8128078817733981E-2</v>
      </c>
    </row>
    <row r="7648" spans="1:7" x14ac:dyDescent="0.3">
      <c r="A7648" s="24">
        <v>42526</v>
      </c>
      <c r="B7648" s="66">
        <v>1284.4573700000001</v>
      </c>
      <c r="C7648" s="66">
        <v>1140</v>
      </c>
      <c r="D7648" s="70">
        <v>0</v>
      </c>
      <c r="E7648" s="111">
        <f t="shared" si="123"/>
        <v>138710</v>
      </c>
      <c r="F7648" s="69">
        <v>6.237488643916482E-2</v>
      </c>
      <c r="G7648" s="69">
        <v>7.8128078817733981E-2</v>
      </c>
    </row>
    <row r="7649" spans="1:7" x14ac:dyDescent="0.3">
      <c r="A7649" s="24">
        <v>42527</v>
      </c>
      <c r="B7649" s="66">
        <v>1284.4573700000001</v>
      </c>
      <c r="C7649" s="66">
        <v>1140</v>
      </c>
      <c r="D7649" s="70">
        <v>0</v>
      </c>
      <c r="E7649" s="111">
        <f t="shared" si="123"/>
        <v>138710</v>
      </c>
      <c r="F7649" s="69">
        <v>6.3630484217553671E-2</v>
      </c>
      <c r="G7649" s="69">
        <v>7.8128078817733981E-2</v>
      </c>
    </row>
    <row r="7650" spans="1:7" x14ac:dyDescent="0.3">
      <c r="A7650" s="24">
        <v>42528</v>
      </c>
      <c r="B7650" s="66">
        <v>1284.4573700000001</v>
      </c>
      <c r="C7650" s="66">
        <v>1140</v>
      </c>
      <c r="D7650" s="70">
        <v>0</v>
      </c>
      <c r="E7650" s="111">
        <f t="shared" si="123"/>
        <v>138710</v>
      </c>
      <c r="F7650" s="69">
        <v>6.3630484217553671E-2</v>
      </c>
      <c r="G7650" s="69">
        <v>7.8128078817733981E-2</v>
      </c>
    </row>
    <row r="7651" spans="1:7" x14ac:dyDescent="0.3">
      <c r="A7651" s="24">
        <v>42529</v>
      </c>
      <c r="B7651" s="66">
        <v>1284.4573700000001</v>
      </c>
      <c r="C7651" s="66">
        <v>1140</v>
      </c>
      <c r="D7651" s="70">
        <v>0</v>
      </c>
      <c r="E7651" s="111">
        <f t="shared" si="123"/>
        <v>138710</v>
      </c>
      <c r="F7651" s="69">
        <v>6.3630484217553671E-2</v>
      </c>
      <c r="G7651" s="69">
        <v>7.8128078817733981E-2</v>
      </c>
    </row>
    <row r="7652" spans="1:7" x14ac:dyDescent="0.3">
      <c r="A7652" s="24">
        <v>42530</v>
      </c>
      <c r="B7652" s="66">
        <v>1284.4573700000001</v>
      </c>
      <c r="C7652" s="66">
        <v>1140</v>
      </c>
      <c r="D7652" s="70">
        <v>0</v>
      </c>
      <c r="E7652" s="111">
        <f t="shared" si="123"/>
        <v>138710</v>
      </c>
      <c r="F7652" s="69">
        <v>6.3630484217553671E-2</v>
      </c>
      <c r="G7652" s="69">
        <v>7.7365853658536585E-2</v>
      </c>
    </row>
    <row r="7653" spans="1:7" x14ac:dyDescent="0.3">
      <c r="A7653" s="24">
        <v>42531</v>
      </c>
      <c r="B7653" s="66">
        <v>1284.4573700000001</v>
      </c>
      <c r="C7653" s="66">
        <v>1140</v>
      </c>
      <c r="D7653" s="70">
        <v>0</v>
      </c>
      <c r="E7653" s="111">
        <f t="shared" si="123"/>
        <v>138710</v>
      </c>
      <c r="F7653" s="69">
        <v>6.3630484217553671E-2</v>
      </c>
      <c r="G7653" s="69">
        <v>7.6997766773473142E-2</v>
      </c>
    </row>
    <row r="7654" spans="1:7" x14ac:dyDescent="0.3">
      <c r="A7654" s="24">
        <v>42532</v>
      </c>
      <c r="B7654" s="66">
        <v>1284.4573700000001</v>
      </c>
      <c r="C7654" s="66">
        <v>1140</v>
      </c>
      <c r="D7654" s="70">
        <v>0</v>
      </c>
      <c r="E7654" s="111">
        <f t="shared" si="123"/>
        <v>138710</v>
      </c>
      <c r="F7654" s="69">
        <v>6.3630484217553671E-2</v>
      </c>
      <c r="G7654" s="69">
        <v>7.6997766773473142E-2</v>
      </c>
    </row>
    <row r="7655" spans="1:7" x14ac:dyDescent="0.3">
      <c r="A7655" s="24">
        <v>42533</v>
      </c>
      <c r="B7655" s="66">
        <v>1284.4573700000001</v>
      </c>
      <c r="C7655" s="66">
        <v>1140</v>
      </c>
      <c r="D7655" s="70">
        <v>0</v>
      </c>
      <c r="E7655" s="111">
        <f t="shared" si="123"/>
        <v>138710</v>
      </c>
      <c r="F7655" s="69">
        <v>6.3630484217553671E-2</v>
      </c>
      <c r="G7655" s="69">
        <v>7.6997766773473142E-2</v>
      </c>
    </row>
    <row r="7656" spans="1:7" x14ac:dyDescent="0.3">
      <c r="A7656" s="24">
        <v>42534</v>
      </c>
      <c r="B7656" s="66">
        <v>1284.4573700000001</v>
      </c>
      <c r="C7656" s="66">
        <v>1140</v>
      </c>
      <c r="D7656" s="70">
        <v>0</v>
      </c>
      <c r="E7656" s="111">
        <f t="shared" si="123"/>
        <v>138710</v>
      </c>
      <c r="F7656" s="69">
        <v>6.3630484217553671E-2</v>
      </c>
      <c r="G7656" s="69">
        <v>7.6990291262135926E-2</v>
      </c>
    </row>
    <row r="7657" spans="1:7" x14ac:dyDescent="0.3">
      <c r="A7657" s="24">
        <v>42535</v>
      </c>
      <c r="B7657" s="66">
        <v>1284.4573700000001</v>
      </c>
      <c r="C7657" s="66">
        <v>1140</v>
      </c>
      <c r="D7657" s="70">
        <v>0</v>
      </c>
      <c r="E7657" s="111">
        <f t="shared" si="123"/>
        <v>138710</v>
      </c>
      <c r="F7657" s="69">
        <v>6.3630484217553671E-2</v>
      </c>
      <c r="G7657" s="69">
        <v>7.6990291262135926E-2</v>
      </c>
    </row>
    <row r="7658" spans="1:7" x14ac:dyDescent="0.3">
      <c r="A7658" s="24">
        <v>42536</v>
      </c>
      <c r="B7658" s="66">
        <v>1284.4573700000001</v>
      </c>
      <c r="C7658" s="66">
        <v>1140</v>
      </c>
      <c r="D7658" s="70">
        <v>0</v>
      </c>
      <c r="E7658" s="111">
        <f t="shared" si="123"/>
        <v>138710</v>
      </c>
      <c r="F7658" s="69">
        <v>6.3630484217553671E-2</v>
      </c>
      <c r="G7658" s="69">
        <v>7.6990291262135926E-2</v>
      </c>
    </row>
    <row r="7659" spans="1:7" x14ac:dyDescent="0.3">
      <c r="A7659" s="24">
        <v>42537</v>
      </c>
      <c r="B7659" s="66">
        <v>1284.4573700000001</v>
      </c>
      <c r="C7659" s="66">
        <v>1140</v>
      </c>
      <c r="D7659" s="70">
        <v>0</v>
      </c>
      <c r="E7659" s="111">
        <f t="shared" si="123"/>
        <v>138710</v>
      </c>
      <c r="F7659" s="69">
        <v>6.3630484217553671E-2</v>
      </c>
      <c r="G7659" s="69">
        <v>7.6990291262135926E-2</v>
      </c>
    </row>
    <row r="7660" spans="1:7" x14ac:dyDescent="0.3">
      <c r="A7660" s="24">
        <v>42538</v>
      </c>
      <c r="B7660" s="66">
        <v>1284.4573700000001</v>
      </c>
      <c r="C7660" s="66">
        <v>1140</v>
      </c>
      <c r="D7660" s="70">
        <v>0</v>
      </c>
      <c r="E7660" s="111">
        <f t="shared" si="123"/>
        <v>138710</v>
      </c>
      <c r="F7660" s="69">
        <v>5.8414870757098447E-2</v>
      </c>
      <c r="G7660" s="69">
        <v>7.0679611650485433E-2</v>
      </c>
    </row>
    <row r="7661" spans="1:7" x14ac:dyDescent="0.3">
      <c r="A7661" s="24">
        <v>42539</v>
      </c>
      <c r="B7661" s="66">
        <v>1284.4573700000001</v>
      </c>
      <c r="C7661" s="66">
        <v>1140</v>
      </c>
      <c r="D7661" s="70">
        <v>0</v>
      </c>
      <c r="E7661" s="111">
        <f t="shared" si="123"/>
        <v>138710</v>
      </c>
      <c r="F7661" s="69">
        <v>5.8414870757098447E-2</v>
      </c>
      <c r="G7661" s="69">
        <v>7.0679611650485433E-2</v>
      </c>
    </row>
    <row r="7662" spans="1:7" x14ac:dyDescent="0.3">
      <c r="A7662" s="24">
        <v>42540</v>
      </c>
      <c r="B7662" s="66">
        <v>1284.4573700000001</v>
      </c>
      <c r="C7662" s="66">
        <v>1140</v>
      </c>
      <c r="D7662" s="70">
        <v>0</v>
      </c>
      <c r="E7662" s="111">
        <f t="shared" si="123"/>
        <v>138710</v>
      </c>
      <c r="F7662" s="69">
        <v>5.8414870757098447E-2</v>
      </c>
      <c r="G7662" s="69">
        <v>7.0679611650485433E-2</v>
      </c>
    </row>
    <row r="7663" spans="1:7" x14ac:dyDescent="0.3">
      <c r="A7663" s="24">
        <v>42541</v>
      </c>
      <c r="B7663" s="66">
        <v>1284.4573700000001</v>
      </c>
      <c r="C7663" s="66">
        <v>1139.999</v>
      </c>
      <c r="D7663" s="70">
        <v>0</v>
      </c>
      <c r="E7663" s="111">
        <f t="shared" si="123"/>
        <v>138710</v>
      </c>
      <c r="F7663" s="69">
        <v>5.8414870757098447E-2</v>
      </c>
      <c r="G7663" s="69">
        <v>7.0679611650485433E-2</v>
      </c>
    </row>
    <row r="7664" spans="1:7" x14ac:dyDescent="0.3">
      <c r="A7664" s="24">
        <v>42542</v>
      </c>
      <c r="B7664" s="66">
        <v>1284.4573700000001</v>
      </c>
      <c r="C7664" s="66">
        <v>1139.999</v>
      </c>
      <c r="D7664" s="70">
        <v>0</v>
      </c>
      <c r="E7664" s="111">
        <f t="shared" si="123"/>
        <v>138710</v>
      </c>
      <c r="F7664" s="69">
        <v>5.8414870757098447E-2</v>
      </c>
      <c r="G7664" s="69">
        <v>7.0713938805245263E-2</v>
      </c>
    </row>
    <row r="7665" spans="1:7" x14ac:dyDescent="0.3">
      <c r="A7665" s="24">
        <v>42543</v>
      </c>
      <c r="B7665" s="66">
        <v>1284.4573700000001</v>
      </c>
      <c r="C7665" s="66">
        <v>1140</v>
      </c>
      <c r="D7665" s="70">
        <v>0</v>
      </c>
      <c r="E7665" s="111">
        <f t="shared" si="123"/>
        <v>138710</v>
      </c>
      <c r="F7665" s="69">
        <v>5.8414870757098447E-2</v>
      </c>
      <c r="G7665" s="69">
        <v>7.0713938805245263E-2</v>
      </c>
    </row>
    <row r="7666" spans="1:7" x14ac:dyDescent="0.3">
      <c r="A7666" s="24">
        <v>42544</v>
      </c>
      <c r="B7666" s="66">
        <v>1284.4573700000001</v>
      </c>
      <c r="C7666" s="66">
        <v>1139.9000000000001</v>
      </c>
      <c r="D7666" s="70">
        <v>7.5</v>
      </c>
      <c r="E7666" s="111">
        <f t="shared" si="123"/>
        <v>138710</v>
      </c>
      <c r="F7666" s="69">
        <v>6.4432886288392929E-2</v>
      </c>
      <c r="G7666" s="69">
        <v>7.7999028654686733E-2</v>
      </c>
    </row>
    <row r="7667" spans="1:7" x14ac:dyDescent="0.3">
      <c r="A7667" s="24">
        <v>42545</v>
      </c>
      <c r="B7667" s="66">
        <v>1284.4573700000001</v>
      </c>
      <c r="C7667" s="66">
        <v>1139.99</v>
      </c>
      <c r="D7667" s="70">
        <v>0</v>
      </c>
      <c r="E7667" s="111">
        <f t="shared" si="123"/>
        <v>138710</v>
      </c>
      <c r="F7667" s="69">
        <v>6.4432886288392929E-2</v>
      </c>
      <c r="G7667" s="69">
        <v>7.8036929057337223E-2</v>
      </c>
    </row>
    <row r="7668" spans="1:7" x14ac:dyDescent="0.3">
      <c r="A7668" s="24">
        <v>42546</v>
      </c>
      <c r="B7668" s="66">
        <v>1284.4573700000001</v>
      </c>
      <c r="C7668" s="66">
        <v>1139.99</v>
      </c>
      <c r="D7668" s="70">
        <v>0</v>
      </c>
      <c r="E7668" s="111">
        <f t="shared" si="123"/>
        <v>138710</v>
      </c>
      <c r="F7668" s="69">
        <v>6.4432886288392929E-2</v>
      </c>
      <c r="G7668" s="69">
        <v>7.8036929057337223E-2</v>
      </c>
    </row>
    <row r="7669" spans="1:7" x14ac:dyDescent="0.3">
      <c r="A7669" s="24">
        <v>42547</v>
      </c>
      <c r="B7669" s="66">
        <v>1284.4573700000001</v>
      </c>
      <c r="C7669" s="66">
        <v>1139.99</v>
      </c>
      <c r="D7669" s="70">
        <v>0</v>
      </c>
      <c r="E7669" s="111">
        <f t="shared" si="123"/>
        <v>138710</v>
      </c>
      <c r="F7669" s="69">
        <v>6.4432886288392929E-2</v>
      </c>
      <c r="G7669" s="69">
        <v>7.8036929057337223E-2</v>
      </c>
    </row>
    <row r="7670" spans="1:7" x14ac:dyDescent="0.3">
      <c r="A7670" s="24">
        <v>42548</v>
      </c>
      <c r="B7670" s="66">
        <v>1284.4573700000001</v>
      </c>
      <c r="C7670" s="66">
        <v>1139.99</v>
      </c>
      <c r="D7670" s="70">
        <v>0</v>
      </c>
      <c r="E7670" s="111">
        <f t="shared" si="123"/>
        <v>138710</v>
      </c>
      <c r="F7670" s="69">
        <v>6.4432886288392929E-2</v>
      </c>
      <c r="G7670" s="69">
        <v>7.8036929057337223E-2</v>
      </c>
    </row>
    <row r="7671" spans="1:7" x14ac:dyDescent="0.3">
      <c r="A7671" s="24">
        <v>42549</v>
      </c>
      <c r="B7671" s="66">
        <v>1284.4573700000001</v>
      </c>
      <c r="C7671" s="66">
        <v>1139.99</v>
      </c>
      <c r="D7671" s="70">
        <v>0</v>
      </c>
      <c r="E7671" s="111">
        <f t="shared" si="123"/>
        <v>138710</v>
      </c>
      <c r="F7671" s="69">
        <v>6.4432886288392929E-2</v>
      </c>
      <c r="G7671" s="69">
        <v>7.8341463414634147E-2</v>
      </c>
    </row>
    <row r="7672" spans="1:7" x14ac:dyDescent="0.3">
      <c r="A7672" s="24">
        <v>42550</v>
      </c>
      <c r="B7672" s="66">
        <v>1284.4573700000001</v>
      </c>
      <c r="C7672" s="66">
        <v>1140</v>
      </c>
      <c r="D7672" s="70">
        <v>0</v>
      </c>
      <c r="E7672" s="111">
        <f t="shared" si="123"/>
        <v>138710</v>
      </c>
      <c r="F7672" s="69">
        <v>6.4432886288392929E-2</v>
      </c>
      <c r="G7672" s="69">
        <v>7.8379697413372376E-2</v>
      </c>
    </row>
    <row r="7673" spans="1:7" x14ac:dyDescent="0.3">
      <c r="A7673" s="24">
        <v>42551</v>
      </c>
      <c r="B7673" s="66">
        <v>1284.4573700000001</v>
      </c>
      <c r="C7673" s="66">
        <v>1140</v>
      </c>
      <c r="D7673" s="70">
        <v>0</v>
      </c>
      <c r="E7673" s="111">
        <f t="shared" si="123"/>
        <v>138710</v>
      </c>
      <c r="F7673" s="69">
        <v>6.4432886288392929E-2</v>
      </c>
      <c r="G7673" s="69">
        <v>7.8379697413372376E-2</v>
      </c>
    </row>
    <row r="7674" spans="1:7" x14ac:dyDescent="0.3">
      <c r="A7674" s="24">
        <v>42552</v>
      </c>
      <c r="B7674" s="66">
        <v>1284.4573700000001</v>
      </c>
      <c r="C7674" s="66">
        <v>1139</v>
      </c>
      <c r="D7674" s="70">
        <v>0</v>
      </c>
      <c r="E7674" s="111">
        <f t="shared" si="123"/>
        <v>138710</v>
      </c>
      <c r="F7674" s="69">
        <v>6.4432886288392929E-2</v>
      </c>
      <c r="G7674" s="69">
        <v>7.8379697413372376E-2</v>
      </c>
    </row>
    <row r="7675" spans="1:7" x14ac:dyDescent="0.3">
      <c r="A7675" s="24">
        <v>42553</v>
      </c>
      <c r="B7675" s="66">
        <v>1284.4573700000001</v>
      </c>
      <c r="C7675" s="66">
        <v>1139</v>
      </c>
      <c r="D7675" s="70">
        <v>0</v>
      </c>
      <c r="E7675" s="111">
        <f t="shared" si="123"/>
        <v>138710</v>
      </c>
      <c r="F7675" s="69">
        <v>6.4432886288392929E-2</v>
      </c>
      <c r="G7675" s="69">
        <v>7.8379697413372376E-2</v>
      </c>
    </row>
    <row r="7676" spans="1:7" x14ac:dyDescent="0.3">
      <c r="A7676" s="24">
        <v>42554</v>
      </c>
      <c r="B7676" s="66">
        <v>1284.4573700000001</v>
      </c>
      <c r="C7676" s="66">
        <v>1139</v>
      </c>
      <c r="D7676" s="70">
        <v>0</v>
      </c>
      <c r="E7676" s="111">
        <f t="shared" si="123"/>
        <v>138710</v>
      </c>
      <c r="F7676" s="69">
        <v>6.4432886288392929E-2</v>
      </c>
      <c r="G7676" s="69">
        <v>7.8379697413372376E-2</v>
      </c>
    </row>
    <row r="7677" spans="1:7" x14ac:dyDescent="0.3">
      <c r="A7677" s="24">
        <v>42555</v>
      </c>
      <c r="B7677" s="66">
        <v>1284.4573700000001</v>
      </c>
      <c r="C7677" s="66">
        <v>1139</v>
      </c>
      <c r="D7677" s="70">
        <v>0</v>
      </c>
      <c r="E7677" s="111">
        <f t="shared" si="123"/>
        <v>138710</v>
      </c>
      <c r="F7677" s="69">
        <v>6.4432886288392929E-2</v>
      </c>
      <c r="G7677" s="69">
        <v>7.8379697413372376E-2</v>
      </c>
    </row>
    <row r="7678" spans="1:7" x14ac:dyDescent="0.3">
      <c r="A7678" s="24">
        <v>42556</v>
      </c>
      <c r="B7678" s="66">
        <v>1284.4573700000001</v>
      </c>
      <c r="C7678" s="66">
        <v>1139</v>
      </c>
      <c r="D7678" s="70">
        <v>0</v>
      </c>
      <c r="E7678" s="111">
        <f t="shared" si="123"/>
        <v>138710</v>
      </c>
      <c r="F7678" s="69">
        <v>6.4432886288392929E-2</v>
      </c>
      <c r="G7678" s="69">
        <v>7.9113300492610839E-2</v>
      </c>
    </row>
    <row r="7679" spans="1:7" x14ac:dyDescent="0.3">
      <c r="A7679" s="24">
        <v>42557</v>
      </c>
      <c r="B7679" s="66">
        <v>1284.4573700000001</v>
      </c>
      <c r="C7679" s="66">
        <v>1138</v>
      </c>
      <c r="D7679" s="70">
        <v>0</v>
      </c>
      <c r="E7679" s="111">
        <f t="shared" si="123"/>
        <v>138710</v>
      </c>
      <c r="F7679" s="69">
        <v>6.4432886288392929E-2</v>
      </c>
      <c r="G7679" s="69">
        <v>7.9113300492610839E-2</v>
      </c>
    </row>
    <row r="7680" spans="1:7" x14ac:dyDescent="0.3">
      <c r="A7680" s="24">
        <v>42558</v>
      </c>
      <c r="B7680" s="66">
        <v>1291.4549999999999</v>
      </c>
      <c r="C7680" s="66">
        <v>1138</v>
      </c>
      <c r="D7680" s="70">
        <v>0</v>
      </c>
      <c r="E7680" s="111">
        <f t="shared" si="123"/>
        <v>138710</v>
      </c>
      <c r="F7680" s="69">
        <v>6.4432886288392929E-2</v>
      </c>
      <c r="G7680" s="69">
        <v>7.9504950495049506E-2</v>
      </c>
    </row>
    <row r="7681" spans="1:7" x14ac:dyDescent="0.3">
      <c r="A7681" s="24">
        <v>42559</v>
      </c>
      <c r="B7681" s="66">
        <v>1291.4549999999999</v>
      </c>
      <c r="C7681" s="66">
        <v>1139</v>
      </c>
      <c r="D7681" s="70">
        <v>0</v>
      </c>
      <c r="E7681" s="111">
        <f t="shared" si="123"/>
        <v>138710</v>
      </c>
      <c r="F7681" s="69">
        <v>6.4432886288392929E-2</v>
      </c>
      <c r="G7681" s="69">
        <v>7.9504950495049506E-2</v>
      </c>
    </row>
    <row r="7682" spans="1:7" x14ac:dyDescent="0.3">
      <c r="A7682" s="24">
        <v>42560</v>
      </c>
      <c r="B7682" s="66">
        <v>1291.4549999999999</v>
      </c>
      <c r="C7682" s="66">
        <v>1139</v>
      </c>
      <c r="D7682" s="70">
        <v>0</v>
      </c>
      <c r="E7682" s="111">
        <f t="shared" si="123"/>
        <v>138710</v>
      </c>
      <c r="F7682" s="69">
        <v>6.4432886288392929E-2</v>
      </c>
      <c r="G7682" s="69">
        <v>7.9504950495049506E-2</v>
      </c>
    </row>
    <row r="7683" spans="1:7" x14ac:dyDescent="0.3">
      <c r="A7683" s="24">
        <v>42561</v>
      </c>
      <c r="B7683" s="66">
        <v>1291.4549999999999</v>
      </c>
      <c r="C7683" s="66">
        <v>1139</v>
      </c>
      <c r="D7683" s="70">
        <v>0</v>
      </c>
      <c r="E7683" s="111">
        <f t="shared" si="123"/>
        <v>138710</v>
      </c>
      <c r="F7683" s="69">
        <v>6.4432886288392929E-2</v>
      </c>
      <c r="G7683" s="69">
        <v>7.9504950495049506E-2</v>
      </c>
    </row>
    <row r="7684" spans="1:7" x14ac:dyDescent="0.3">
      <c r="A7684" s="24">
        <v>42562</v>
      </c>
      <c r="B7684" s="66">
        <v>1291.4549999999999</v>
      </c>
      <c r="C7684" s="66">
        <v>1138.9000000000001</v>
      </c>
      <c r="D7684" s="70">
        <v>0</v>
      </c>
      <c r="E7684" s="111">
        <f t="shared" si="123"/>
        <v>138710</v>
      </c>
      <c r="F7684" s="69">
        <v>6.4432886288392929E-2</v>
      </c>
      <c r="G7684" s="69">
        <v>7.9504950495049506E-2</v>
      </c>
    </row>
    <row r="7685" spans="1:7" x14ac:dyDescent="0.3">
      <c r="A7685" s="24">
        <v>42563</v>
      </c>
      <c r="B7685" s="66">
        <v>1291.4549999999999</v>
      </c>
      <c r="C7685" s="66">
        <v>1138.5</v>
      </c>
      <c r="D7685" s="70">
        <v>0</v>
      </c>
      <c r="E7685" s="111">
        <f t="shared" si="123"/>
        <v>138710</v>
      </c>
      <c r="F7685" s="69">
        <v>6.4432886288392929E-2</v>
      </c>
      <c r="G7685" s="69">
        <v>7.9504950495049506E-2</v>
      </c>
    </row>
    <row r="7686" spans="1:7" x14ac:dyDescent="0.3">
      <c r="A7686" s="24">
        <v>42564</v>
      </c>
      <c r="B7686" s="66">
        <v>1291.4549999999999</v>
      </c>
      <c r="C7686" s="66">
        <v>1138.7</v>
      </c>
      <c r="D7686" s="70">
        <v>0</v>
      </c>
      <c r="E7686" s="111">
        <f t="shared" si="123"/>
        <v>138710</v>
      </c>
      <c r="F7686" s="69">
        <v>6.4432886288392929E-2</v>
      </c>
      <c r="G7686" s="69">
        <v>7.9504950495049506E-2</v>
      </c>
    </row>
    <row r="7687" spans="1:7" x14ac:dyDescent="0.3">
      <c r="A7687" s="24">
        <v>42565</v>
      </c>
      <c r="B7687" s="66">
        <v>1291.4549999999999</v>
      </c>
      <c r="C7687" s="66">
        <v>1138.7</v>
      </c>
      <c r="D7687" s="70">
        <v>0</v>
      </c>
      <c r="E7687" s="111">
        <f t="shared" si="123"/>
        <v>138710</v>
      </c>
      <c r="F7687" s="69">
        <v>6.4432886288392929E-2</v>
      </c>
      <c r="G7687" s="69">
        <v>7.9504950495049506E-2</v>
      </c>
    </row>
    <row r="7688" spans="1:7" x14ac:dyDescent="0.3">
      <c r="A7688" s="24">
        <v>42566</v>
      </c>
      <c r="B7688" s="66">
        <v>1291.4549999999999</v>
      </c>
      <c r="C7688" s="66">
        <v>1138.9000000000001</v>
      </c>
      <c r="D7688" s="70">
        <v>0</v>
      </c>
      <c r="E7688" s="111">
        <f t="shared" si="123"/>
        <v>138710</v>
      </c>
      <c r="F7688" s="69">
        <v>6.4432886288392929E-2</v>
      </c>
      <c r="G7688" s="69">
        <v>8.0299999999999996E-2</v>
      </c>
    </row>
    <row r="7689" spans="1:7" x14ac:dyDescent="0.3">
      <c r="A7689" s="24">
        <v>42567</v>
      </c>
      <c r="B7689" s="66">
        <v>1291.4549999999999</v>
      </c>
      <c r="C7689" s="66">
        <v>1138.9000000000001</v>
      </c>
      <c r="D7689" s="70">
        <v>0</v>
      </c>
      <c r="E7689" s="111">
        <f t="shared" ref="E7689:E7752" si="124">+E7688</f>
        <v>138710</v>
      </c>
      <c r="F7689" s="69">
        <v>6.4432886288392929E-2</v>
      </c>
      <c r="G7689" s="69">
        <v>8.0299999999999996E-2</v>
      </c>
    </row>
    <row r="7690" spans="1:7" x14ac:dyDescent="0.3">
      <c r="A7690" s="24">
        <v>42568</v>
      </c>
      <c r="B7690" s="66">
        <v>1291.4549999999999</v>
      </c>
      <c r="C7690" s="66">
        <v>1138.9000000000001</v>
      </c>
      <c r="D7690" s="70">
        <v>0</v>
      </c>
      <c r="E7690" s="111">
        <f t="shared" si="124"/>
        <v>138710</v>
      </c>
      <c r="F7690" s="69">
        <v>6.4432886288392929E-2</v>
      </c>
      <c r="G7690" s="69">
        <v>8.0299999999999996E-2</v>
      </c>
    </row>
    <row r="7691" spans="1:7" x14ac:dyDescent="0.3">
      <c r="A7691" s="24">
        <v>42569</v>
      </c>
      <c r="B7691" s="66">
        <v>1291.4549999999999</v>
      </c>
      <c r="C7691" s="66">
        <v>1138.9000000000001</v>
      </c>
      <c r="D7691" s="70">
        <v>0</v>
      </c>
      <c r="E7691" s="111">
        <f t="shared" si="124"/>
        <v>138710</v>
      </c>
      <c r="F7691" s="69">
        <v>6.4432886288392929E-2</v>
      </c>
      <c r="G7691" s="69">
        <v>8.0299999999999996E-2</v>
      </c>
    </row>
    <row r="7692" spans="1:7" x14ac:dyDescent="0.3">
      <c r="A7692" s="24">
        <v>42570</v>
      </c>
      <c r="B7692" s="66">
        <v>1291.4549999999999</v>
      </c>
      <c r="C7692" s="66">
        <v>1138.9000000000001</v>
      </c>
      <c r="D7692" s="70">
        <v>0</v>
      </c>
      <c r="E7692" s="111">
        <f t="shared" si="124"/>
        <v>138710</v>
      </c>
      <c r="F7692" s="69">
        <v>6.4432886288392929E-2</v>
      </c>
      <c r="G7692" s="69">
        <v>8.0299999999999996E-2</v>
      </c>
    </row>
    <row r="7693" spans="1:7" x14ac:dyDescent="0.3">
      <c r="A7693" s="24">
        <v>42571</v>
      </c>
      <c r="B7693" s="66">
        <v>1291.4549999999999</v>
      </c>
      <c r="C7693" s="66">
        <v>1140</v>
      </c>
      <c r="D7693" s="70">
        <v>0</v>
      </c>
      <c r="E7693" s="111">
        <f t="shared" si="124"/>
        <v>138710</v>
      </c>
      <c r="F7693" s="69">
        <v>6.4432886288392929E-2</v>
      </c>
      <c r="G7693" s="69">
        <v>8.0299999999999996E-2</v>
      </c>
    </row>
    <row r="7694" spans="1:7" x14ac:dyDescent="0.3">
      <c r="A7694" s="24">
        <v>42572</v>
      </c>
      <c r="B7694" s="66">
        <v>1291.4549999999999</v>
      </c>
      <c r="C7694" s="66">
        <v>1140</v>
      </c>
      <c r="D7694" s="70">
        <v>0</v>
      </c>
      <c r="E7694" s="111">
        <f t="shared" si="124"/>
        <v>138710</v>
      </c>
      <c r="F7694" s="69">
        <v>6.4432886288392929E-2</v>
      </c>
      <c r="G7694" s="69">
        <v>8.0299999999999996E-2</v>
      </c>
    </row>
    <row r="7695" spans="1:7" x14ac:dyDescent="0.3">
      <c r="A7695" s="24">
        <v>42573</v>
      </c>
      <c r="B7695" s="66">
        <v>1291.4549999999999</v>
      </c>
      <c r="C7695" s="66">
        <v>1139</v>
      </c>
      <c r="D7695" s="70">
        <v>0</v>
      </c>
      <c r="E7695" s="111">
        <f t="shared" si="124"/>
        <v>138710</v>
      </c>
      <c r="F7695" s="69">
        <v>6.4432886288392929E-2</v>
      </c>
      <c r="G7695" s="69">
        <v>8.0299999999999996E-2</v>
      </c>
    </row>
    <row r="7696" spans="1:7" x14ac:dyDescent="0.3">
      <c r="A7696" s="24">
        <v>42574</v>
      </c>
      <c r="B7696" s="66">
        <v>1291.4549999999999</v>
      </c>
      <c r="C7696" s="66">
        <v>1139</v>
      </c>
      <c r="D7696" s="70">
        <v>0</v>
      </c>
      <c r="E7696" s="111">
        <f t="shared" si="124"/>
        <v>138710</v>
      </c>
      <c r="F7696" s="69">
        <v>6.4432886288392929E-2</v>
      </c>
      <c r="G7696" s="69">
        <v>8.0299999999999996E-2</v>
      </c>
    </row>
    <row r="7697" spans="1:7" x14ac:dyDescent="0.3">
      <c r="A7697" s="24">
        <v>42575</v>
      </c>
      <c r="B7697" s="66">
        <v>1291.4549999999999</v>
      </c>
      <c r="C7697" s="66">
        <v>1139</v>
      </c>
      <c r="D7697" s="70">
        <v>0</v>
      </c>
      <c r="E7697" s="111">
        <f t="shared" si="124"/>
        <v>138710</v>
      </c>
      <c r="F7697" s="69">
        <v>6.4432886288392929E-2</v>
      </c>
      <c r="G7697" s="69">
        <v>8.0299999999999996E-2</v>
      </c>
    </row>
    <row r="7698" spans="1:7" x14ac:dyDescent="0.3">
      <c r="A7698" s="24">
        <v>42576</v>
      </c>
      <c r="B7698" s="66">
        <v>1291.4549999999999</v>
      </c>
      <c r="C7698" s="66">
        <v>1139</v>
      </c>
      <c r="D7698" s="70">
        <v>0</v>
      </c>
      <c r="E7698" s="111">
        <f t="shared" si="124"/>
        <v>138710</v>
      </c>
      <c r="F7698" s="69">
        <v>6.4432886288392929E-2</v>
      </c>
      <c r="G7698" s="69">
        <v>8.0299999999999996E-2</v>
      </c>
    </row>
    <row r="7699" spans="1:7" x14ac:dyDescent="0.3">
      <c r="A7699" s="24">
        <v>42577</v>
      </c>
      <c r="B7699" s="66">
        <v>1291.4549999999999</v>
      </c>
      <c r="C7699" s="66">
        <v>1138</v>
      </c>
      <c r="D7699" s="70">
        <v>0</v>
      </c>
      <c r="E7699" s="111">
        <f t="shared" si="124"/>
        <v>138710</v>
      </c>
      <c r="F7699" s="69">
        <v>6.4432886288392929E-2</v>
      </c>
      <c r="G7699" s="69">
        <v>8.1111111111111106E-2</v>
      </c>
    </row>
    <row r="7700" spans="1:7" x14ac:dyDescent="0.3">
      <c r="A7700" s="24">
        <v>42578</v>
      </c>
      <c r="B7700" s="66">
        <v>1291.4549999999999</v>
      </c>
      <c r="C7700" s="66">
        <v>1136.9000000000001</v>
      </c>
      <c r="D7700" s="70">
        <v>0</v>
      </c>
      <c r="E7700" s="111">
        <f t="shared" si="124"/>
        <v>138710</v>
      </c>
      <c r="F7700" s="69">
        <v>6.3679619349722438E-2</v>
      </c>
      <c r="G7700" s="69">
        <v>8.0380380380380381E-2</v>
      </c>
    </row>
    <row r="7701" spans="1:7" x14ac:dyDescent="0.3">
      <c r="A7701" s="24">
        <v>42579</v>
      </c>
      <c r="B7701" s="66">
        <v>1291.4549999999999</v>
      </c>
      <c r="C7701" s="66">
        <v>1136.9000000000001</v>
      </c>
      <c r="D7701" s="70">
        <v>0</v>
      </c>
      <c r="E7701" s="111">
        <f t="shared" si="124"/>
        <v>138710</v>
      </c>
      <c r="F7701" s="69">
        <v>6.3679619349722438E-2</v>
      </c>
      <c r="G7701" s="69">
        <v>8.0703517587939699E-2</v>
      </c>
    </row>
    <row r="7702" spans="1:7" x14ac:dyDescent="0.3">
      <c r="A7702" s="24">
        <v>42580</v>
      </c>
      <c r="B7702" s="66">
        <v>1291.4549999999999</v>
      </c>
      <c r="C7702" s="66">
        <v>1133.3</v>
      </c>
      <c r="D7702" s="70">
        <v>0</v>
      </c>
      <c r="E7702" s="111">
        <f t="shared" si="124"/>
        <v>138710</v>
      </c>
      <c r="F7702" s="69">
        <v>6.3679619349722438E-2</v>
      </c>
      <c r="G7702" s="69">
        <v>8.1111111111111106E-2</v>
      </c>
    </row>
    <row r="7703" spans="1:7" x14ac:dyDescent="0.3">
      <c r="A7703" s="24">
        <v>42581</v>
      </c>
      <c r="B7703" s="66">
        <v>1291.4549999999999</v>
      </c>
      <c r="C7703" s="66">
        <v>1133.3</v>
      </c>
      <c r="D7703" s="70">
        <v>0</v>
      </c>
      <c r="E7703" s="111">
        <f t="shared" si="124"/>
        <v>138710</v>
      </c>
      <c r="F7703" s="69">
        <v>6.3679619349722438E-2</v>
      </c>
      <c r="G7703" s="69">
        <v>8.1111111111111106E-2</v>
      </c>
    </row>
    <row r="7704" spans="1:7" x14ac:dyDescent="0.3">
      <c r="A7704" s="24">
        <v>42582</v>
      </c>
      <c r="B7704" s="66">
        <v>1291.4549999999999</v>
      </c>
      <c r="C7704" s="66">
        <v>1133.3</v>
      </c>
      <c r="D7704" s="70">
        <v>0</v>
      </c>
      <c r="E7704" s="111">
        <f t="shared" si="124"/>
        <v>138710</v>
      </c>
      <c r="F7704" s="69">
        <v>6.3679619349722438E-2</v>
      </c>
      <c r="G7704" s="69">
        <v>8.1111111111111106E-2</v>
      </c>
    </row>
    <row r="7705" spans="1:7" x14ac:dyDescent="0.3">
      <c r="A7705" s="24">
        <v>42583</v>
      </c>
      <c r="B7705" s="66">
        <v>1291.4549999999999</v>
      </c>
      <c r="C7705" s="66">
        <v>1123</v>
      </c>
      <c r="D7705" s="70">
        <v>0</v>
      </c>
      <c r="E7705" s="111">
        <f t="shared" si="124"/>
        <v>138710</v>
      </c>
      <c r="F7705" s="69">
        <v>6.3679619349722438E-2</v>
      </c>
      <c r="G7705" s="69">
        <v>8.1938775510204079E-2</v>
      </c>
    </row>
    <row r="7706" spans="1:7" x14ac:dyDescent="0.3">
      <c r="A7706" s="24">
        <v>42584</v>
      </c>
      <c r="B7706" s="66">
        <v>1291.4549999999999</v>
      </c>
      <c r="C7706" s="66">
        <v>1125</v>
      </c>
      <c r="D7706" s="70">
        <v>0</v>
      </c>
      <c r="E7706" s="111">
        <f t="shared" si="124"/>
        <v>138710</v>
      </c>
      <c r="F7706" s="69">
        <v>6.3679619349722438E-2</v>
      </c>
      <c r="G7706" s="69">
        <v>8.1938775510204079E-2</v>
      </c>
    </row>
    <row r="7707" spans="1:7" x14ac:dyDescent="0.3">
      <c r="A7707" s="24">
        <v>42585</v>
      </c>
      <c r="B7707" s="66">
        <v>1291.4549999999999</v>
      </c>
      <c r="C7707" s="66">
        <v>1125</v>
      </c>
      <c r="D7707" s="70">
        <v>0</v>
      </c>
      <c r="E7707" s="111">
        <f t="shared" si="124"/>
        <v>138710</v>
      </c>
      <c r="F7707" s="69">
        <v>6.3679619349722438E-2</v>
      </c>
      <c r="G7707" s="69">
        <v>8.1938775510204079E-2</v>
      </c>
    </row>
    <row r="7708" spans="1:7" x14ac:dyDescent="0.3">
      <c r="A7708" s="24">
        <v>42586</v>
      </c>
      <c r="B7708" s="66">
        <v>1291.4549999999999</v>
      </c>
      <c r="C7708" s="66">
        <v>1125</v>
      </c>
      <c r="D7708" s="70">
        <v>0</v>
      </c>
      <c r="E7708" s="111">
        <f t="shared" si="124"/>
        <v>138710</v>
      </c>
      <c r="F7708" s="69">
        <v>6.3679619349722438E-2</v>
      </c>
      <c r="G7708" s="69">
        <v>8.1938775510204079E-2</v>
      </c>
    </row>
    <row r="7709" spans="1:7" x14ac:dyDescent="0.3">
      <c r="A7709" s="24">
        <v>42587</v>
      </c>
      <c r="B7709" s="66">
        <v>1291.4549999999999</v>
      </c>
      <c r="C7709" s="66">
        <v>1124.9000000000001</v>
      </c>
      <c r="D7709" s="70">
        <v>0</v>
      </c>
      <c r="E7709" s="111">
        <f t="shared" si="124"/>
        <v>138710</v>
      </c>
      <c r="F7709" s="69">
        <v>6.3679619349722438E-2</v>
      </c>
      <c r="G7709" s="69">
        <v>8.278350515463917E-2</v>
      </c>
    </row>
    <row r="7710" spans="1:7" x14ac:dyDescent="0.3">
      <c r="A7710" s="24">
        <v>42588</v>
      </c>
      <c r="B7710" s="66">
        <v>1291.4549999999999</v>
      </c>
      <c r="C7710" s="66">
        <v>1124.9000000000001</v>
      </c>
      <c r="D7710" s="70">
        <v>0</v>
      </c>
      <c r="E7710" s="111">
        <f t="shared" si="124"/>
        <v>138710</v>
      </c>
      <c r="F7710" s="69">
        <v>6.3679619349722438E-2</v>
      </c>
      <c r="G7710" s="69">
        <v>8.278350515463917E-2</v>
      </c>
    </row>
    <row r="7711" spans="1:7" x14ac:dyDescent="0.3">
      <c r="A7711" s="24">
        <v>42589</v>
      </c>
      <c r="B7711" s="66">
        <v>1291.4549999999999</v>
      </c>
      <c r="C7711" s="66">
        <v>1124.9000000000001</v>
      </c>
      <c r="D7711" s="70">
        <v>0</v>
      </c>
      <c r="E7711" s="111">
        <f t="shared" si="124"/>
        <v>138710</v>
      </c>
      <c r="F7711" s="69">
        <v>6.3679619349722438E-2</v>
      </c>
      <c r="G7711" s="69">
        <v>8.278350515463917E-2</v>
      </c>
    </row>
    <row r="7712" spans="1:7" x14ac:dyDescent="0.3">
      <c r="A7712" s="24">
        <v>42590</v>
      </c>
      <c r="B7712" s="66">
        <v>1301.6963700000001</v>
      </c>
      <c r="C7712" s="66">
        <v>1124.9000000000001</v>
      </c>
      <c r="D7712" s="70">
        <v>0</v>
      </c>
      <c r="E7712" s="111">
        <f t="shared" si="124"/>
        <v>138710</v>
      </c>
      <c r="F7712" s="69">
        <v>6.3679619349722438E-2</v>
      </c>
      <c r="G7712" s="69">
        <v>8.3645833333333336E-2</v>
      </c>
    </row>
    <row r="7713" spans="1:7" x14ac:dyDescent="0.3">
      <c r="A7713" s="24">
        <v>42591</v>
      </c>
      <c r="B7713" s="66">
        <v>1301.6963700000001</v>
      </c>
      <c r="C7713" s="66">
        <v>1124.9000000000001</v>
      </c>
      <c r="D7713" s="70">
        <v>0</v>
      </c>
      <c r="E7713" s="111">
        <f t="shared" si="124"/>
        <v>138710</v>
      </c>
      <c r="F7713" s="69">
        <v>6.3679619349722438E-2</v>
      </c>
      <c r="G7713" s="69">
        <v>8.3645833333333336E-2</v>
      </c>
    </row>
    <row r="7714" spans="1:7" x14ac:dyDescent="0.3">
      <c r="A7714" s="24">
        <v>42592</v>
      </c>
      <c r="B7714" s="66">
        <v>1301.6963700000001</v>
      </c>
      <c r="C7714" s="66">
        <v>1124.9000000000001</v>
      </c>
      <c r="D7714" s="70">
        <v>0</v>
      </c>
      <c r="E7714" s="111">
        <f t="shared" si="124"/>
        <v>138710</v>
      </c>
      <c r="F7714" s="69">
        <v>6.3679619349722438E-2</v>
      </c>
      <c r="G7714" s="69">
        <v>8.3645833333333336E-2</v>
      </c>
    </row>
    <row r="7715" spans="1:7" x14ac:dyDescent="0.3">
      <c r="A7715" s="24">
        <v>42593</v>
      </c>
      <c r="B7715" s="66">
        <v>1301.6963700000001</v>
      </c>
      <c r="C7715" s="66">
        <v>1124.9000000000001</v>
      </c>
      <c r="D7715" s="70">
        <v>0</v>
      </c>
      <c r="E7715" s="111">
        <f t="shared" si="124"/>
        <v>138710</v>
      </c>
      <c r="F7715" s="69">
        <v>6.3679619349722438E-2</v>
      </c>
      <c r="G7715" s="69">
        <v>8.3645833333333336E-2</v>
      </c>
    </row>
    <row r="7716" spans="1:7" x14ac:dyDescent="0.3">
      <c r="A7716" s="24">
        <v>42594</v>
      </c>
      <c r="B7716" s="66">
        <v>1301.6963700000001</v>
      </c>
      <c r="C7716" s="66">
        <v>1124.9000000000001</v>
      </c>
      <c r="D7716" s="70">
        <v>0</v>
      </c>
      <c r="E7716" s="111">
        <f t="shared" si="124"/>
        <v>138710</v>
      </c>
      <c r="F7716" s="69">
        <v>6.3679619349722438E-2</v>
      </c>
      <c r="G7716" s="69">
        <v>8.3645833333333336E-2</v>
      </c>
    </row>
    <row r="7717" spans="1:7" x14ac:dyDescent="0.3">
      <c r="A7717" s="24">
        <v>42595</v>
      </c>
      <c r="B7717" s="66">
        <v>1301.6963700000001</v>
      </c>
      <c r="C7717" s="66">
        <v>1124.9000000000001</v>
      </c>
      <c r="D7717" s="70">
        <v>0</v>
      </c>
      <c r="E7717" s="111">
        <f t="shared" si="124"/>
        <v>138710</v>
      </c>
      <c r="F7717" s="69">
        <v>6.3679619349722438E-2</v>
      </c>
      <c r="G7717" s="69">
        <v>8.3645833333333336E-2</v>
      </c>
    </row>
    <row r="7718" spans="1:7" x14ac:dyDescent="0.3">
      <c r="A7718" s="24">
        <v>42596</v>
      </c>
      <c r="B7718" s="66">
        <v>1301.6963700000001</v>
      </c>
      <c r="C7718" s="66">
        <v>1124.9000000000001</v>
      </c>
      <c r="D7718" s="70">
        <v>0</v>
      </c>
      <c r="E7718" s="111">
        <f t="shared" si="124"/>
        <v>138710</v>
      </c>
      <c r="F7718" s="69">
        <v>6.3679619349722438E-2</v>
      </c>
      <c r="G7718" s="69">
        <v>8.3645833333333336E-2</v>
      </c>
    </row>
    <row r="7719" spans="1:7" x14ac:dyDescent="0.3">
      <c r="A7719" s="24">
        <v>42597</v>
      </c>
      <c r="B7719" s="66">
        <v>1301.6963700000001</v>
      </c>
      <c r="C7719" s="66">
        <v>1124.9000000000001</v>
      </c>
      <c r="D7719" s="70">
        <v>0</v>
      </c>
      <c r="E7719" s="111">
        <f t="shared" si="124"/>
        <v>138710</v>
      </c>
      <c r="F7719" s="69">
        <v>6.3679619349722438E-2</v>
      </c>
      <c r="G7719" s="69">
        <v>8.4525426048146862E-2</v>
      </c>
    </row>
    <row r="7720" spans="1:7" x14ac:dyDescent="0.3">
      <c r="A7720" s="24">
        <v>42598</v>
      </c>
      <c r="B7720" s="66">
        <v>1301.6963700000001</v>
      </c>
      <c r="C7720" s="66">
        <v>1124.9000000000001</v>
      </c>
      <c r="D7720" s="70">
        <v>0</v>
      </c>
      <c r="E7720" s="111">
        <f t="shared" si="124"/>
        <v>138710</v>
      </c>
      <c r="F7720" s="69">
        <v>6.3679619349722438E-2</v>
      </c>
      <c r="G7720" s="69">
        <v>8.4526315789473686E-2</v>
      </c>
    </row>
    <row r="7721" spans="1:7" x14ac:dyDescent="0.3">
      <c r="A7721" s="24">
        <v>42599</v>
      </c>
      <c r="B7721" s="66">
        <v>1301.6963700000001</v>
      </c>
      <c r="C7721" s="66">
        <v>1125</v>
      </c>
      <c r="D7721" s="70">
        <v>0</v>
      </c>
      <c r="E7721" s="111">
        <f t="shared" si="124"/>
        <v>138710</v>
      </c>
      <c r="F7721" s="69">
        <v>6.3679619349722438E-2</v>
      </c>
      <c r="G7721" s="69">
        <v>8.4526315789473686E-2</v>
      </c>
    </row>
    <row r="7722" spans="1:7" x14ac:dyDescent="0.3">
      <c r="A7722" s="24">
        <v>42600</v>
      </c>
      <c r="B7722" s="66">
        <v>1301.6963700000001</v>
      </c>
      <c r="C7722" s="66">
        <v>1125</v>
      </c>
      <c r="D7722" s="70">
        <v>0</v>
      </c>
      <c r="E7722" s="111">
        <f t="shared" si="124"/>
        <v>138710</v>
      </c>
      <c r="F7722" s="69">
        <v>6.3679619349722438E-2</v>
      </c>
      <c r="G7722" s="69">
        <v>8.5425531914893618E-2</v>
      </c>
    </row>
    <row r="7723" spans="1:7" x14ac:dyDescent="0.3">
      <c r="A7723" s="24">
        <v>42601</v>
      </c>
      <c r="B7723" s="66">
        <v>1301.6963700000001</v>
      </c>
      <c r="C7723" s="66">
        <v>1125.0999999999999</v>
      </c>
      <c r="D7723" s="70">
        <v>0</v>
      </c>
      <c r="E7723" s="111">
        <f t="shared" si="124"/>
        <v>138710</v>
      </c>
      <c r="F7723" s="69">
        <v>6.3679619349722438E-2</v>
      </c>
      <c r="G7723" s="69">
        <v>8.5425531914893618E-2</v>
      </c>
    </row>
    <row r="7724" spans="1:7" x14ac:dyDescent="0.3">
      <c r="A7724" s="24">
        <v>42602</v>
      </c>
      <c r="B7724" s="66">
        <v>1301.6963700000001</v>
      </c>
      <c r="C7724" s="66">
        <v>1125.0999999999999</v>
      </c>
      <c r="D7724" s="70">
        <v>0</v>
      </c>
      <c r="E7724" s="111">
        <f t="shared" si="124"/>
        <v>138710</v>
      </c>
      <c r="F7724" s="69">
        <v>6.3679619349722438E-2</v>
      </c>
      <c r="G7724" s="69">
        <v>8.5425531914893618E-2</v>
      </c>
    </row>
    <row r="7725" spans="1:7" x14ac:dyDescent="0.3">
      <c r="A7725" s="24">
        <v>42603</v>
      </c>
      <c r="B7725" s="66">
        <v>1301.6963700000001</v>
      </c>
      <c r="C7725" s="66">
        <v>1125.0999999999999</v>
      </c>
      <c r="D7725" s="70">
        <v>0</v>
      </c>
      <c r="E7725" s="111">
        <f t="shared" si="124"/>
        <v>138710</v>
      </c>
      <c r="F7725" s="69">
        <v>6.3679619349722438E-2</v>
      </c>
      <c r="G7725" s="69">
        <v>8.5425531914893618E-2</v>
      </c>
    </row>
    <row r="7726" spans="1:7" x14ac:dyDescent="0.3">
      <c r="A7726" s="24">
        <v>42604</v>
      </c>
      <c r="B7726" s="66">
        <v>1301.6963700000001</v>
      </c>
      <c r="C7726" s="66">
        <v>1125.0999999999999</v>
      </c>
      <c r="D7726" s="70">
        <v>0</v>
      </c>
      <c r="E7726" s="111">
        <f t="shared" si="124"/>
        <v>138710</v>
      </c>
      <c r="F7726" s="69">
        <v>6.3962301272794023E-2</v>
      </c>
      <c r="G7726" s="69">
        <v>8.6344086021505367E-2</v>
      </c>
    </row>
    <row r="7727" spans="1:7" x14ac:dyDescent="0.3">
      <c r="A7727" s="24">
        <v>42605</v>
      </c>
      <c r="B7727" s="66">
        <v>1301.6963700000001</v>
      </c>
      <c r="C7727" s="66">
        <v>1125</v>
      </c>
      <c r="D7727" s="70">
        <v>0</v>
      </c>
      <c r="E7727" s="111">
        <f t="shared" si="124"/>
        <v>138710</v>
      </c>
      <c r="F7727" s="69">
        <v>6.3962301272794023E-2</v>
      </c>
      <c r="G7727" s="69">
        <v>8.6344086021505367E-2</v>
      </c>
    </row>
    <row r="7728" spans="1:7" x14ac:dyDescent="0.3">
      <c r="A7728" s="24">
        <v>42606</v>
      </c>
      <c r="B7728" s="66">
        <v>1301.6963700000001</v>
      </c>
      <c r="C7728" s="66">
        <v>1125</v>
      </c>
      <c r="D7728" s="70">
        <v>0</v>
      </c>
      <c r="E7728" s="111">
        <f t="shared" si="124"/>
        <v>138710</v>
      </c>
      <c r="F7728" s="69">
        <v>6.3962301272794023E-2</v>
      </c>
      <c r="G7728" s="69">
        <v>8.6344086021505367E-2</v>
      </c>
    </row>
    <row r="7729" spans="1:7" x14ac:dyDescent="0.3">
      <c r="A7729" s="24">
        <v>42607</v>
      </c>
      <c r="B7729" s="66">
        <v>1301.6963700000001</v>
      </c>
      <c r="C7729" s="66">
        <v>1125</v>
      </c>
      <c r="D7729" s="70">
        <v>0</v>
      </c>
      <c r="E7729" s="111">
        <f t="shared" si="124"/>
        <v>138710</v>
      </c>
      <c r="F7729" s="69">
        <v>6.3962301272794023E-2</v>
      </c>
      <c r="G7729" s="69">
        <v>8.6344178864708451E-2</v>
      </c>
    </row>
    <row r="7730" spans="1:7" x14ac:dyDescent="0.3">
      <c r="A7730" s="24">
        <v>42608</v>
      </c>
      <c r="B7730" s="66">
        <v>1301.6963700000001</v>
      </c>
      <c r="C7730" s="66">
        <v>1125</v>
      </c>
      <c r="D7730" s="70">
        <v>0</v>
      </c>
      <c r="E7730" s="111">
        <f t="shared" si="124"/>
        <v>138710</v>
      </c>
      <c r="F7730" s="69">
        <v>6.3962301272794023E-2</v>
      </c>
      <c r="G7730" s="69">
        <v>8.6344086021505367E-2</v>
      </c>
    </row>
    <row r="7731" spans="1:7" x14ac:dyDescent="0.3">
      <c r="A7731" s="24">
        <v>42609</v>
      </c>
      <c r="B7731" s="66">
        <v>1301.6963700000001</v>
      </c>
      <c r="C7731" s="66">
        <v>1125</v>
      </c>
      <c r="D7731" s="70">
        <v>0</v>
      </c>
      <c r="E7731" s="111">
        <f t="shared" si="124"/>
        <v>138710</v>
      </c>
      <c r="F7731" s="69">
        <v>6.3962301272794023E-2</v>
      </c>
      <c r="G7731" s="69">
        <v>8.6344086021505367E-2</v>
      </c>
    </row>
    <row r="7732" spans="1:7" x14ac:dyDescent="0.3">
      <c r="A7732" s="24">
        <v>42610</v>
      </c>
      <c r="B7732" s="66">
        <v>1301.6963700000001</v>
      </c>
      <c r="C7732" s="66">
        <v>1125</v>
      </c>
      <c r="D7732" s="70">
        <v>0</v>
      </c>
      <c r="E7732" s="111">
        <f t="shared" si="124"/>
        <v>138710</v>
      </c>
      <c r="F7732" s="69">
        <v>6.3962301272794023E-2</v>
      </c>
      <c r="G7732" s="69">
        <v>8.6344086021505367E-2</v>
      </c>
    </row>
    <row r="7733" spans="1:7" x14ac:dyDescent="0.3">
      <c r="A7733" s="24">
        <v>42611</v>
      </c>
      <c r="B7733" s="66">
        <v>1301.6963700000001</v>
      </c>
      <c r="C7733" s="66">
        <v>1125</v>
      </c>
      <c r="D7733" s="70">
        <v>0</v>
      </c>
      <c r="E7733" s="111">
        <f t="shared" si="124"/>
        <v>138710</v>
      </c>
      <c r="F7733" s="69">
        <v>6.3962301272794023E-2</v>
      </c>
      <c r="G7733" s="69">
        <v>8.6345014462521102E-2</v>
      </c>
    </row>
    <row r="7734" spans="1:7" x14ac:dyDescent="0.3">
      <c r="A7734" s="24">
        <v>42612</v>
      </c>
      <c r="B7734" s="66">
        <v>1301.6963700000001</v>
      </c>
      <c r="C7734" s="66">
        <v>1125</v>
      </c>
      <c r="D7734" s="70">
        <v>0</v>
      </c>
      <c r="E7734" s="111">
        <f t="shared" si="124"/>
        <v>138710</v>
      </c>
      <c r="F7734" s="69">
        <v>6.3962301272794023E-2</v>
      </c>
      <c r="G7734" s="69">
        <v>8.6345014462521102E-2</v>
      </c>
    </row>
    <row r="7735" spans="1:7" x14ac:dyDescent="0.3">
      <c r="A7735" s="24">
        <v>42613</v>
      </c>
      <c r="B7735" s="66">
        <v>1301.6963700000001</v>
      </c>
      <c r="C7735" s="66">
        <v>1125</v>
      </c>
      <c r="D7735" s="70">
        <v>0</v>
      </c>
      <c r="E7735" s="111">
        <f t="shared" si="124"/>
        <v>138710</v>
      </c>
      <c r="F7735" s="69">
        <v>6.3962301272794023E-2</v>
      </c>
      <c r="G7735" s="69">
        <v>8.7282608695652172E-2</v>
      </c>
    </row>
    <row r="7736" spans="1:7" x14ac:dyDescent="0.3">
      <c r="A7736" s="24">
        <v>42614</v>
      </c>
      <c r="B7736" s="66">
        <v>1301.6963700000001</v>
      </c>
      <c r="C7736" s="66">
        <v>1125</v>
      </c>
      <c r="D7736" s="70">
        <v>0</v>
      </c>
      <c r="E7736" s="111">
        <f t="shared" si="124"/>
        <v>138710</v>
      </c>
      <c r="F7736" s="69">
        <v>6.3962301272794023E-2</v>
      </c>
      <c r="G7736" s="69">
        <v>8.8241758241758242E-2</v>
      </c>
    </row>
    <row r="7737" spans="1:7" x14ac:dyDescent="0.3">
      <c r="A7737" s="24">
        <v>42615</v>
      </c>
      <c r="B7737" s="66">
        <v>1301.6963700000001</v>
      </c>
      <c r="C7737" s="66">
        <v>1125</v>
      </c>
      <c r="D7737" s="70">
        <v>0</v>
      </c>
      <c r="E7737" s="111">
        <f t="shared" si="124"/>
        <v>138710</v>
      </c>
      <c r="F7737" s="69">
        <v>6.3962301272794023E-2</v>
      </c>
      <c r="G7737" s="69">
        <v>8.8241758241758242E-2</v>
      </c>
    </row>
    <row r="7738" spans="1:7" x14ac:dyDescent="0.3">
      <c r="A7738" s="24">
        <v>42616</v>
      </c>
      <c r="B7738" s="66">
        <v>1301.6963700000001</v>
      </c>
      <c r="C7738" s="66">
        <v>1125</v>
      </c>
      <c r="D7738" s="70">
        <v>0</v>
      </c>
      <c r="E7738" s="111">
        <f t="shared" si="124"/>
        <v>138710</v>
      </c>
      <c r="F7738" s="69">
        <v>6.3962301272794023E-2</v>
      </c>
      <c r="G7738" s="69">
        <v>8.8241758241758242E-2</v>
      </c>
    </row>
    <row r="7739" spans="1:7" x14ac:dyDescent="0.3">
      <c r="A7739" s="24">
        <v>42617</v>
      </c>
      <c r="B7739" s="66">
        <v>1301.6963700000001</v>
      </c>
      <c r="C7739" s="66">
        <v>1125</v>
      </c>
      <c r="D7739" s="70">
        <v>0</v>
      </c>
      <c r="E7739" s="111">
        <f t="shared" si="124"/>
        <v>138710</v>
      </c>
      <c r="F7739" s="69">
        <v>6.3962301272794023E-2</v>
      </c>
      <c r="G7739" s="69">
        <v>8.8241758241758242E-2</v>
      </c>
    </row>
    <row r="7740" spans="1:7" x14ac:dyDescent="0.3">
      <c r="A7740" s="24">
        <v>42618</v>
      </c>
      <c r="B7740" s="66">
        <v>1301.6963700000001</v>
      </c>
      <c r="C7740" s="66">
        <v>1125</v>
      </c>
      <c r="D7740" s="70">
        <v>0</v>
      </c>
      <c r="E7740" s="111">
        <f t="shared" si="124"/>
        <v>138710</v>
      </c>
      <c r="F7740" s="69">
        <v>6.3962301272794023E-2</v>
      </c>
      <c r="G7740" s="69">
        <v>8.8729281767955803E-2</v>
      </c>
    </row>
    <row r="7741" spans="1:7" x14ac:dyDescent="0.3">
      <c r="A7741" s="24">
        <v>42619</v>
      </c>
      <c r="B7741" s="66">
        <v>1301.6963700000001</v>
      </c>
      <c r="C7741" s="66">
        <v>1125</v>
      </c>
      <c r="D7741" s="70">
        <v>0</v>
      </c>
      <c r="E7741" s="111">
        <f t="shared" si="124"/>
        <v>138710</v>
      </c>
      <c r="F7741" s="69">
        <v>6.3962301272794023E-2</v>
      </c>
      <c r="G7741" s="69">
        <v>8.8241758241758242E-2</v>
      </c>
    </row>
    <row r="7742" spans="1:7" x14ac:dyDescent="0.3">
      <c r="A7742" s="24">
        <v>42620</v>
      </c>
      <c r="B7742" s="66">
        <v>1301.6963700000001</v>
      </c>
      <c r="C7742" s="66">
        <v>1122.4000000000001</v>
      </c>
      <c r="D7742" s="70">
        <v>0</v>
      </c>
      <c r="E7742" s="111">
        <f t="shared" si="124"/>
        <v>138710</v>
      </c>
      <c r="F7742" s="69">
        <v>6.3962301272794023E-2</v>
      </c>
      <c r="G7742" s="69">
        <v>8.8241758241758242E-2</v>
      </c>
    </row>
    <row r="7743" spans="1:7" x14ac:dyDescent="0.3">
      <c r="A7743" s="24">
        <v>42621</v>
      </c>
      <c r="B7743" s="66">
        <v>1301.6963700000001</v>
      </c>
      <c r="C7743" s="66">
        <v>1122.4000000000001</v>
      </c>
      <c r="D7743" s="70">
        <v>0</v>
      </c>
      <c r="E7743" s="111">
        <f t="shared" si="124"/>
        <v>138710</v>
      </c>
      <c r="F7743" s="69">
        <v>6.3962301272794023E-2</v>
      </c>
      <c r="G7743" s="69">
        <v>8.8241758241758242E-2</v>
      </c>
    </row>
    <row r="7744" spans="1:7" x14ac:dyDescent="0.3">
      <c r="A7744" s="24">
        <v>42622</v>
      </c>
      <c r="B7744" s="66">
        <v>1301.6963700000001</v>
      </c>
      <c r="C7744" s="66">
        <v>1125</v>
      </c>
      <c r="D7744" s="70">
        <v>0</v>
      </c>
      <c r="E7744" s="111">
        <f t="shared" si="124"/>
        <v>138710</v>
      </c>
      <c r="F7744" s="69">
        <v>6.3962301272794023E-2</v>
      </c>
      <c r="G7744" s="69">
        <v>8.8241758241758242E-2</v>
      </c>
    </row>
    <row r="7745" spans="1:7" x14ac:dyDescent="0.3">
      <c r="A7745" s="24">
        <v>42623</v>
      </c>
      <c r="B7745" s="66">
        <v>1301.6963700000001</v>
      </c>
      <c r="C7745" s="66">
        <v>1125</v>
      </c>
      <c r="D7745" s="70">
        <v>0</v>
      </c>
      <c r="E7745" s="111">
        <f t="shared" si="124"/>
        <v>138710</v>
      </c>
      <c r="F7745" s="69">
        <v>6.3962301272794023E-2</v>
      </c>
      <c r="G7745" s="69">
        <v>8.8241758241758242E-2</v>
      </c>
    </row>
    <row r="7746" spans="1:7" x14ac:dyDescent="0.3">
      <c r="A7746" s="24">
        <v>42624</v>
      </c>
      <c r="B7746" s="66">
        <v>1301.6963700000001</v>
      </c>
      <c r="C7746" s="66">
        <v>1125</v>
      </c>
      <c r="D7746" s="70">
        <v>0</v>
      </c>
      <c r="E7746" s="111">
        <f t="shared" si="124"/>
        <v>138710</v>
      </c>
      <c r="F7746" s="69">
        <v>6.3962301272794023E-2</v>
      </c>
      <c r="G7746" s="69">
        <v>8.8241758241758242E-2</v>
      </c>
    </row>
    <row r="7747" spans="1:7" x14ac:dyDescent="0.3">
      <c r="A7747" s="24">
        <v>42625</v>
      </c>
      <c r="B7747" s="66">
        <v>1301.6963700000001</v>
      </c>
      <c r="C7747" s="66">
        <v>1125</v>
      </c>
      <c r="D7747" s="70">
        <v>0</v>
      </c>
      <c r="E7747" s="111">
        <f t="shared" si="124"/>
        <v>138710</v>
      </c>
      <c r="F7747" s="69">
        <v>6.3962301272794023E-2</v>
      </c>
      <c r="G7747" s="69">
        <v>8.8241758241758242E-2</v>
      </c>
    </row>
    <row r="7748" spans="1:7" x14ac:dyDescent="0.3">
      <c r="A7748" s="24">
        <v>42626</v>
      </c>
      <c r="B7748" s="66">
        <v>1301.6963700000001</v>
      </c>
      <c r="C7748" s="66">
        <v>1125</v>
      </c>
      <c r="D7748" s="70">
        <v>0</v>
      </c>
      <c r="E7748" s="111">
        <f t="shared" si="124"/>
        <v>138710</v>
      </c>
      <c r="F7748" s="69">
        <v>6.3962301272794023E-2</v>
      </c>
      <c r="G7748" s="69">
        <v>8.8241758241758242E-2</v>
      </c>
    </row>
    <row r="7749" spans="1:7" x14ac:dyDescent="0.3">
      <c r="A7749" s="24">
        <v>42627</v>
      </c>
      <c r="B7749" s="66">
        <v>1301.6963700000001</v>
      </c>
      <c r="C7749" s="66">
        <v>1120</v>
      </c>
      <c r="D7749" s="70">
        <v>0</v>
      </c>
      <c r="E7749" s="111">
        <f t="shared" si="124"/>
        <v>138710</v>
      </c>
      <c r="F7749" s="69">
        <v>6.3962301272794023E-2</v>
      </c>
      <c r="G7749" s="69">
        <v>8.8241758241758242E-2</v>
      </c>
    </row>
    <row r="7750" spans="1:7" x14ac:dyDescent="0.3">
      <c r="A7750" s="24">
        <v>42628</v>
      </c>
      <c r="B7750" s="66">
        <v>1301.6963700000001</v>
      </c>
      <c r="C7750" s="66">
        <v>1125</v>
      </c>
      <c r="D7750" s="70">
        <v>0</v>
      </c>
      <c r="E7750" s="111">
        <f t="shared" si="124"/>
        <v>138710</v>
      </c>
      <c r="F7750" s="69">
        <v>6.3962301272794023E-2</v>
      </c>
      <c r="G7750" s="69">
        <v>8.8241758241758242E-2</v>
      </c>
    </row>
    <row r="7751" spans="1:7" x14ac:dyDescent="0.3">
      <c r="A7751" s="24">
        <v>42629</v>
      </c>
      <c r="B7751" s="66">
        <v>1301.6963700000001</v>
      </c>
      <c r="C7751" s="66">
        <v>1125</v>
      </c>
      <c r="D7751" s="70">
        <v>0</v>
      </c>
      <c r="E7751" s="111">
        <f t="shared" si="124"/>
        <v>138710</v>
      </c>
      <c r="F7751" s="69">
        <v>6.3962301272794023E-2</v>
      </c>
      <c r="G7751" s="69">
        <v>8.8241758241758242E-2</v>
      </c>
    </row>
    <row r="7752" spans="1:7" x14ac:dyDescent="0.3">
      <c r="A7752" s="24">
        <v>42630</v>
      </c>
      <c r="B7752" s="66">
        <v>1301.6963700000001</v>
      </c>
      <c r="C7752" s="66">
        <v>1125</v>
      </c>
      <c r="D7752" s="70">
        <v>0</v>
      </c>
      <c r="E7752" s="111">
        <f t="shared" si="124"/>
        <v>138710</v>
      </c>
      <c r="F7752" s="69">
        <v>6.3962301272794023E-2</v>
      </c>
      <c r="G7752" s="69">
        <v>8.8241758241758242E-2</v>
      </c>
    </row>
    <row r="7753" spans="1:7" x14ac:dyDescent="0.3">
      <c r="A7753" s="24">
        <v>42631</v>
      </c>
      <c r="B7753" s="66">
        <v>1301.6963700000001</v>
      </c>
      <c r="C7753" s="66">
        <v>1125</v>
      </c>
      <c r="D7753" s="70">
        <v>0</v>
      </c>
      <c r="E7753" s="111">
        <f t="shared" ref="E7753:E7816" si="125">+E7752</f>
        <v>138710</v>
      </c>
      <c r="F7753" s="69">
        <v>6.3962301272794023E-2</v>
      </c>
      <c r="G7753" s="69">
        <v>8.8241758241758242E-2</v>
      </c>
    </row>
    <row r="7754" spans="1:7" x14ac:dyDescent="0.3">
      <c r="A7754" s="24">
        <v>42632</v>
      </c>
      <c r="B7754" s="66">
        <v>1301.6963700000001</v>
      </c>
      <c r="C7754" s="66">
        <v>1125</v>
      </c>
      <c r="D7754" s="70">
        <v>0</v>
      </c>
      <c r="E7754" s="111">
        <f t="shared" si="125"/>
        <v>138710</v>
      </c>
      <c r="F7754" s="69">
        <v>6.3962301272794023E-2</v>
      </c>
      <c r="G7754" s="69">
        <v>8.8241758241758242E-2</v>
      </c>
    </row>
    <row r="7755" spans="1:7" x14ac:dyDescent="0.3">
      <c r="A7755" s="24">
        <v>42633</v>
      </c>
      <c r="B7755" s="66">
        <v>1301.6963700000001</v>
      </c>
      <c r="C7755" s="66">
        <v>1124.9000000000001</v>
      </c>
      <c r="D7755" s="70">
        <v>0</v>
      </c>
      <c r="E7755" s="111">
        <f t="shared" si="125"/>
        <v>138710</v>
      </c>
      <c r="F7755" s="69">
        <v>6.3962301272794023E-2</v>
      </c>
      <c r="G7755" s="69">
        <v>8.681081081081081E-2</v>
      </c>
    </row>
    <row r="7756" spans="1:7" x14ac:dyDescent="0.3">
      <c r="A7756" s="24">
        <v>42634</v>
      </c>
      <c r="B7756" s="66">
        <v>1301.6963700000001</v>
      </c>
      <c r="C7756" s="66">
        <v>1125</v>
      </c>
      <c r="D7756" s="70">
        <v>0</v>
      </c>
      <c r="E7756" s="111">
        <f t="shared" si="125"/>
        <v>138710</v>
      </c>
      <c r="F7756" s="69">
        <v>6.3962301272794023E-2</v>
      </c>
      <c r="G7756" s="69">
        <v>8.6344086021505367E-2</v>
      </c>
    </row>
    <row r="7757" spans="1:7" x14ac:dyDescent="0.3">
      <c r="A7757" s="24">
        <v>42635</v>
      </c>
      <c r="B7757" s="66">
        <v>1301.6963700000001</v>
      </c>
      <c r="C7757" s="66">
        <v>1122</v>
      </c>
      <c r="D7757" s="70">
        <v>16</v>
      </c>
      <c r="E7757" s="111">
        <f t="shared" si="125"/>
        <v>138710</v>
      </c>
      <c r="F7757" s="69">
        <v>7.6706969023288482E-2</v>
      </c>
      <c r="G7757" s="69">
        <v>0.10299465240641711</v>
      </c>
    </row>
    <row r="7758" spans="1:7" x14ac:dyDescent="0.3">
      <c r="A7758" s="24">
        <v>42636</v>
      </c>
      <c r="B7758" s="66">
        <v>1301.6963700000001</v>
      </c>
      <c r="C7758" s="66">
        <v>1122</v>
      </c>
      <c r="D7758" s="70">
        <v>0</v>
      </c>
      <c r="E7758" s="111">
        <f t="shared" si="125"/>
        <v>138710</v>
      </c>
      <c r="F7758" s="69">
        <v>6.7148468210417644E-2</v>
      </c>
      <c r="G7758" s="69">
        <v>8.9680851063829781E-2</v>
      </c>
    </row>
    <row r="7759" spans="1:7" x14ac:dyDescent="0.3">
      <c r="A7759" s="24">
        <v>42637</v>
      </c>
      <c r="B7759" s="66">
        <v>1301.6963700000001</v>
      </c>
      <c r="C7759" s="66">
        <v>1122</v>
      </c>
      <c r="D7759" s="70">
        <v>0</v>
      </c>
      <c r="E7759" s="111">
        <f t="shared" si="125"/>
        <v>138710</v>
      </c>
      <c r="F7759" s="69">
        <v>6.7148468210417644E-2</v>
      </c>
      <c r="G7759" s="69">
        <v>8.9680851063829781E-2</v>
      </c>
    </row>
    <row r="7760" spans="1:7" x14ac:dyDescent="0.3">
      <c r="A7760" s="24">
        <v>42638</v>
      </c>
      <c r="B7760" s="66">
        <v>1301.6963700000001</v>
      </c>
      <c r="C7760" s="66">
        <v>1122</v>
      </c>
      <c r="D7760" s="70">
        <v>0</v>
      </c>
      <c r="E7760" s="111">
        <f t="shared" si="125"/>
        <v>138710</v>
      </c>
      <c r="F7760" s="69">
        <v>6.7148468210417644E-2</v>
      </c>
      <c r="G7760" s="69">
        <v>8.9680851063829781E-2</v>
      </c>
    </row>
    <row r="7761" spans="1:7" x14ac:dyDescent="0.3">
      <c r="A7761" s="24">
        <v>42639</v>
      </c>
      <c r="B7761" s="66">
        <v>1301.6963700000001</v>
      </c>
      <c r="C7761" s="66">
        <v>1122</v>
      </c>
      <c r="D7761" s="70">
        <v>0</v>
      </c>
      <c r="E7761" s="111">
        <f t="shared" si="125"/>
        <v>138710</v>
      </c>
      <c r="F7761" s="69">
        <v>6.7148468210417644E-2</v>
      </c>
      <c r="G7761" s="69">
        <v>8.9680851063829781E-2</v>
      </c>
    </row>
    <row r="7762" spans="1:7" x14ac:dyDescent="0.3">
      <c r="A7762" s="24">
        <v>42640</v>
      </c>
      <c r="B7762" s="66">
        <v>1301.6963700000001</v>
      </c>
      <c r="C7762" s="66">
        <v>1122</v>
      </c>
      <c r="D7762" s="70">
        <v>0</v>
      </c>
      <c r="E7762" s="111">
        <f t="shared" si="125"/>
        <v>138710</v>
      </c>
      <c r="F7762" s="69">
        <v>6.7148468210417644E-2</v>
      </c>
      <c r="G7762" s="69">
        <v>8.9680851063829781E-2</v>
      </c>
    </row>
    <row r="7763" spans="1:7" x14ac:dyDescent="0.3">
      <c r="A7763" s="24">
        <v>42641</v>
      </c>
      <c r="B7763" s="66">
        <v>1301.6963700000001</v>
      </c>
      <c r="C7763" s="66">
        <v>1122</v>
      </c>
      <c r="D7763" s="70">
        <v>0</v>
      </c>
      <c r="E7763" s="111">
        <f t="shared" si="125"/>
        <v>138710</v>
      </c>
      <c r="F7763" s="69">
        <v>6.7148468210417644E-2</v>
      </c>
      <c r="G7763" s="69">
        <v>8.9680851063829781E-2</v>
      </c>
    </row>
    <row r="7764" spans="1:7" x14ac:dyDescent="0.3">
      <c r="A7764" s="24">
        <v>42642</v>
      </c>
      <c r="B7764" s="66">
        <v>1301.6963700000001</v>
      </c>
      <c r="C7764" s="66">
        <v>1122</v>
      </c>
      <c r="D7764" s="70">
        <v>0</v>
      </c>
      <c r="E7764" s="111">
        <f t="shared" si="125"/>
        <v>138710</v>
      </c>
      <c r="F7764" s="69">
        <v>6.7148468210417644E-2</v>
      </c>
      <c r="G7764" s="69">
        <v>8.9680851063829781E-2</v>
      </c>
    </row>
    <row r="7765" spans="1:7" x14ac:dyDescent="0.3">
      <c r="A7765" s="24">
        <v>42643</v>
      </c>
      <c r="B7765" s="66">
        <v>1301.6963700000001</v>
      </c>
      <c r="C7765" s="66">
        <v>1120</v>
      </c>
      <c r="D7765" s="70">
        <v>0</v>
      </c>
      <c r="E7765" s="111">
        <f t="shared" si="125"/>
        <v>138710</v>
      </c>
      <c r="F7765" s="69">
        <v>6.6063034949931584E-2</v>
      </c>
      <c r="G7765" s="69">
        <v>8.9680851063829781E-2</v>
      </c>
    </row>
    <row r="7766" spans="1:7" x14ac:dyDescent="0.3">
      <c r="A7766" s="24">
        <v>42644</v>
      </c>
      <c r="B7766" s="66">
        <v>1301.6963700000001</v>
      </c>
      <c r="C7766" s="66">
        <v>1120</v>
      </c>
      <c r="D7766" s="70">
        <v>0</v>
      </c>
      <c r="E7766" s="111">
        <f t="shared" si="125"/>
        <v>138710</v>
      </c>
      <c r="F7766" s="69">
        <v>6.6063034949931584E-2</v>
      </c>
      <c r="G7766" s="69">
        <v>8.9680851063829781E-2</v>
      </c>
    </row>
    <row r="7767" spans="1:7" x14ac:dyDescent="0.3">
      <c r="A7767" s="24">
        <v>42645</v>
      </c>
      <c r="B7767" s="66">
        <v>1301.6963700000001</v>
      </c>
      <c r="C7767" s="66">
        <v>1120</v>
      </c>
      <c r="D7767" s="70">
        <v>0</v>
      </c>
      <c r="E7767" s="111">
        <f t="shared" si="125"/>
        <v>138710</v>
      </c>
      <c r="F7767" s="69">
        <v>6.6063034949931584E-2</v>
      </c>
      <c r="G7767" s="69">
        <v>8.9680851063829781E-2</v>
      </c>
    </row>
    <row r="7768" spans="1:7" x14ac:dyDescent="0.3">
      <c r="A7768" s="24">
        <v>42646</v>
      </c>
      <c r="B7768" s="66">
        <v>1301.6963700000001</v>
      </c>
      <c r="C7768" s="66">
        <v>1118.3</v>
      </c>
      <c r="D7768" s="70">
        <v>0</v>
      </c>
      <c r="E7768" s="111">
        <f t="shared" si="125"/>
        <v>138710</v>
      </c>
      <c r="F7768" s="69">
        <v>6.6063034949931584E-2</v>
      </c>
      <c r="G7768" s="69">
        <v>8.9680851063829781E-2</v>
      </c>
    </row>
    <row r="7769" spans="1:7" x14ac:dyDescent="0.3">
      <c r="A7769" s="24">
        <v>42647</v>
      </c>
      <c r="B7769" s="66">
        <v>1301.6963700000001</v>
      </c>
      <c r="C7769" s="66">
        <v>1118</v>
      </c>
      <c r="D7769" s="70">
        <v>0</v>
      </c>
      <c r="E7769" s="111">
        <f t="shared" si="125"/>
        <v>138710</v>
      </c>
      <c r="F7769" s="69">
        <v>6.6063034949931584E-2</v>
      </c>
      <c r="G7769" s="69">
        <v>8.9680851063829781E-2</v>
      </c>
    </row>
    <row r="7770" spans="1:7" x14ac:dyDescent="0.3">
      <c r="A7770" s="24">
        <v>42648</v>
      </c>
      <c r="B7770" s="66">
        <v>1301.6963700000001</v>
      </c>
      <c r="C7770" s="66">
        <v>1120</v>
      </c>
      <c r="D7770" s="70">
        <v>0</v>
      </c>
      <c r="E7770" s="111">
        <f t="shared" si="125"/>
        <v>138710</v>
      </c>
      <c r="F7770" s="69">
        <v>6.6063034949931584E-2</v>
      </c>
      <c r="G7770" s="69">
        <v>8.9680851063829781E-2</v>
      </c>
    </row>
    <row r="7771" spans="1:7" x14ac:dyDescent="0.3">
      <c r="A7771" s="24">
        <v>42649</v>
      </c>
      <c r="B7771" s="66">
        <v>1301.6963700000001</v>
      </c>
      <c r="C7771" s="66">
        <v>1120</v>
      </c>
      <c r="D7771" s="70">
        <v>0</v>
      </c>
      <c r="E7771" s="111">
        <f t="shared" si="125"/>
        <v>138710</v>
      </c>
      <c r="F7771" s="69">
        <v>6.6063034949931584E-2</v>
      </c>
      <c r="G7771" s="69">
        <v>8.9680851063829781E-2</v>
      </c>
    </row>
    <row r="7772" spans="1:7" x14ac:dyDescent="0.3">
      <c r="A7772" s="24">
        <v>42650</v>
      </c>
      <c r="B7772" s="66">
        <v>1301.6963700000001</v>
      </c>
      <c r="C7772" s="66">
        <v>1119.9000000000001</v>
      </c>
      <c r="D7772" s="70">
        <v>0</v>
      </c>
      <c r="E7772" s="111">
        <f t="shared" si="125"/>
        <v>138710</v>
      </c>
      <c r="F7772" s="69">
        <v>6.6063034949931584E-2</v>
      </c>
      <c r="G7772" s="69">
        <v>8.9680851063829781E-2</v>
      </c>
    </row>
    <row r="7773" spans="1:7" x14ac:dyDescent="0.3">
      <c r="A7773" s="24">
        <v>42651</v>
      </c>
      <c r="B7773" s="66">
        <v>1301.6963700000001</v>
      </c>
      <c r="C7773" s="66">
        <v>1119.9000000000001</v>
      </c>
      <c r="D7773" s="70">
        <v>0</v>
      </c>
      <c r="E7773" s="111">
        <f t="shared" si="125"/>
        <v>138710</v>
      </c>
      <c r="F7773" s="69">
        <v>6.6063034949931584E-2</v>
      </c>
      <c r="G7773" s="69">
        <v>8.9680851063829781E-2</v>
      </c>
    </row>
    <row r="7774" spans="1:7" x14ac:dyDescent="0.3">
      <c r="A7774" s="24">
        <v>42652</v>
      </c>
      <c r="B7774" s="66">
        <v>1301.6963700000001</v>
      </c>
      <c r="C7774" s="66">
        <v>1119.9000000000001</v>
      </c>
      <c r="D7774" s="70">
        <v>0</v>
      </c>
      <c r="E7774" s="111">
        <f t="shared" si="125"/>
        <v>138710</v>
      </c>
      <c r="F7774" s="69">
        <v>6.6063034949931584E-2</v>
      </c>
      <c r="G7774" s="69">
        <v>8.9680851063829781E-2</v>
      </c>
    </row>
    <row r="7775" spans="1:7" x14ac:dyDescent="0.3">
      <c r="A7775" s="24">
        <v>42653</v>
      </c>
      <c r="B7775" s="66">
        <v>1301.6963700000001</v>
      </c>
      <c r="C7775" s="66">
        <v>1119.9000000000001</v>
      </c>
      <c r="D7775" s="70">
        <v>0</v>
      </c>
      <c r="E7775" s="111">
        <f t="shared" si="125"/>
        <v>138710</v>
      </c>
      <c r="F7775" s="69">
        <v>6.6063034949931584E-2</v>
      </c>
      <c r="G7775" s="69">
        <v>8.9680851063829781E-2</v>
      </c>
    </row>
    <row r="7776" spans="1:7" x14ac:dyDescent="0.3">
      <c r="A7776" s="24">
        <v>42654</v>
      </c>
      <c r="B7776" s="66">
        <v>1301.6963700000001</v>
      </c>
      <c r="C7776" s="66">
        <v>1118</v>
      </c>
      <c r="D7776" s="70">
        <v>0</v>
      </c>
      <c r="E7776" s="111">
        <f t="shared" si="125"/>
        <v>138710</v>
      </c>
      <c r="F7776" s="69">
        <v>6.6063034949931584E-2</v>
      </c>
      <c r="G7776" s="69">
        <v>8.9680851063829781E-2</v>
      </c>
    </row>
    <row r="7777" spans="1:7" x14ac:dyDescent="0.3">
      <c r="A7777" s="24">
        <v>42655</v>
      </c>
      <c r="B7777" s="66">
        <v>1301.6963700000001</v>
      </c>
      <c r="C7777" s="66">
        <v>1115</v>
      </c>
      <c r="D7777" s="70">
        <v>0</v>
      </c>
      <c r="E7777" s="111">
        <f t="shared" si="125"/>
        <v>138710</v>
      </c>
      <c r="F7777" s="69">
        <v>6.6063034949931584E-2</v>
      </c>
      <c r="G7777" s="69">
        <v>8.958554729011689E-2</v>
      </c>
    </row>
    <row r="7778" spans="1:7" x14ac:dyDescent="0.3">
      <c r="A7778" s="24">
        <v>42656</v>
      </c>
      <c r="B7778" s="66">
        <v>1301.6963700000001</v>
      </c>
      <c r="C7778" s="66">
        <v>1115</v>
      </c>
      <c r="D7778" s="70">
        <v>0</v>
      </c>
      <c r="E7778" s="111">
        <f t="shared" si="125"/>
        <v>138710</v>
      </c>
      <c r="F7778" s="69">
        <v>6.6063034949931584E-2</v>
      </c>
      <c r="G7778" s="69">
        <v>8.8736842105263156E-2</v>
      </c>
    </row>
    <row r="7779" spans="1:7" x14ac:dyDescent="0.3">
      <c r="A7779" s="24">
        <v>42657</v>
      </c>
      <c r="B7779" s="66">
        <v>1301.6963700000001</v>
      </c>
      <c r="C7779" s="66">
        <v>1120</v>
      </c>
      <c r="D7779" s="70">
        <v>0</v>
      </c>
      <c r="E7779" s="111">
        <f t="shared" si="125"/>
        <v>138710</v>
      </c>
      <c r="F7779" s="69">
        <v>6.6063034949931584E-2</v>
      </c>
      <c r="G7779" s="69">
        <v>8.8736842105263156E-2</v>
      </c>
    </row>
    <row r="7780" spans="1:7" x14ac:dyDescent="0.3">
      <c r="A7780" s="24">
        <v>42658</v>
      </c>
      <c r="B7780" s="66">
        <v>1301.6963700000001</v>
      </c>
      <c r="C7780" s="66">
        <v>1120</v>
      </c>
      <c r="D7780" s="70">
        <v>0</v>
      </c>
      <c r="E7780" s="111">
        <f t="shared" si="125"/>
        <v>138710</v>
      </c>
      <c r="F7780" s="69">
        <v>6.6063034949931584E-2</v>
      </c>
      <c r="G7780" s="69">
        <v>8.8736842105263156E-2</v>
      </c>
    </row>
    <row r="7781" spans="1:7" x14ac:dyDescent="0.3">
      <c r="A7781" s="24">
        <v>42659</v>
      </c>
      <c r="B7781" s="66">
        <v>1301.6963700000001</v>
      </c>
      <c r="C7781" s="66">
        <v>1120</v>
      </c>
      <c r="D7781" s="70">
        <v>0</v>
      </c>
      <c r="E7781" s="111">
        <f t="shared" si="125"/>
        <v>138710</v>
      </c>
      <c r="F7781" s="69">
        <v>6.6063034949931584E-2</v>
      </c>
      <c r="G7781" s="69">
        <v>8.8736842105263156E-2</v>
      </c>
    </row>
    <row r="7782" spans="1:7" x14ac:dyDescent="0.3">
      <c r="A7782" s="24">
        <v>42660</v>
      </c>
      <c r="B7782" s="66">
        <v>1301.6963700000001</v>
      </c>
      <c r="C7782" s="66">
        <v>1120</v>
      </c>
      <c r="D7782" s="70">
        <v>0</v>
      </c>
      <c r="E7782" s="111">
        <f t="shared" si="125"/>
        <v>138710</v>
      </c>
      <c r="F7782" s="69">
        <v>6.6063034949931584E-2</v>
      </c>
      <c r="G7782" s="69">
        <v>8.8736842105263156E-2</v>
      </c>
    </row>
    <row r="7783" spans="1:7" x14ac:dyDescent="0.3">
      <c r="A7783" s="24">
        <v>42661</v>
      </c>
      <c r="B7783" s="66">
        <v>1301.6963700000001</v>
      </c>
      <c r="C7783" s="66">
        <v>1120</v>
      </c>
      <c r="D7783" s="70">
        <v>0</v>
      </c>
      <c r="E7783" s="111">
        <f t="shared" si="125"/>
        <v>138710</v>
      </c>
      <c r="F7783" s="69">
        <v>6.6063034949931584E-2</v>
      </c>
      <c r="G7783" s="69">
        <v>8.8736842105263156E-2</v>
      </c>
    </row>
    <row r="7784" spans="1:7" x14ac:dyDescent="0.3">
      <c r="A7784" s="24">
        <v>42662</v>
      </c>
      <c r="B7784" s="66">
        <v>1301.6963700000001</v>
      </c>
      <c r="C7784" s="66">
        <v>1120</v>
      </c>
      <c r="D7784" s="70">
        <v>0</v>
      </c>
      <c r="E7784" s="111">
        <f t="shared" si="125"/>
        <v>138710</v>
      </c>
      <c r="F7784" s="69">
        <v>6.6063034949931584E-2</v>
      </c>
      <c r="G7784" s="69">
        <v>8.8736842105263156E-2</v>
      </c>
    </row>
    <row r="7785" spans="1:7" x14ac:dyDescent="0.3">
      <c r="A7785" s="24">
        <v>42663</v>
      </c>
      <c r="B7785" s="66">
        <v>1301.6963700000001</v>
      </c>
      <c r="C7785" s="66">
        <v>1120</v>
      </c>
      <c r="D7785" s="70">
        <v>0</v>
      </c>
      <c r="E7785" s="111">
        <f t="shared" si="125"/>
        <v>138710</v>
      </c>
      <c r="F7785" s="69">
        <v>6.6063034949931584E-2</v>
      </c>
      <c r="G7785" s="69">
        <v>8.8736842105263156E-2</v>
      </c>
    </row>
    <row r="7786" spans="1:7" x14ac:dyDescent="0.3">
      <c r="A7786" s="24">
        <v>42664</v>
      </c>
      <c r="B7786" s="66">
        <v>1301.6963700000001</v>
      </c>
      <c r="C7786" s="66">
        <v>1118</v>
      </c>
      <c r="D7786" s="70">
        <v>0</v>
      </c>
      <c r="E7786" s="111">
        <f t="shared" si="125"/>
        <v>138710</v>
      </c>
      <c r="F7786" s="69">
        <v>6.6063034949931584E-2</v>
      </c>
      <c r="G7786" s="69">
        <v>8.6907216494845355E-2</v>
      </c>
    </row>
    <row r="7787" spans="1:7" x14ac:dyDescent="0.3">
      <c r="A7787" s="24">
        <v>42665</v>
      </c>
      <c r="B7787" s="66">
        <v>1301.6963700000001</v>
      </c>
      <c r="C7787" s="66">
        <v>1118</v>
      </c>
      <c r="D7787" s="70">
        <v>0</v>
      </c>
      <c r="E7787" s="111">
        <f t="shared" si="125"/>
        <v>138710</v>
      </c>
      <c r="F7787" s="69">
        <v>6.6063034949931584E-2</v>
      </c>
      <c r="G7787" s="69">
        <v>8.6907216494845355E-2</v>
      </c>
    </row>
    <row r="7788" spans="1:7" x14ac:dyDescent="0.3">
      <c r="A7788" s="24">
        <v>42666</v>
      </c>
      <c r="B7788" s="66">
        <v>1301.6963700000001</v>
      </c>
      <c r="C7788" s="66">
        <v>1118</v>
      </c>
      <c r="D7788" s="70">
        <v>0</v>
      </c>
      <c r="E7788" s="111">
        <f t="shared" si="125"/>
        <v>138710</v>
      </c>
      <c r="F7788" s="69">
        <v>6.6063034949931584E-2</v>
      </c>
      <c r="G7788" s="69">
        <v>8.6907216494845355E-2</v>
      </c>
    </row>
    <row r="7789" spans="1:7" x14ac:dyDescent="0.3">
      <c r="A7789" s="24">
        <v>42667</v>
      </c>
      <c r="B7789" s="66">
        <v>1301.6963700000001</v>
      </c>
      <c r="C7789" s="66">
        <v>1120</v>
      </c>
      <c r="D7789" s="70">
        <v>0</v>
      </c>
      <c r="E7789" s="111">
        <f t="shared" si="125"/>
        <v>138710</v>
      </c>
      <c r="F7789" s="69">
        <v>6.6063034949931584E-2</v>
      </c>
      <c r="G7789" s="69">
        <v>8.6907216494845355E-2</v>
      </c>
    </row>
    <row r="7790" spans="1:7" x14ac:dyDescent="0.3">
      <c r="A7790" s="24">
        <v>42668</v>
      </c>
      <c r="B7790" s="66">
        <v>1301.6963700000001</v>
      </c>
      <c r="C7790" s="66">
        <v>1120.0999999999999</v>
      </c>
      <c r="D7790" s="70">
        <v>0</v>
      </c>
      <c r="E7790" s="111">
        <f t="shared" si="125"/>
        <v>138710</v>
      </c>
      <c r="F7790" s="69">
        <v>6.6063034949931584E-2</v>
      </c>
      <c r="G7790" s="69">
        <v>8.6020408163265297E-2</v>
      </c>
    </row>
    <row r="7791" spans="1:7" x14ac:dyDescent="0.3">
      <c r="A7791" s="24">
        <v>42669</v>
      </c>
      <c r="B7791" s="66">
        <v>1301.6963700000001</v>
      </c>
      <c r="C7791" s="66">
        <v>1120</v>
      </c>
      <c r="D7791" s="70">
        <v>0</v>
      </c>
      <c r="E7791" s="111">
        <f t="shared" si="125"/>
        <v>138710</v>
      </c>
      <c r="F7791" s="69">
        <v>6.6063034949931584E-2</v>
      </c>
      <c r="G7791" s="69">
        <v>8.6020408163265297E-2</v>
      </c>
    </row>
    <row r="7792" spans="1:7" x14ac:dyDescent="0.3">
      <c r="A7792" s="24">
        <v>42670</v>
      </c>
      <c r="B7792" s="66">
        <v>1301.6963700000001</v>
      </c>
      <c r="C7792" s="66">
        <v>1120</v>
      </c>
      <c r="D7792" s="70">
        <v>0</v>
      </c>
      <c r="E7792" s="111">
        <f t="shared" si="125"/>
        <v>138710</v>
      </c>
      <c r="F7792" s="69">
        <v>6.482238347813242E-2</v>
      </c>
      <c r="G7792" s="69">
        <v>8.6020408163265297E-2</v>
      </c>
    </row>
    <row r="7793" spans="1:7" x14ac:dyDescent="0.3">
      <c r="A7793" s="24">
        <v>42671</v>
      </c>
      <c r="B7793" s="66">
        <v>1321.81402</v>
      </c>
      <c r="C7793" s="66">
        <v>1120</v>
      </c>
      <c r="D7793" s="70">
        <v>0</v>
      </c>
      <c r="E7793" s="111">
        <f t="shared" si="125"/>
        <v>138710</v>
      </c>
      <c r="F7793" s="69">
        <v>6.482238347813242E-2</v>
      </c>
      <c r="G7793" s="69">
        <v>8.5151515151515145E-2</v>
      </c>
    </row>
    <row r="7794" spans="1:7" x14ac:dyDescent="0.3">
      <c r="A7794" s="24">
        <v>42672</v>
      </c>
      <c r="B7794" s="66">
        <v>1321.81402</v>
      </c>
      <c r="C7794" s="66">
        <v>1120</v>
      </c>
      <c r="D7794" s="70">
        <v>0</v>
      </c>
      <c r="E7794" s="111">
        <f t="shared" si="125"/>
        <v>138710</v>
      </c>
      <c r="F7794" s="69">
        <v>6.482238347813242E-2</v>
      </c>
      <c r="G7794" s="69">
        <v>8.5151515151515145E-2</v>
      </c>
    </row>
    <row r="7795" spans="1:7" x14ac:dyDescent="0.3">
      <c r="A7795" s="24">
        <v>42673</v>
      </c>
      <c r="B7795" s="66">
        <v>1321.81402</v>
      </c>
      <c r="C7795" s="66">
        <v>1120</v>
      </c>
      <c r="D7795" s="70">
        <v>0</v>
      </c>
      <c r="E7795" s="111">
        <f t="shared" si="125"/>
        <v>138710</v>
      </c>
      <c r="F7795" s="69">
        <v>6.482238347813242E-2</v>
      </c>
      <c r="G7795" s="69">
        <v>8.5151515151515145E-2</v>
      </c>
    </row>
    <row r="7796" spans="1:7" x14ac:dyDescent="0.3">
      <c r="A7796" s="24">
        <v>42674</v>
      </c>
      <c r="B7796" s="66">
        <v>1321.81402</v>
      </c>
      <c r="C7796" s="66">
        <v>1120</v>
      </c>
      <c r="D7796" s="70">
        <v>0</v>
      </c>
      <c r="E7796" s="111">
        <f t="shared" si="125"/>
        <v>138710</v>
      </c>
      <c r="F7796" s="69">
        <v>6.482238347813242E-2</v>
      </c>
      <c r="G7796" s="69">
        <v>8.5151515151515145E-2</v>
      </c>
    </row>
    <row r="7797" spans="1:7" x14ac:dyDescent="0.3">
      <c r="A7797" s="24">
        <v>42675</v>
      </c>
      <c r="B7797" s="66">
        <v>1321.81402</v>
      </c>
      <c r="C7797" s="66">
        <v>1120</v>
      </c>
      <c r="D7797" s="70">
        <v>0</v>
      </c>
      <c r="E7797" s="111">
        <f t="shared" si="125"/>
        <v>138710</v>
      </c>
      <c r="F7797" s="69">
        <v>6.482238347813242E-2</v>
      </c>
      <c r="G7797" s="69">
        <v>8.5151515151515145E-2</v>
      </c>
    </row>
    <row r="7798" spans="1:7" x14ac:dyDescent="0.3">
      <c r="A7798" s="24">
        <v>42676</v>
      </c>
      <c r="B7798" s="66">
        <v>1321.81402</v>
      </c>
      <c r="C7798" s="66">
        <v>1120</v>
      </c>
      <c r="D7798" s="70">
        <v>0</v>
      </c>
      <c r="E7798" s="111">
        <f t="shared" si="125"/>
        <v>138710</v>
      </c>
      <c r="F7798" s="69">
        <v>6.482238347813242E-2</v>
      </c>
      <c r="G7798" s="69">
        <v>8.6020408163265297E-2</v>
      </c>
    </row>
    <row r="7799" spans="1:7" x14ac:dyDescent="0.3">
      <c r="A7799" s="24">
        <v>42677</v>
      </c>
      <c r="B7799" s="66">
        <v>1321.81402</v>
      </c>
      <c r="C7799" s="66">
        <v>1116</v>
      </c>
      <c r="D7799" s="70">
        <v>0</v>
      </c>
      <c r="E7799" s="111">
        <f t="shared" si="125"/>
        <v>138710</v>
      </c>
      <c r="F7799" s="69">
        <v>6.482238347813242E-2</v>
      </c>
      <c r="G7799" s="69">
        <v>8.1844660194174759E-2</v>
      </c>
    </row>
    <row r="7800" spans="1:7" x14ac:dyDescent="0.3">
      <c r="A7800" s="24">
        <v>42678</v>
      </c>
      <c r="B7800" s="66">
        <v>1321.81402</v>
      </c>
      <c r="C7800" s="66">
        <v>1116</v>
      </c>
      <c r="D7800" s="70">
        <v>0</v>
      </c>
      <c r="E7800" s="111">
        <f t="shared" si="125"/>
        <v>138710</v>
      </c>
      <c r="F7800" s="69">
        <v>6.482238347813242E-2</v>
      </c>
      <c r="G7800" s="69">
        <v>8.1844660194174759E-2</v>
      </c>
    </row>
    <row r="7801" spans="1:7" x14ac:dyDescent="0.3">
      <c r="A7801" s="24">
        <v>42679</v>
      </c>
      <c r="B7801" s="66">
        <v>1321.81402</v>
      </c>
      <c r="C7801" s="66">
        <v>1116</v>
      </c>
      <c r="D7801" s="70">
        <v>0</v>
      </c>
      <c r="E7801" s="111">
        <f t="shared" si="125"/>
        <v>138710</v>
      </c>
      <c r="F7801" s="69">
        <v>6.482238347813242E-2</v>
      </c>
      <c r="G7801" s="69">
        <v>8.1844660194174759E-2</v>
      </c>
    </row>
    <row r="7802" spans="1:7" x14ac:dyDescent="0.3">
      <c r="A7802" s="24">
        <v>42680</v>
      </c>
      <c r="B7802" s="66">
        <v>1321.81402</v>
      </c>
      <c r="C7802" s="66">
        <v>1116</v>
      </c>
      <c r="D7802" s="70">
        <v>0</v>
      </c>
      <c r="E7802" s="111">
        <f t="shared" si="125"/>
        <v>138710</v>
      </c>
      <c r="F7802" s="69">
        <v>6.482238347813242E-2</v>
      </c>
      <c r="G7802" s="69">
        <v>8.1844660194174759E-2</v>
      </c>
    </row>
    <row r="7803" spans="1:7" x14ac:dyDescent="0.3">
      <c r="A7803" s="24">
        <v>42681</v>
      </c>
      <c r="B7803" s="66">
        <v>1321.81402</v>
      </c>
      <c r="C7803" s="66">
        <v>1120</v>
      </c>
      <c r="D7803" s="70">
        <v>0</v>
      </c>
      <c r="E7803" s="111">
        <f t="shared" si="125"/>
        <v>138710</v>
      </c>
      <c r="F7803" s="69">
        <v>6.482238347813242E-2</v>
      </c>
      <c r="G7803" s="69">
        <v>8.1844660194174759E-2</v>
      </c>
    </row>
    <row r="7804" spans="1:7" x14ac:dyDescent="0.3">
      <c r="A7804" s="24">
        <v>42682</v>
      </c>
      <c r="B7804" s="66">
        <v>1321.81402</v>
      </c>
      <c r="C7804" s="66">
        <v>1120</v>
      </c>
      <c r="D7804" s="70">
        <v>0</v>
      </c>
      <c r="E7804" s="111">
        <f t="shared" si="125"/>
        <v>138710</v>
      </c>
      <c r="F7804" s="69">
        <v>6.482238347813242E-2</v>
      </c>
      <c r="G7804" s="69">
        <v>8.1924198250728858E-2</v>
      </c>
    </row>
    <row r="7805" spans="1:7" x14ac:dyDescent="0.3">
      <c r="A7805" s="24">
        <v>42683</v>
      </c>
      <c r="B7805" s="66">
        <v>1321.81402</v>
      </c>
      <c r="C7805" s="66">
        <v>1120</v>
      </c>
      <c r="D7805" s="70">
        <v>0</v>
      </c>
      <c r="E7805" s="111">
        <f t="shared" si="125"/>
        <v>138710</v>
      </c>
      <c r="F7805" s="69">
        <v>6.482238347813242E-2</v>
      </c>
      <c r="G7805" s="69">
        <v>8.1924198250728858E-2</v>
      </c>
    </row>
    <row r="7806" spans="1:7" x14ac:dyDescent="0.3">
      <c r="A7806" s="24">
        <v>42684</v>
      </c>
      <c r="B7806" s="66">
        <v>1321.81402</v>
      </c>
      <c r="C7806" s="66">
        <v>1120</v>
      </c>
      <c r="D7806" s="70">
        <v>0</v>
      </c>
      <c r="E7806" s="111">
        <f t="shared" si="125"/>
        <v>138710</v>
      </c>
      <c r="F7806" s="69">
        <v>6.482238347813242E-2</v>
      </c>
      <c r="G7806" s="69">
        <v>8.1924198250728858E-2</v>
      </c>
    </row>
    <row r="7807" spans="1:7" x14ac:dyDescent="0.3">
      <c r="A7807" s="24">
        <v>42685</v>
      </c>
      <c r="B7807" s="66">
        <v>1321.81402</v>
      </c>
      <c r="C7807" s="66">
        <v>1120</v>
      </c>
      <c r="D7807" s="70">
        <v>0</v>
      </c>
      <c r="E7807" s="111">
        <f t="shared" si="125"/>
        <v>138710</v>
      </c>
      <c r="F7807" s="69">
        <v>6.482238347813242E-2</v>
      </c>
      <c r="G7807" s="69">
        <v>8.1057692307692303E-2</v>
      </c>
    </row>
    <row r="7808" spans="1:7" x14ac:dyDescent="0.3">
      <c r="A7808" s="24">
        <v>42686</v>
      </c>
      <c r="B7808" s="66">
        <v>1321.81402</v>
      </c>
      <c r="C7808" s="66">
        <v>1120</v>
      </c>
      <c r="D7808" s="70">
        <v>0</v>
      </c>
      <c r="E7808" s="111">
        <f t="shared" si="125"/>
        <v>138710</v>
      </c>
      <c r="F7808" s="69">
        <v>6.482238347813242E-2</v>
      </c>
      <c r="G7808" s="69">
        <v>8.1057692307692303E-2</v>
      </c>
    </row>
    <row r="7809" spans="1:7" x14ac:dyDescent="0.3">
      <c r="A7809" s="24">
        <v>42687</v>
      </c>
      <c r="B7809" s="66">
        <v>1321.81402</v>
      </c>
      <c r="C7809" s="66">
        <v>1120</v>
      </c>
      <c r="D7809" s="70">
        <v>0</v>
      </c>
      <c r="E7809" s="111">
        <f t="shared" si="125"/>
        <v>138710</v>
      </c>
      <c r="F7809" s="69">
        <v>6.482238347813242E-2</v>
      </c>
      <c r="G7809" s="69">
        <v>8.1057692307692303E-2</v>
      </c>
    </row>
    <row r="7810" spans="1:7" x14ac:dyDescent="0.3">
      <c r="A7810" s="24">
        <v>42688</v>
      </c>
      <c r="B7810" s="66">
        <v>1321.81402</v>
      </c>
      <c r="C7810" s="66">
        <v>1120</v>
      </c>
      <c r="D7810" s="70">
        <v>0</v>
      </c>
      <c r="E7810" s="111">
        <f t="shared" si="125"/>
        <v>138710</v>
      </c>
      <c r="F7810" s="69">
        <v>6.482238347813242E-2</v>
      </c>
      <c r="G7810" s="69">
        <v>8.0531142529614061E-2</v>
      </c>
    </row>
    <row r="7811" spans="1:7" x14ac:dyDescent="0.3">
      <c r="A7811" s="24">
        <v>42689</v>
      </c>
      <c r="B7811" s="66">
        <v>1321.81402</v>
      </c>
      <c r="C7811" s="66">
        <v>1120</v>
      </c>
      <c r="D7811" s="70">
        <v>0</v>
      </c>
      <c r="E7811" s="111">
        <f t="shared" si="125"/>
        <v>138710</v>
      </c>
      <c r="F7811" s="69">
        <v>6.482238347813242E-2</v>
      </c>
      <c r="G7811" s="69">
        <v>8.0362249761677787E-2</v>
      </c>
    </row>
    <row r="7812" spans="1:7" x14ac:dyDescent="0.3">
      <c r="A7812" s="24">
        <v>42690</v>
      </c>
      <c r="B7812" s="66">
        <v>1321.81402</v>
      </c>
      <c r="C7812" s="66">
        <v>1120</v>
      </c>
      <c r="D7812" s="70">
        <v>0</v>
      </c>
      <c r="E7812" s="111">
        <f t="shared" si="125"/>
        <v>138710</v>
      </c>
      <c r="F7812" s="69">
        <v>6.482238347813242E-2</v>
      </c>
      <c r="G7812" s="69">
        <v>8.0669856459330141E-2</v>
      </c>
    </row>
    <row r="7813" spans="1:7" x14ac:dyDescent="0.3">
      <c r="A7813" s="24">
        <v>42691</v>
      </c>
      <c r="B7813" s="66">
        <v>1321.81402</v>
      </c>
      <c r="C7813" s="66">
        <v>1120</v>
      </c>
      <c r="D7813" s="70">
        <v>0</v>
      </c>
      <c r="E7813" s="111">
        <f t="shared" si="125"/>
        <v>138710</v>
      </c>
      <c r="F7813" s="69">
        <v>6.482238347813242E-2</v>
      </c>
      <c r="G7813" s="69">
        <v>8.0677576801607795E-2</v>
      </c>
    </row>
    <row r="7814" spans="1:7" x14ac:dyDescent="0.3">
      <c r="A7814" s="24">
        <v>42692</v>
      </c>
      <c r="B7814" s="66">
        <v>1321.81402</v>
      </c>
      <c r="C7814" s="66">
        <v>1120</v>
      </c>
      <c r="D7814" s="70">
        <v>0</v>
      </c>
      <c r="E7814" s="111">
        <f t="shared" si="125"/>
        <v>138710</v>
      </c>
      <c r="F7814" s="69">
        <v>6.482238347813242E-2</v>
      </c>
      <c r="G7814" s="69">
        <v>8.0669856459330141E-2</v>
      </c>
    </row>
    <row r="7815" spans="1:7" x14ac:dyDescent="0.3">
      <c r="A7815" s="24">
        <v>42693</v>
      </c>
      <c r="B7815" s="66">
        <v>1321.81402</v>
      </c>
      <c r="C7815" s="66">
        <v>1120</v>
      </c>
      <c r="D7815" s="70">
        <v>0</v>
      </c>
      <c r="E7815" s="111">
        <f t="shared" si="125"/>
        <v>138710</v>
      </c>
      <c r="F7815" s="69">
        <v>6.482238347813242E-2</v>
      </c>
      <c r="G7815" s="69">
        <v>8.0669856459330141E-2</v>
      </c>
    </row>
    <row r="7816" spans="1:7" x14ac:dyDescent="0.3">
      <c r="A7816" s="24">
        <v>42694</v>
      </c>
      <c r="B7816" s="66">
        <v>1321.81402</v>
      </c>
      <c r="C7816" s="66">
        <v>1120</v>
      </c>
      <c r="D7816" s="70">
        <v>0</v>
      </c>
      <c r="E7816" s="111">
        <f t="shared" si="125"/>
        <v>138710</v>
      </c>
      <c r="F7816" s="69">
        <v>6.482238347813242E-2</v>
      </c>
      <c r="G7816" s="69">
        <v>8.0669856459330141E-2</v>
      </c>
    </row>
    <row r="7817" spans="1:7" x14ac:dyDescent="0.3">
      <c r="A7817" s="24">
        <v>42695</v>
      </c>
      <c r="B7817" s="66">
        <v>1321.81402</v>
      </c>
      <c r="C7817" s="66">
        <v>1120</v>
      </c>
      <c r="D7817" s="70">
        <v>0</v>
      </c>
      <c r="E7817" s="111">
        <f t="shared" ref="E7817:E7880" si="126">+E7816</f>
        <v>138710</v>
      </c>
      <c r="F7817" s="69">
        <v>6.482238347813242E-2</v>
      </c>
      <c r="G7817" s="69">
        <v>8.0669856459330141E-2</v>
      </c>
    </row>
    <row r="7818" spans="1:7" x14ac:dyDescent="0.3">
      <c r="A7818" s="24">
        <v>42696</v>
      </c>
      <c r="B7818" s="66">
        <v>1321.81402</v>
      </c>
      <c r="C7818" s="66">
        <v>1120</v>
      </c>
      <c r="D7818" s="70">
        <v>0</v>
      </c>
      <c r="E7818" s="111">
        <f t="shared" si="126"/>
        <v>138710</v>
      </c>
      <c r="F7818" s="69">
        <v>6.482238347813242E-2</v>
      </c>
      <c r="G7818" s="69">
        <v>8.0669856459330141E-2</v>
      </c>
    </row>
    <row r="7819" spans="1:7" x14ac:dyDescent="0.3">
      <c r="A7819" s="24">
        <v>42697</v>
      </c>
      <c r="B7819" s="66">
        <v>1321.81402</v>
      </c>
      <c r="C7819" s="66">
        <v>1120</v>
      </c>
      <c r="D7819" s="70">
        <v>0</v>
      </c>
      <c r="E7819" s="111">
        <f t="shared" si="126"/>
        <v>138710</v>
      </c>
      <c r="F7819" s="69">
        <v>6.482238347813242E-2</v>
      </c>
      <c r="G7819" s="69">
        <v>8.0669856459330141E-2</v>
      </c>
    </row>
    <row r="7820" spans="1:7" x14ac:dyDescent="0.3">
      <c r="A7820" s="24">
        <v>42698</v>
      </c>
      <c r="B7820" s="66">
        <v>1321.81402</v>
      </c>
      <c r="C7820" s="66">
        <v>1120.01</v>
      </c>
      <c r="D7820" s="70">
        <v>0</v>
      </c>
      <c r="E7820" s="111">
        <f t="shared" si="126"/>
        <v>138710</v>
      </c>
      <c r="F7820" s="69">
        <v>6.482238347813242E-2</v>
      </c>
      <c r="G7820" s="69">
        <v>8.0669856459330141E-2</v>
      </c>
    </row>
    <row r="7821" spans="1:7" x14ac:dyDescent="0.3">
      <c r="A7821" s="24">
        <v>42699</v>
      </c>
      <c r="B7821" s="66">
        <v>1321.81402</v>
      </c>
      <c r="C7821" s="66">
        <v>1121</v>
      </c>
      <c r="D7821" s="70">
        <v>0</v>
      </c>
      <c r="E7821" s="111">
        <f t="shared" si="126"/>
        <v>138710</v>
      </c>
      <c r="F7821" s="69">
        <v>6.482238347813242E-2</v>
      </c>
      <c r="G7821" s="69">
        <v>8.1057692307692303E-2</v>
      </c>
    </row>
    <row r="7822" spans="1:7" x14ac:dyDescent="0.3">
      <c r="A7822" s="24">
        <v>42700</v>
      </c>
      <c r="B7822" s="66">
        <v>1321.81402</v>
      </c>
      <c r="C7822" s="66">
        <v>1121</v>
      </c>
      <c r="D7822" s="70">
        <v>0</v>
      </c>
      <c r="E7822" s="111">
        <f t="shared" si="126"/>
        <v>138710</v>
      </c>
      <c r="F7822" s="69">
        <v>6.482238347813242E-2</v>
      </c>
      <c r="G7822" s="69">
        <v>8.1057692307692303E-2</v>
      </c>
    </row>
    <row r="7823" spans="1:7" x14ac:dyDescent="0.3">
      <c r="A7823" s="24">
        <v>42701</v>
      </c>
      <c r="B7823" s="66">
        <v>1321.81402</v>
      </c>
      <c r="C7823" s="66">
        <v>1121</v>
      </c>
      <c r="D7823" s="70">
        <v>0</v>
      </c>
      <c r="E7823" s="111">
        <f t="shared" si="126"/>
        <v>138710</v>
      </c>
      <c r="F7823" s="69">
        <v>6.482238347813242E-2</v>
      </c>
      <c r="G7823" s="69">
        <v>8.1057692307692303E-2</v>
      </c>
    </row>
    <row r="7824" spans="1:7" x14ac:dyDescent="0.3">
      <c r="A7824" s="24">
        <v>42702</v>
      </c>
      <c r="B7824" s="66">
        <v>1321.81402</v>
      </c>
      <c r="C7824" s="66">
        <v>1121</v>
      </c>
      <c r="D7824" s="70">
        <v>0</v>
      </c>
      <c r="E7824" s="111">
        <f t="shared" si="126"/>
        <v>138710</v>
      </c>
      <c r="F7824" s="69">
        <v>6.482238347813242E-2</v>
      </c>
      <c r="G7824" s="69">
        <v>8.1057692307692303E-2</v>
      </c>
    </row>
    <row r="7825" spans="1:7" x14ac:dyDescent="0.3">
      <c r="A7825" s="24">
        <v>42703</v>
      </c>
      <c r="B7825" s="66">
        <v>1321.81402</v>
      </c>
      <c r="C7825" s="66">
        <v>1122</v>
      </c>
      <c r="D7825" s="70">
        <v>0</v>
      </c>
      <c r="E7825" s="111">
        <f t="shared" si="126"/>
        <v>138710</v>
      </c>
      <c r="F7825" s="69">
        <v>6.482238347813242E-2</v>
      </c>
      <c r="G7825" s="69">
        <v>8.2647058823529407E-2</v>
      </c>
    </row>
    <row r="7826" spans="1:7" x14ac:dyDescent="0.3">
      <c r="A7826" s="24">
        <v>42704</v>
      </c>
      <c r="B7826" s="66">
        <v>1321.81402</v>
      </c>
      <c r="C7826" s="66">
        <v>1123</v>
      </c>
      <c r="D7826" s="70">
        <v>0</v>
      </c>
      <c r="E7826" s="111">
        <f t="shared" si="126"/>
        <v>138710</v>
      </c>
      <c r="F7826" s="69">
        <v>6.482238347813242E-2</v>
      </c>
      <c r="G7826" s="69">
        <v>8.1174771304766483E-2</v>
      </c>
    </row>
    <row r="7827" spans="1:7" x14ac:dyDescent="0.3">
      <c r="A7827" s="24">
        <v>42705</v>
      </c>
      <c r="B7827" s="66">
        <v>1321.81402</v>
      </c>
      <c r="C7827" s="66">
        <v>1122</v>
      </c>
      <c r="D7827" s="70">
        <v>0</v>
      </c>
      <c r="E7827" s="111">
        <f t="shared" si="126"/>
        <v>138710</v>
      </c>
      <c r="F7827" s="69">
        <v>6.482238347813242E-2</v>
      </c>
      <c r="G7827" s="69">
        <v>8.1213872832369943E-2</v>
      </c>
    </row>
    <row r="7828" spans="1:7" x14ac:dyDescent="0.3">
      <c r="A7828" s="24">
        <v>42706</v>
      </c>
      <c r="B7828" s="66">
        <v>1321.81402</v>
      </c>
      <c r="C7828" s="66">
        <v>1122</v>
      </c>
      <c r="D7828" s="70">
        <v>0</v>
      </c>
      <c r="E7828" s="111">
        <f t="shared" si="126"/>
        <v>138710</v>
      </c>
      <c r="F7828" s="69">
        <v>6.482238347813242E-2</v>
      </c>
      <c r="G7828" s="69">
        <v>8.1213872832369943E-2</v>
      </c>
    </row>
    <row r="7829" spans="1:7" x14ac:dyDescent="0.3">
      <c r="A7829" s="24">
        <v>42707</v>
      </c>
      <c r="B7829" s="66">
        <v>1321.81402</v>
      </c>
      <c r="C7829" s="66">
        <v>1122</v>
      </c>
      <c r="D7829" s="70">
        <v>0</v>
      </c>
      <c r="E7829" s="111">
        <f t="shared" si="126"/>
        <v>138710</v>
      </c>
      <c r="F7829" s="69">
        <v>6.482238347813242E-2</v>
      </c>
      <c r="G7829" s="69">
        <v>8.1213872832369943E-2</v>
      </c>
    </row>
    <row r="7830" spans="1:7" x14ac:dyDescent="0.3">
      <c r="A7830" s="24">
        <v>42708</v>
      </c>
      <c r="B7830" s="66">
        <v>1321.81402</v>
      </c>
      <c r="C7830" s="66">
        <v>1122</v>
      </c>
      <c r="D7830" s="70">
        <v>0</v>
      </c>
      <c r="E7830" s="111">
        <f t="shared" si="126"/>
        <v>138710</v>
      </c>
      <c r="F7830" s="69">
        <v>6.482238347813242E-2</v>
      </c>
      <c r="G7830" s="69">
        <v>8.1213872832369943E-2</v>
      </c>
    </row>
    <row r="7831" spans="1:7" x14ac:dyDescent="0.3">
      <c r="A7831" s="24">
        <v>42709</v>
      </c>
      <c r="B7831" s="66">
        <v>1321.81402</v>
      </c>
      <c r="C7831" s="66">
        <v>1121</v>
      </c>
      <c r="D7831" s="70">
        <v>0</v>
      </c>
      <c r="E7831" s="111">
        <f t="shared" si="126"/>
        <v>138710</v>
      </c>
      <c r="F7831" s="69">
        <v>6.482238347813242E-2</v>
      </c>
      <c r="G7831" s="69">
        <v>8.1213872832369943E-2</v>
      </c>
    </row>
    <row r="7832" spans="1:7" x14ac:dyDescent="0.3">
      <c r="A7832" s="24">
        <v>42710</v>
      </c>
      <c r="B7832" s="66">
        <v>1321.81402</v>
      </c>
      <c r="C7832" s="66">
        <v>1120</v>
      </c>
      <c r="D7832" s="70">
        <v>0</v>
      </c>
      <c r="E7832" s="111">
        <f t="shared" si="126"/>
        <v>138710</v>
      </c>
      <c r="F7832" s="69">
        <v>5.3288151542521665E-2</v>
      </c>
      <c r="G7832" s="69">
        <v>6.6763005780346815E-2</v>
      </c>
    </row>
    <row r="7833" spans="1:7" x14ac:dyDescent="0.3">
      <c r="A7833" s="24">
        <v>42711</v>
      </c>
      <c r="B7833" s="66">
        <v>1321.81402</v>
      </c>
      <c r="C7833" s="66">
        <v>1130</v>
      </c>
      <c r="D7833" s="70">
        <v>0</v>
      </c>
      <c r="E7833" s="111">
        <f t="shared" si="126"/>
        <v>138710</v>
      </c>
      <c r="F7833" s="69">
        <v>5.3288151542521665E-2</v>
      </c>
      <c r="G7833" s="69">
        <v>6.6956521739130428E-2</v>
      </c>
    </row>
    <row r="7834" spans="1:7" x14ac:dyDescent="0.3">
      <c r="A7834" s="24">
        <v>42712</v>
      </c>
      <c r="B7834" s="66">
        <v>1321.81402</v>
      </c>
      <c r="C7834" s="66">
        <v>1130</v>
      </c>
      <c r="D7834" s="70">
        <v>0</v>
      </c>
      <c r="E7834" s="111">
        <f t="shared" si="126"/>
        <v>138710</v>
      </c>
      <c r="F7834" s="69">
        <v>5.3288151542521665E-2</v>
      </c>
      <c r="G7834" s="69">
        <v>6.6737288135593209E-2</v>
      </c>
    </row>
    <row r="7835" spans="1:7" x14ac:dyDescent="0.3">
      <c r="A7835" s="24">
        <v>42713</v>
      </c>
      <c r="B7835" s="66">
        <v>1329.1209999999999</v>
      </c>
      <c r="C7835" s="66">
        <v>1130</v>
      </c>
      <c r="D7835" s="70">
        <v>16</v>
      </c>
      <c r="E7835" s="111">
        <f t="shared" si="126"/>
        <v>138710</v>
      </c>
      <c r="F7835" s="69">
        <v>6.55913322738398E-2</v>
      </c>
      <c r="G7835" s="69">
        <v>8.2019230769230761E-2</v>
      </c>
    </row>
    <row r="7836" spans="1:7" x14ac:dyDescent="0.3">
      <c r="A7836" s="24">
        <v>42714</v>
      </c>
      <c r="B7836" s="66">
        <v>1329.1209999999999</v>
      </c>
      <c r="C7836" s="66">
        <v>1130</v>
      </c>
      <c r="D7836" s="70">
        <v>0</v>
      </c>
      <c r="E7836" s="111">
        <f t="shared" si="126"/>
        <v>138710</v>
      </c>
      <c r="F7836" s="69">
        <v>6.55913322738398E-2</v>
      </c>
      <c r="G7836" s="69">
        <v>8.2019230769230761E-2</v>
      </c>
    </row>
    <row r="7837" spans="1:7" x14ac:dyDescent="0.3">
      <c r="A7837" s="24">
        <v>42715</v>
      </c>
      <c r="B7837" s="66">
        <v>1329.1209999999999</v>
      </c>
      <c r="C7837" s="66">
        <v>1130</v>
      </c>
      <c r="D7837" s="70">
        <v>0</v>
      </c>
      <c r="E7837" s="111">
        <f t="shared" si="126"/>
        <v>138710</v>
      </c>
      <c r="F7837" s="69">
        <v>6.55913322738398E-2</v>
      </c>
      <c r="G7837" s="69">
        <v>8.2019230769230761E-2</v>
      </c>
    </row>
    <row r="7838" spans="1:7" x14ac:dyDescent="0.3">
      <c r="A7838" s="24">
        <v>42716</v>
      </c>
      <c r="B7838" s="66">
        <v>1329.1209999999999</v>
      </c>
      <c r="C7838" s="66">
        <v>1130</v>
      </c>
      <c r="D7838" s="70">
        <v>0</v>
      </c>
      <c r="E7838" s="111">
        <f t="shared" si="126"/>
        <v>138710</v>
      </c>
      <c r="F7838" s="69">
        <v>6.55913322738398E-2</v>
      </c>
      <c r="G7838" s="69">
        <v>8.3463796477495106E-2</v>
      </c>
    </row>
    <row r="7839" spans="1:7" x14ac:dyDescent="0.3">
      <c r="A7839" s="24">
        <v>42717</v>
      </c>
      <c r="B7839" s="66">
        <v>1329.1209999999999</v>
      </c>
      <c r="C7839" s="66">
        <v>1130.0999999999999</v>
      </c>
      <c r="D7839" s="70">
        <v>0</v>
      </c>
      <c r="E7839" s="111">
        <f t="shared" si="126"/>
        <v>138710</v>
      </c>
      <c r="F7839" s="69">
        <v>6.55913322738398E-2</v>
      </c>
      <c r="G7839" s="69">
        <v>8.2027117992114623E-2</v>
      </c>
    </row>
    <row r="7840" spans="1:7" x14ac:dyDescent="0.3">
      <c r="A7840" s="24">
        <v>42718</v>
      </c>
      <c r="B7840" s="66">
        <v>1329.1209999999999</v>
      </c>
      <c r="C7840" s="66">
        <v>1140</v>
      </c>
      <c r="D7840" s="70">
        <v>0</v>
      </c>
      <c r="E7840" s="111">
        <f t="shared" si="126"/>
        <v>138710</v>
      </c>
      <c r="F7840" s="69">
        <v>6.55913322738398E-2</v>
      </c>
      <c r="G7840" s="69">
        <v>8.2027117992114623E-2</v>
      </c>
    </row>
    <row r="7841" spans="1:7" x14ac:dyDescent="0.3">
      <c r="A7841" s="24">
        <v>42719</v>
      </c>
      <c r="B7841" s="66">
        <v>1329.1209999999999</v>
      </c>
      <c r="C7841" s="66">
        <v>1153.3719999999998</v>
      </c>
      <c r="D7841" s="70">
        <v>0</v>
      </c>
      <c r="E7841" s="111">
        <f t="shared" si="126"/>
        <v>138710</v>
      </c>
      <c r="F7841" s="69">
        <v>6.55913322738398E-2</v>
      </c>
      <c r="G7841" s="69">
        <v>8.2815533980582515E-2</v>
      </c>
    </row>
    <row r="7842" spans="1:7" x14ac:dyDescent="0.3">
      <c r="A7842" s="24">
        <v>42720</v>
      </c>
      <c r="B7842" s="66">
        <v>1329.1209999999999</v>
      </c>
      <c r="C7842" s="66">
        <v>1140.0999999999999</v>
      </c>
      <c r="D7842" s="70">
        <v>0</v>
      </c>
      <c r="E7842" s="111">
        <f t="shared" si="126"/>
        <v>138710</v>
      </c>
      <c r="F7842" s="69">
        <v>6.55913322738398E-2</v>
      </c>
      <c r="G7842" s="69">
        <v>8.2815533980582515E-2</v>
      </c>
    </row>
    <row r="7843" spans="1:7" x14ac:dyDescent="0.3">
      <c r="A7843" s="24">
        <v>42721</v>
      </c>
      <c r="B7843" s="66">
        <v>1329.1209999999999</v>
      </c>
      <c r="C7843" s="66">
        <v>1140.0999999999999</v>
      </c>
      <c r="D7843" s="70">
        <v>0</v>
      </c>
      <c r="E7843" s="111">
        <f t="shared" si="126"/>
        <v>138710</v>
      </c>
      <c r="F7843" s="69">
        <v>6.55913322738398E-2</v>
      </c>
      <c r="G7843" s="69">
        <v>8.2815533980582515E-2</v>
      </c>
    </row>
    <row r="7844" spans="1:7" x14ac:dyDescent="0.3">
      <c r="A7844" s="24">
        <v>42722</v>
      </c>
      <c r="B7844" s="66">
        <v>1329.1209999999999</v>
      </c>
      <c r="C7844" s="66">
        <v>1140.0999999999999</v>
      </c>
      <c r="D7844" s="70">
        <v>0</v>
      </c>
      <c r="E7844" s="111">
        <f t="shared" si="126"/>
        <v>138710</v>
      </c>
      <c r="F7844" s="69">
        <v>6.55913322738398E-2</v>
      </c>
      <c r="G7844" s="69">
        <v>8.2815533980582515E-2</v>
      </c>
    </row>
    <row r="7845" spans="1:7" x14ac:dyDescent="0.3">
      <c r="A7845" s="24">
        <v>42723</v>
      </c>
      <c r="B7845" s="66">
        <v>1329.1209999999999</v>
      </c>
      <c r="C7845" s="66">
        <v>1150</v>
      </c>
      <c r="D7845" s="70">
        <v>0</v>
      </c>
      <c r="E7845" s="111">
        <f t="shared" si="126"/>
        <v>138710</v>
      </c>
      <c r="F7845" s="69">
        <v>6.55913322738398E-2</v>
      </c>
      <c r="G7845" s="69">
        <v>8.2815533980582515E-2</v>
      </c>
    </row>
    <row r="7846" spans="1:7" x14ac:dyDescent="0.3">
      <c r="A7846" s="24">
        <v>42724</v>
      </c>
      <c r="B7846" s="66">
        <v>1329.1209999999999</v>
      </c>
      <c r="C7846" s="66">
        <v>1149.9000000000001</v>
      </c>
      <c r="D7846" s="70">
        <v>0</v>
      </c>
      <c r="E7846" s="111">
        <f t="shared" si="126"/>
        <v>138710</v>
      </c>
      <c r="F7846" s="69">
        <v>6.55913322738398E-2</v>
      </c>
      <c r="G7846" s="69">
        <v>8.2815533980582515E-2</v>
      </c>
    </row>
    <row r="7847" spans="1:7" x14ac:dyDescent="0.3">
      <c r="A7847" s="24">
        <v>42725</v>
      </c>
      <c r="B7847" s="66">
        <v>1329.1209999999999</v>
      </c>
      <c r="C7847" s="66">
        <v>1149.9000000000001</v>
      </c>
      <c r="D7847" s="70">
        <v>0</v>
      </c>
      <c r="E7847" s="111">
        <f t="shared" si="126"/>
        <v>138710</v>
      </c>
      <c r="F7847" s="69">
        <v>6.55913322738398E-2</v>
      </c>
      <c r="G7847" s="69">
        <v>8.2815533980582515E-2</v>
      </c>
    </row>
    <row r="7848" spans="1:7" x14ac:dyDescent="0.3">
      <c r="A7848" s="24">
        <v>42726</v>
      </c>
      <c r="B7848" s="66">
        <v>1329.1209999999999</v>
      </c>
      <c r="C7848" s="66">
        <v>1149</v>
      </c>
      <c r="D7848" s="70">
        <v>0</v>
      </c>
      <c r="E7848" s="111">
        <f t="shared" si="126"/>
        <v>138710</v>
      </c>
      <c r="F7848" s="69">
        <v>6.55913322738398E-2</v>
      </c>
      <c r="G7848" s="69">
        <v>8.2815533980582515E-2</v>
      </c>
    </row>
    <row r="7849" spans="1:7" x14ac:dyDescent="0.3">
      <c r="A7849" s="24">
        <v>42727</v>
      </c>
      <c r="B7849" s="66">
        <v>1329.1209999999999</v>
      </c>
      <c r="C7849" s="66">
        <v>1148.9000000000001</v>
      </c>
      <c r="D7849" s="70">
        <v>0</v>
      </c>
      <c r="E7849" s="111">
        <f t="shared" si="126"/>
        <v>138710</v>
      </c>
      <c r="F7849" s="69">
        <v>6.55913322738398E-2</v>
      </c>
      <c r="G7849" s="69">
        <v>8.2815533980582515E-2</v>
      </c>
    </row>
    <row r="7850" spans="1:7" x14ac:dyDescent="0.3">
      <c r="A7850" s="24">
        <v>42728</v>
      </c>
      <c r="B7850" s="66">
        <v>1329.1209999999999</v>
      </c>
      <c r="C7850" s="66">
        <v>1148.9000000000001</v>
      </c>
      <c r="D7850" s="70">
        <v>0</v>
      </c>
      <c r="E7850" s="111">
        <f t="shared" si="126"/>
        <v>138710</v>
      </c>
      <c r="F7850" s="69">
        <v>6.55913322738398E-2</v>
      </c>
      <c r="G7850" s="69">
        <v>8.2815533980582515E-2</v>
      </c>
    </row>
    <row r="7851" spans="1:7" x14ac:dyDescent="0.3">
      <c r="A7851" s="24">
        <v>42729</v>
      </c>
      <c r="B7851" s="66">
        <v>1329.1209999999999</v>
      </c>
      <c r="C7851" s="66">
        <v>1148.9000000000001</v>
      </c>
      <c r="D7851" s="70">
        <v>0</v>
      </c>
      <c r="E7851" s="111">
        <f t="shared" si="126"/>
        <v>138710</v>
      </c>
      <c r="F7851" s="69">
        <v>6.55913322738398E-2</v>
      </c>
      <c r="G7851" s="69">
        <v>8.2815533980582515E-2</v>
      </c>
    </row>
    <row r="7852" spans="1:7" x14ac:dyDescent="0.3">
      <c r="A7852" s="24">
        <v>42730</v>
      </c>
      <c r="B7852" s="66">
        <v>1329.1209999999999</v>
      </c>
      <c r="C7852" s="66">
        <v>1150</v>
      </c>
      <c r="D7852" s="70">
        <v>0</v>
      </c>
      <c r="E7852" s="111">
        <f t="shared" si="126"/>
        <v>138710</v>
      </c>
      <c r="F7852" s="69">
        <v>6.55913322738398E-2</v>
      </c>
      <c r="G7852" s="69">
        <v>8.2815533980582515E-2</v>
      </c>
    </row>
    <row r="7853" spans="1:7" x14ac:dyDescent="0.3">
      <c r="A7853" s="24">
        <v>42731</v>
      </c>
      <c r="B7853" s="66">
        <v>1329.1209999999999</v>
      </c>
      <c r="C7853" s="66">
        <v>1150</v>
      </c>
      <c r="D7853" s="70">
        <v>0</v>
      </c>
      <c r="E7853" s="111">
        <f t="shared" si="126"/>
        <v>138710</v>
      </c>
      <c r="F7853" s="69">
        <v>6.55913322738398E-2</v>
      </c>
      <c r="G7853" s="69">
        <v>8.2815533980582515E-2</v>
      </c>
    </row>
    <row r="7854" spans="1:7" x14ac:dyDescent="0.3">
      <c r="A7854" s="24">
        <v>42732</v>
      </c>
      <c r="B7854" s="66">
        <v>1329.1209999999999</v>
      </c>
      <c r="C7854" s="66">
        <v>1150</v>
      </c>
      <c r="D7854" s="70">
        <v>0</v>
      </c>
      <c r="E7854" s="111">
        <f t="shared" si="126"/>
        <v>138710</v>
      </c>
      <c r="F7854" s="69">
        <v>6.55913322738398E-2</v>
      </c>
      <c r="G7854" s="69">
        <v>8.2815533980582515E-2</v>
      </c>
    </row>
    <row r="7855" spans="1:7" x14ac:dyDescent="0.3">
      <c r="A7855" s="24">
        <v>42733</v>
      </c>
      <c r="B7855" s="66">
        <v>1329.1209999999999</v>
      </c>
      <c r="C7855" s="66">
        <v>1150</v>
      </c>
      <c r="D7855" s="70">
        <v>0</v>
      </c>
      <c r="E7855" s="111">
        <f t="shared" si="126"/>
        <v>138710</v>
      </c>
      <c r="F7855" s="69">
        <v>6.55913322738398E-2</v>
      </c>
      <c r="G7855" s="69">
        <v>8.2815533980582515E-2</v>
      </c>
    </row>
    <row r="7856" spans="1:7" x14ac:dyDescent="0.3">
      <c r="A7856" s="24">
        <v>42734</v>
      </c>
      <c r="B7856" s="66">
        <v>1329.1209999999999</v>
      </c>
      <c r="C7856" s="66">
        <v>1150</v>
      </c>
      <c r="D7856" s="70">
        <v>0</v>
      </c>
      <c r="E7856" s="111">
        <f t="shared" si="126"/>
        <v>138710</v>
      </c>
      <c r="F7856" s="69">
        <v>6.55913322738398E-2</v>
      </c>
      <c r="G7856" s="69">
        <v>8.2815533980582515E-2</v>
      </c>
    </row>
    <row r="7857" spans="1:7" x14ac:dyDescent="0.3">
      <c r="A7857" s="24">
        <v>42735</v>
      </c>
      <c r="B7857" s="66">
        <v>1329.1209999999999</v>
      </c>
      <c r="C7857" s="66">
        <v>1150</v>
      </c>
      <c r="D7857" s="70">
        <v>0</v>
      </c>
      <c r="E7857" s="111">
        <f t="shared" si="126"/>
        <v>138710</v>
      </c>
      <c r="F7857" s="69">
        <v>6.55913322738398E-2</v>
      </c>
      <c r="G7857" s="69">
        <v>8.2815533980582515E-2</v>
      </c>
    </row>
    <row r="7858" spans="1:7" x14ac:dyDescent="0.3">
      <c r="A7858" s="24">
        <v>42736</v>
      </c>
      <c r="B7858" s="66">
        <v>1329.1209999999999</v>
      </c>
      <c r="C7858" s="66">
        <v>1150</v>
      </c>
      <c r="D7858" s="70">
        <v>0</v>
      </c>
      <c r="E7858" s="111">
        <f t="shared" si="126"/>
        <v>138710</v>
      </c>
      <c r="F7858" s="69">
        <v>6.55913322738398E-2</v>
      </c>
      <c r="G7858" s="69">
        <v>8.2815533980582515E-2</v>
      </c>
    </row>
    <row r="7859" spans="1:7" x14ac:dyDescent="0.3">
      <c r="A7859" s="24">
        <v>42737</v>
      </c>
      <c r="B7859" s="66">
        <v>1329.1209999999999</v>
      </c>
      <c r="C7859" s="66">
        <v>1150</v>
      </c>
      <c r="D7859" s="70">
        <v>0</v>
      </c>
      <c r="E7859" s="111">
        <f t="shared" si="126"/>
        <v>138710</v>
      </c>
      <c r="F7859" s="69">
        <v>6.55913322738398E-2</v>
      </c>
      <c r="G7859" s="69">
        <v>8.2815533980582515E-2</v>
      </c>
    </row>
    <row r="7860" spans="1:7" x14ac:dyDescent="0.3">
      <c r="A7860" s="24">
        <v>42738</v>
      </c>
      <c r="B7860" s="66">
        <v>1329.1209999999999</v>
      </c>
      <c r="C7860" s="66">
        <v>1150</v>
      </c>
      <c r="D7860" s="70">
        <v>0</v>
      </c>
      <c r="E7860" s="111">
        <f t="shared" si="126"/>
        <v>138710</v>
      </c>
      <c r="F7860" s="69">
        <v>6.55913322738398E-2</v>
      </c>
      <c r="G7860" s="69">
        <v>8.2256509161041463E-2</v>
      </c>
    </row>
    <row r="7861" spans="1:7" x14ac:dyDescent="0.3">
      <c r="A7861" s="24">
        <v>42739</v>
      </c>
      <c r="B7861" s="66">
        <v>1329.1209999999999</v>
      </c>
      <c r="C7861" s="66">
        <v>1150</v>
      </c>
      <c r="D7861" s="70">
        <v>0</v>
      </c>
      <c r="E7861" s="111">
        <f t="shared" si="126"/>
        <v>138710</v>
      </c>
      <c r="F7861" s="69">
        <v>6.55913322738398E-2</v>
      </c>
      <c r="G7861" s="69">
        <v>8.2815533980582515E-2</v>
      </c>
    </row>
    <row r="7862" spans="1:7" x14ac:dyDescent="0.3">
      <c r="A7862" s="24">
        <v>42740</v>
      </c>
      <c r="B7862" s="66">
        <v>1329.1209999999999</v>
      </c>
      <c r="C7862" s="66">
        <v>1150.5999999999999</v>
      </c>
      <c r="D7862" s="70">
        <v>0</v>
      </c>
      <c r="E7862" s="111">
        <f t="shared" si="126"/>
        <v>138710</v>
      </c>
      <c r="F7862" s="69">
        <v>6.55913322738398E-2</v>
      </c>
      <c r="G7862" s="69">
        <v>8.2815533980582515E-2</v>
      </c>
    </row>
    <row r="7863" spans="1:7" x14ac:dyDescent="0.3">
      <c r="A7863" s="24">
        <v>42741</v>
      </c>
      <c r="B7863" s="66">
        <v>1329.1209999999999</v>
      </c>
      <c r="C7863" s="66">
        <v>1150.5999999999999</v>
      </c>
      <c r="D7863" s="70">
        <v>0</v>
      </c>
      <c r="E7863" s="111">
        <f t="shared" si="126"/>
        <v>138710</v>
      </c>
      <c r="F7863" s="69">
        <v>6.55913322738398E-2</v>
      </c>
      <c r="G7863" s="69">
        <v>8.2575024201355277E-2</v>
      </c>
    </row>
    <row r="7864" spans="1:7" x14ac:dyDescent="0.3">
      <c r="A7864" s="24">
        <v>42742</v>
      </c>
      <c r="B7864" s="66">
        <v>1329.1209999999999</v>
      </c>
      <c r="C7864" s="66">
        <v>1150.5999999999999</v>
      </c>
      <c r="D7864" s="70">
        <v>0</v>
      </c>
      <c r="E7864" s="111">
        <f t="shared" si="126"/>
        <v>138710</v>
      </c>
      <c r="F7864" s="69">
        <v>6.55913322738398E-2</v>
      </c>
      <c r="G7864" s="69">
        <v>8.2575024201355277E-2</v>
      </c>
    </row>
    <row r="7865" spans="1:7" x14ac:dyDescent="0.3">
      <c r="A7865" s="24">
        <v>42743</v>
      </c>
      <c r="B7865" s="66">
        <v>1329.1209999999999</v>
      </c>
      <c r="C7865" s="66">
        <v>1150.5999999999999</v>
      </c>
      <c r="D7865" s="70">
        <v>0</v>
      </c>
      <c r="E7865" s="111">
        <f t="shared" si="126"/>
        <v>138710</v>
      </c>
      <c r="F7865" s="69">
        <v>6.55913322738398E-2</v>
      </c>
      <c r="G7865" s="69">
        <v>8.2575024201355277E-2</v>
      </c>
    </row>
    <row r="7866" spans="1:7" x14ac:dyDescent="0.3">
      <c r="A7866" s="24">
        <v>42744</v>
      </c>
      <c r="B7866" s="66">
        <v>1329.1209999999999</v>
      </c>
      <c r="C7866" s="66">
        <v>1150.5999999999999</v>
      </c>
      <c r="D7866" s="70">
        <v>0</v>
      </c>
      <c r="E7866" s="111">
        <f t="shared" si="126"/>
        <v>138710</v>
      </c>
      <c r="F7866" s="69">
        <v>6.55913322738398E-2</v>
      </c>
      <c r="G7866" s="69">
        <v>8.2575024201355277E-2</v>
      </c>
    </row>
    <row r="7867" spans="1:7" x14ac:dyDescent="0.3">
      <c r="A7867" s="24">
        <v>42745</v>
      </c>
      <c r="B7867" s="66">
        <v>1329.1209999999999</v>
      </c>
      <c r="C7867" s="66">
        <v>1180</v>
      </c>
      <c r="D7867" s="70">
        <v>0</v>
      </c>
      <c r="E7867" s="111">
        <f t="shared" si="126"/>
        <v>138710</v>
      </c>
      <c r="F7867" s="69">
        <v>6.4279314343932761E-2</v>
      </c>
      <c r="G7867" s="69">
        <v>8.2415458937198066E-2</v>
      </c>
    </row>
    <row r="7868" spans="1:7" x14ac:dyDescent="0.3">
      <c r="A7868" s="24">
        <v>42746</v>
      </c>
      <c r="B7868" s="66">
        <v>1329.1209999999999</v>
      </c>
      <c r="C7868" s="66">
        <v>1210</v>
      </c>
      <c r="D7868" s="70">
        <v>0</v>
      </c>
      <c r="E7868" s="111">
        <f t="shared" si="126"/>
        <v>138710</v>
      </c>
      <c r="F7868" s="69">
        <v>6.4279314343932761E-2</v>
      </c>
      <c r="G7868" s="69">
        <v>8.1861804222648743E-2</v>
      </c>
    </row>
    <row r="7869" spans="1:7" x14ac:dyDescent="0.3">
      <c r="A7869" s="24">
        <v>42747</v>
      </c>
      <c r="B7869" s="66">
        <v>1329.1209999999999</v>
      </c>
      <c r="C7869" s="66">
        <v>1263</v>
      </c>
      <c r="D7869" s="70">
        <v>0</v>
      </c>
      <c r="E7869" s="111">
        <f t="shared" si="126"/>
        <v>138710</v>
      </c>
      <c r="F7869" s="69">
        <v>6.4279314343932761E-2</v>
      </c>
      <c r="G7869" s="69">
        <v>8.1751964730688131E-2</v>
      </c>
    </row>
    <row r="7870" spans="1:7" x14ac:dyDescent="0.3">
      <c r="A7870" s="24">
        <v>42748</v>
      </c>
      <c r="B7870" s="66">
        <v>1329.1209999999999</v>
      </c>
      <c r="C7870" s="66">
        <v>1258</v>
      </c>
      <c r="D7870" s="70">
        <v>0</v>
      </c>
      <c r="E7870" s="111">
        <f t="shared" si="126"/>
        <v>138710</v>
      </c>
      <c r="F7870" s="69">
        <v>6.4279314343932761E-2</v>
      </c>
      <c r="G7870" s="69">
        <v>8.2019230769230761E-2</v>
      </c>
    </row>
    <row r="7871" spans="1:7" x14ac:dyDescent="0.3">
      <c r="A7871" s="24">
        <v>42749</v>
      </c>
      <c r="B7871" s="66">
        <v>1329.1209999999999</v>
      </c>
      <c r="C7871" s="66">
        <v>1258</v>
      </c>
      <c r="D7871" s="70">
        <v>0</v>
      </c>
      <c r="E7871" s="111">
        <f t="shared" si="126"/>
        <v>138710</v>
      </c>
      <c r="F7871" s="69">
        <v>6.4279314343932761E-2</v>
      </c>
      <c r="G7871" s="69">
        <v>8.2019230769230761E-2</v>
      </c>
    </row>
    <row r="7872" spans="1:7" x14ac:dyDescent="0.3">
      <c r="A7872" s="24">
        <v>42750</v>
      </c>
      <c r="B7872" s="66">
        <v>1329.1209999999999</v>
      </c>
      <c r="C7872" s="66">
        <v>1258</v>
      </c>
      <c r="D7872" s="70">
        <v>0</v>
      </c>
      <c r="E7872" s="111">
        <f t="shared" si="126"/>
        <v>138710</v>
      </c>
      <c r="F7872" s="69">
        <v>6.4279314343932761E-2</v>
      </c>
      <c r="G7872" s="69">
        <v>8.2019230769230761E-2</v>
      </c>
    </row>
    <row r="7873" spans="1:7" x14ac:dyDescent="0.3">
      <c r="A7873" s="24">
        <v>42751</v>
      </c>
      <c r="B7873" s="66">
        <v>1329.1209999999999</v>
      </c>
      <c r="C7873" s="66">
        <v>1254.9000000000001</v>
      </c>
      <c r="D7873" s="70">
        <v>0</v>
      </c>
      <c r="E7873" s="111">
        <f t="shared" si="126"/>
        <v>138710</v>
      </c>
      <c r="F7873" s="69">
        <v>6.4279314343932761E-2</v>
      </c>
      <c r="G7873" s="69">
        <v>8.2019230769230761E-2</v>
      </c>
    </row>
    <row r="7874" spans="1:7" x14ac:dyDescent="0.3">
      <c r="A7874" s="24">
        <v>42752</v>
      </c>
      <c r="B7874" s="66">
        <v>1329.1209999999999</v>
      </c>
      <c r="C7874" s="66">
        <v>1254</v>
      </c>
      <c r="D7874" s="70">
        <v>0</v>
      </c>
      <c r="E7874" s="111">
        <f t="shared" si="126"/>
        <v>138710</v>
      </c>
      <c r="F7874" s="69">
        <v>6.4279314343932761E-2</v>
      </c>
      <c r="G7874" s="69">
        <v>8.1940441882804999E-2</v>
      </c>
    </row>
    <row r="7875" spans="1:7" x14ac:dyDescent="0.3">
      <c r="A7875" s="24">
        <v>42753</v>
      </c>
      <c r="B7875" s="66">
        <v>1329.1209999999999</v>
      </c>
      <c r="C7875" s="66">
        <v>1252.9000000000001</v>
      </c>
      <c r="D7875" s="70">
        <v>0</v>
      </c>
      <c r="E7875" s="111">
        <f t="shared" si="126"/>
        <v>138710</v>
      </c>
      <c r="F7875" s="69">
        <v>6.4279314343932761E-2</v>
      </c>
      <c r="G7875" s="69">
        <v>8.1470869149952246E-2</v>
      </c>
    </row>
    <row r="7876" spans="1:7" x14ac:dyDescent="0.3">
      <c r="A7876" s="24">
        <v>42754</v>
      </c>
      <c r="B7876" s="66">
        <v>1329.1209999999999</v>
      </c>
      <c r="C7876" s="66">
        <v>1230</v>
      </c>
      <c r="D7876" s="70">
        <v>0</v>
      </c>
      <c r="E7876" s="111">
        <f t="shared" si="126"/>
        <v>138710</v>
      </c>
      <c r="F7876" s="69">
        <v>6.4279314343932761E-2</v>
      </c>
      <c r="G7876" s="69">
        <v>8.1470869149952246E-2</v>
      </c>
    </row>
    <row r="7877" spans="1:7" x14ac:dyDescent="0.3">
      <c r="A7877" s="24">
        <v>42755</v>
      </c>
      <c r="B7877" s="66">
        <v>1329.1209999999999</v>
      </c>
      <c r="C7877" s="66">
        <v>1230</v>
      </c>
      <c r="D7877" s="70">
        <v>0</v>
      </c>
      <c r="E7877" s="111">
        <f t="shared" si="126"/>
        <v>138710</v>
      </c>
      <c r="F7877" s="69">
        <v>6.4279314343932761E-2</v>
      </c>
      <c r="G7877" s="69">
        <v>8.1470869149952246E-2</v>
      </c>
    </row>
    <row r="7878" spans="1:7" x14ac:dyDescent="0.3">
      <c r="A7878" s="24">
        <v>42756</v>
      </c>
      <c r="B7878" s="66">
        <v>1329.1209999999999</v>
      </c>
      <c r="C7878" s="66">
        <v>1230</v>
      </c>
      <c r="D7878" s="70">
        <v>0</v>
      </c>
      <c r="E7878" s="111">
        <f t="shared" si="126"/>
        <v>138710</v>
      </c>
      <c r="F7878" s="69">
        <v>6.4279314343932761E-2</v>
      </c>
      <c r="G7878" s="69">
        <v>8.1470869149952246E-2</v>
      </c>
    </row>
    <row r="7879" spans="1:7" x14ac:dyDescent="0.3">
      <c r="A7879" s="24">
        <v>42757</v>
      </c>
      <c r="B7879" s="66">
        <v>1329.1209999999999</v>
      </c>
      <c r="C7879" s="66">
        <v>1230</v>
      </c>
      <c r="D7879" s="70">
        <v>0</v>
      </c>
      <c r="E7879" s="111">
        <f t="shared" si="126"/>
        <v>138710</v>
      </c>
      <c r="F7879" s="69">
        <v>6.4279314343932761E-2</v>
      </c>
      <c r="G7879" s="69">
        <v>8.1470869149952246E-2</v>
      </c>
    </row>
    <row r="7880" spans="1:7" x14ac:dyDescent="0.3">
      <c r="A7880" s="24">
        <v>42758</v>
      </c>
      <c r="B7880" s="66">
        <v>1329.1209999999999</v>
      </c>
      <c r="C7880" s="66">
        <v>1230</v>
      </c>
      <c r="D7880" s="70">
        <v>0</v>
      </c>
      <c r="E7880" s="111">
        <f t="shared" si="126"/>
        <v>138710</v>
      </c>
      <c r="F7880" s="69">
        <v>6.4279314343932761E-2</v>
      </c>
      <c r="G7880" s="69">
        <v>8.1238095238095234E-2</v>
      </c>
    </row>
    <row r="7881" spans="1:7" x14ac:dyDescent="0.3">
      <c r="A7881" s="24">
        <v>42759</v>
      </c>
      <c r="B7881" s="66">
        <v>1329.1209999999999</v>
      </c>
      <c r="C7881" s="66">
        <v>1230</v>
      </c>
      <c r="D7881" s="70">
        <v>0</v>
      </c>
      <c r="E7881" s="111">
        <f t="shared" ref="E7881:E7944" si="127">+E7880</f>
        <v>138710</v>
      </c>
      <c r="F7881" s="69">
        <v>6.4279314343932761E-2</v>
      </c>
      <c r="G7881" s="69">
        <v>8.0471698113207549E-2</v>
      </c>
    </row>
    <row r="7882" spans="1:7" x14ac:dyDescent="0.3">
      <c r="A7882" s="24">
        <v>42760</v>
      </c>
      <c r="B7882" s="66">
        <v>1329.1209999999999</v>
      </c>
      <c r="C7882" s="66">
        <v>1230</v>
      </c>
      <c r="D7882" s="70">
        <v>0</v>
      </c>
      <c r="E7882" s="111">
        <f t="shared" si="127"/>
        <v>138710</v>
      </c>
      <c r="F7882" s="69">
        <v>6.4279314343932761E-2</v>
      </c>
      <c r="G7882" s="69">
        <v>8.0479290499103684E-2</v>
      </c>
    </row>
    <row r="7883" spans="1:7" x14ac:dyDescent="0.3">
      <c r="A7883" s="24">
        <v>42761</v>
      </c>
      <c r="B7883" s="66">
        <v>1329.1209999999999</v>
      </c>
      <c r="C7883" s="66">
        <v>1230</v>
      </c>
      <c r="D7883" s="70">
        <v>0</v>
      </c>
      <c r="E7883" s="111">
        <f t="shared" si="127"/>
        <v>138710</v>
      </c>
      <c r="F7883" s="69">
        <v>6.4279314343932761E-2</v>
      </c>
      <c r="G7883" s="69">
        <v>8.085308056872037E-2</v>
      </c>
    </row>
    <row r="7884" spans="1:7" x14ac:dyDescent="0.3">
      <c r="A7884" s="24">
        <v>42762</v>
      </c>
      <c r="B7884" s="66">
        <v>1329.1209999999999</v>
      </c>
      <c r="C7884" s="66">
        <v>1235.348</v>
      </c>
      <c r="D7884" s="70">
        <v>0</v>
      </c>
      <c r="E7884" s="111">
        <f t="shared" si="127"/>
        <v>138710</v>
      </c>
      <c r="F7884" s="69">
        <v>6.4279314343932761E-2</v>
      </c>
      <c r="G7884" s="69">
        <v>8.1238095238095234E-2</v>
      </c>
    </row>
    <row r="7885" spans="1:7" x14ac:dyDescent="0.3">
      <c r="A7885" s="24">
        <v>42763</v>
      </c>
      <c r="B7885" s="66">
        <v>1329.1209999999999</v>
      </c>
      <c r="C7885" s="66">
        <v>1235.348</v>
      </c>
      <c r="D7885" s="70">
        <v>0</v>
      </c>
      <c r="E7885" s="111">
        <f t="shared" si="127"/>
        <v>138710</v>
      </c>
      <c r="F7885" s="69">
        <v>6.4279314343932761E-2</v>
      </c>
      <c r="G7885" s="69">
        <v>8.1238095238095234E-2</v>
      </c>
    </row>
    <row r="7886" spans="1:7" x14ac:dyDescent="0.3">
      <c r="A7886" s="24">
        <v>42764</v>
      </c>
      <c r="B7886" s="66">
        <v>1329.1209999999999</v>
      </c>
      <c r="C7886" s="66">
        <v>1235.348</v>
      </c>
      <c r="D7886" s="70">
        <v>0</v>
      </c>
      <c r="E7886" s="111">
        <f t="shared" si="127"/>
        <v>138710</v>
      </c>
      <c r="F7886" s="69">
        <v>6.4279314343932761E-2</v>
      </c>
      <c r="G7886" s="69">
        <v>8.1238095238095234E-2</v>
      </c>
    </row>
    <row r="7887" spans="1:7" x14ac:dyDescent="0.3">
      <c r="A7887" s="24">
        <v>42765</v>
      </c>
      <c r="B7887" s="66">
        <v>1329.1209999999999</v>
      </c>
      <c r="C7887" s="66">
        <v>1230</v>
      </c>
      <c r="D7887" s="70">
        <v>0</v>
      </c>
      <c r="E7887" s="111">
        <f t="shared" si="127"/>
        <v>138710</v>
      </c>
      <c r="F7887" s="69">
        <v>6.4279314343932761E-2</v>
      </c>
      <c r="G7887" s="69">
        <v>8.1238095238095234E-2</v>
      </c>
    </row>
    <row r="7888" spans="1:7" x14ac:dyDescent="0.3">
      <c r="A7888" s="24">
        <v>42766</v>
      </c>
      <c r="B7888" s="66">
        <v>1329.1209999999999</v>
      </c>
      <c r="C7888" s="66">
        <v>1230</v>
      </c>
      <c r="D7888" s="70">
        <v>0</v>
      </c>
      <c r="E7888" s="111">
        <f t="shared" si="127"/>
        <v>138710</v>
      </c>
      <c r="F7888" s="69">
        <v>6.4279314343932761E-2</v>
      </c>
      <c r="G7888" s="69">
        <v>8.1238095238095234E-2</v>
      </c>
    </row>
    <row r="7889" spans="1:7" x14ac:dyDescent="0.3">
      <c r="A7889" s="24">
        <v>42767</v>
      </c>
      <c r="B7889" s="66">
        <v>1329.1209999999999</v>
      </c>
      <c r="C7889" s="66">
        <v>1230</v>
      </c>
      <c r="D7889" s="70">
        <v>0</v>
      </c>
      <c r="E7889" s="111">
        <f t="shared" si="127"/>
        <v>138710</v>
      </c>
      <c r="F7889" s="69">
        <v>6.4279314343932761E-2</v>
      </c>
      <c r="G7889" s="69">
        <v>8.16267942583732E-2</v>
      </c>
    </row>
    <row r="7890" spans="1:7" x14ac:dyDescent="0.3">
      <c r="A7890" s="24">
        <v>42768</v>
      </c>
      <c r="B7890" s="66">
        <v>1329.1209999999999</v>
      </c>
      <c r="C7890" s="66">
        <v>1250.0999999999999</v>
      </c>
      <c r="D7890" s="70">
        <v>0</v>
      </c>
      <c r="E7890" s="111">
        <f t="shared" si="127"/>
        <v>138710</v>
      </c>
      <c r="F7890" s="69">
        <v>6.4279314343932761E-2</v>
      </c>
      <c r="G7890" s="69">
        <v>8.1940441882804999E-2</v>
      </c>
    </row>
    <row r="7891" spans="1:7" x14ac:dyDescent="0.3">
      <c r="A7891" s="24">
        <v>42769</v>
      </c>
      <c r="B7891" s="66">
        <v>1329.1209999999999</v>
      </c>
      <c r="C7891" s="66">
        <v>1290</v>
      </c>
      <c r="D7891" s="70">
        <v>0</v>
      </c>
      <c r="E7891" s="111">
        <f t="shared" si="127"/>
        <v>138710</v>
      </c>
      <c r="F7891" s="69">
        <v>6.4279314343932761E-2</v>
      </c>
      <c r="G7891" s="69">
        <v>8.1940441882804999E-2</v>
      </c>
    </row>
    <row r="7892" spans="1:7" x14ac:dyDescent="0.3">
      <c r="A7892" s="24">
        <v>42770</v>
      </c>
      <c r="B7892" s="66">
        <v>1329.1209999999999</v>
      </c>
      <c r="C7892" s="66">
        <v>1290</v>
      </c>
      <c r="D7892" s="70">
        <v>0</v>
      </c>
      <c r="E7892" s="111">
        <f t="shared" si="127"/>
        <v>138710</v>
      </c>
      <c r="F7892" s="69">
        <v>6.4279314343932761E-2</v>
      </c>
      <c r="G7892" s="69">
        <v>8.1940441882804999E-2</v>
      </c>
    </row>
    <row r="7893" spans="1:7" x14ac:dyDescent="0.3">
      <c r="A7893" s="24">
        <v>42771</v>
      </c>
      <c r="B7893" s="66">
        <v>1329.1209999999999</v>
      </c>
      <c r="C7893" s="66">
        <v>1290</v>
      </c>
      <c r="D7893" s="70">
        <v>0</v>
      </c>
      <c r="E7893" s="111">
        <f t="shared" si="127"/>
        <v>138710</v>
      </c>
      <c r="F7893" s="69">
        <v>6.4279314343932761E-2</v>
      </c>
      <c r="G7893" s="69">
        <v>8.1940441882804999E-2</v>
      </c>
    </row>
    <row r="7894" spans="1:7" x14ac:dyDescent="0.3">
      <c r="A7894" s="24">
        <v>42772</v>
      </c>
      <c r="B7894" s="66">
        <v>1329.1209999999999</v>
      </c>
      <c r="C7894" s="66">
        <v>1320.1</v>
      </c>
      <c r="D7894" s="70">
        <v>0</v>
      </c>
      <c r="E7894" s="111">
        <f t="shared" si="127"/>
        <v>138710</v>
      </c>
      <c r="F7894" s="69">
        <v>6.4279314343932761E-2</v>
      </c>
      <c r="G7894" s="69">
        <v>8.16267942583732E-2</v>
      </c>
    </row>
    <row r="7895" spans="1:7" x14ac:dyDescent="0.3">
      <c r="A7895" s="24">
        <v>42773</v>
      </c>
      <c r="B7895" s="66">
        <v>1329.1209999999999</v>
      </c>
      <c r="C7895" s="66">
        <v>1325</v>
      </c>
      <c r="D7895" s="70">
        <v>0</v>
      </c>
      <c r="E7895" s="111">
        <f t="shared" si="127"/>
        <v>138710</v>
      </c>
      <c r="F7895" s="69">
        <v>6.4279314343932761E-2</v>
      </c>
      <c r="G7895" s="69">
        <v>8.16267942583732E-2</v>
      </c>
    </row>
    <row r="7896" spans="1:7" x14ac:dyDescent="0.3">
      <c r="A7896" s="24">
        <v>42774</v>
      </c>
      <c r="B7896" s="66">
        <v>1329.1209999999999</v>
      </c>
      <c r="C7896" s="66">
        <v>1325</v>
      </c>
      <c r="D7896" s="70">
        <v>0</v>
      </c>
      <c r="E7896" s="111">
        <f t="shared" si="127"/>
        <v>138710</v>
      </c>
      <c r="F7896" s="69">
        <v>6.4279314343932761E-2</v>
      </c>
      <c r="G7896" s="69">
        <v>8.1238095238095234E-2</v>
      </c>
    </row>
    <row r="7897" spans="1:7" x14ac:dyDescent="0.3">
      <c r="A7897" s="24">
        <v>42775</v>
      </c>
      <c r="B7897" s="66">
        <v>1329.1209999999999</v>
      </c>
      <c r="C7897" s="66">
        <v>1310</v>
      </c>
      <c r="D7897" s="70">
        <v>0</v>
      </c>
      <c r="E7897" s="111">
        <f t="shared" si="127"/>
        <v>138710</v>
      </c>
      <c r="F7897" s="69">
        <v>6.4279314343932761E-2</v>
      </c>
      <c r="G7897" s="69">
        <v>8.1238095238095234E-2</v>
      </c>
    </row>
    <row r="7898" spans="1:7" x14ac:dyDescent="0.3">
      <c r="A7898" s="24">
        <v>42776</v>
      </c>
      <c r="B7898" s="66">
        <v>1329.1209999999999</v>
      </c>
      <c r="C7898" s="66">
        <v>1310</v>
      </c>
      <c r="D7898" s="70">
        <v>0</v>
      </c>
      <c r="E7898" s="111">
        <f t="shared" si="127"/>
        <v>138710</v>
      </c>
      <c r="F7898" s="69">
        <v>6.4279314343932761E-2</v>
      </c>
      <c r="G7898" s="69">
        <v>8.0471698113207549E-2</v>
      </c>
    </row>
    <row r="7899" spans="1:7" x14ac:dyDescent="0.3">
      <c r="A7899" s="24">
        <v>42777</v>
      </c>
      <c r="B7899" s="66">
        <v>1329.1209999999999</v>
      </c>
      <c r="C7899" s="66">
        <v>1310</v>
      </c>
      <c r="D7899" s="70">
        <v>0</v>
      </c>
      <c r="E7899" s="111">
        <f t="shared" si="127"/>
        <v>138710</v>
      </c>
      <c r="F7899" s="69">
        <v>6.4279314343932761E-2</v>
      </c>
      <c r="G7899" s="69">
        <v>8.0471698113207549E-2</v>
      </c>
    </row>
    <row r="7900" spans="1:7" x14ac:dyDescent="0.3">
      <c r="A7900" s="24">
        <v>42778</v>
      </c>
      <c r="B7900" s="66">
        <v>1329.1209999999999</v>
      </c>
      <c r="C7900" s="66">
        <v>1310</v>
      </c>
      <c r="D7900" s="70">
        <v>0</v>
      </c>
      <c r="E7900" s="111">
        <f t="shared" si="127"/>
        <v>138710</v>
      </c>
      <c r="F7900" s="69">
        <v>6.4279314343932761E-2</v>
      </c>
      <c r="G7900" s="69">
        <v>8.0471698113207549E-2</v>
      </c>
    </row>
    <row r="7901" spans="1:7" x14ac:dyDescent="0.3">
      <c r="A7901" s="24">
        <v>42779</v>
      </c>
      <c r="B7901" s="66">
        <v>1329.1209999999999</v>
      </c>
      <c r="C7901" s="66">
        <v>1310</v>
      </c>
      <c r="D7901" s="70">
        <v>0</v>
      </c>
      <c r="E7901" s="111">
        <f t="shared" si="127"/>
        <v>138710</v>
      </c>
      <c r="F7901" s="69">
        <v>6.4279314343932761E-2</v>
      </c>
      <c r="G7901" s="69">
        <v>8.1238095238095234E-2</v>
      </c>
    </row>
    <row r="7902" spans="1:7" x14ac:dyDescent="0.3">
      <c r="A7902" s="24">
        <v>42780</v>
      </c>
      <c r="B7902" s="66">
        <v>1329.1209999999999</v>
      </c>
      <c r="C7902" s="66">
        <v>1310</v>
      </c>
      <c r="D7902" s="70">
        <v>0</v>
      </c>
      <c r="E7902" s="111">
        <f t="shared" si="127"/>
        <v>138710</v>
      </c>
      <c r="F7902" s="69">
        <v>6.4279314343932761E-2</v>
      </c>
      <c r="G7902" s="69">
        <v>8.0471698113207549E-2</v>
      </c>
    </row>
    <row r="7903" spans="1:7" x14ac:dyDescent="0.3">
      <c r="A7903" s="24">
        <v>42781</v>
      </c>
      <c r="B7903" s="66">
        <v>1329.1209999999999</v>
      </c>
      <c r="C7903" s="66">
        <v>1320</v>
      </c>
      <c r="D7903" s="70">
        <v>0</v>
      </c>
      <c r="E7903" s="111">
        <f t="shared" si="127"/>
        <v>138710</v>
      </c>
      <c r="F7903" s="69">
        <v>6.4279314343932761E-2</v>
      </c>
      <c r="G7903" s="69">
        <v>8.0471698113207549E-2</v>
      </c>
    </row>
    <row r="7904" spans="1:7" x14ac:dyDescent="0.3">
      <c r="A7904" s="24">
        <v>42782</v>
      </c>
      <c r="B7904" s="66">
        <v>1329.1209999999999</v>
      </c>
      <c r="C7904" s="66">
        <v>1325.1</v>
      </c>
      <c r="D7904" s="70">
        <v>0</v>
      </c>
      <c r="E7904" s="111">
        <f t="shared" si="127"/>
        <v>138710</v>
      </c>
      <c r="F7904" s="69">
        <v>6.4279314343932761E-2</v>
      </c>
      <c r="G7904" s="69">
        <v>8.0471698113207549E-2</v>
      </c>
    </row>
    <row r="7905" spans="1:7" x14ac:dyDescent="0.3">
      <c r="A7905" s="24">
        <v>42783</v>
      </c>
      <c r="B7905" s="66">
        <v>1329.1209999999999</v>
      </c>
      <c r="C7905" s="66">
        <v>1325</v>
      </c>
      <c r="D7905" s="70">
        <v>0</v>
      </c>
      <c r="E7905" s="111">
        <f t="shared" si="127"/>
        <v>138710</v>
      </c>
      <c r="F7905" s="69">
        <v>6.4279314343932761E-2</v>
      </c>
      <c r="G7905" s="69">
        <v>7.9913809256136392E-2</v>
      </c>
    </row>
    <row r="7906" spans="1:7" x14ac:dyDescent="0.3">
      <c r="A7906" s="24">
        <v>42784</v>
      </c>
      <c r="B7906" s="66">
        <v>1329.1209999999999</v>
      </c>
      <c r="C7906" s="66">
        <v>1325</v>
      </c>
      <c r="D7906" s="70">
        <v>0</v>
      </c>
      <c r="E7906" s="111">
        <f t="shared" si="127"/>
        <v>138710</v>
      </c>
      <c r="F7906" s="69">
        <v>6.4279314343932761E-2</v>
      </c>
      <c r="G7906" s="69">
        <v>7.9913809256136392E-2</v>
      </c>
    </row>
    <row r="7907" spans="1:7" x14ac:dyDescent="0.3">
      <c r="A7907" s="24">
        <v>42785</v>
      </c>
      <c r="B7907" s="66">
        <v>1329.1209999999999</v>
      </c>
      <c r="C7907" s="66">
        <v>1325</v>
      </c>
      <c r="D7907" s="70">
        <v>0</v>
      </c>
      <c r="E7907" s="111">
        <f t="shared" si="127"/>
        <v>138710</v>
      </c>
      <c r="F7907" s="69">
        <v>6.4279314343932761E-2</v>
      </c>
      <c r="G7907" s="69">
        <v>7.9913809256136392E-2</v>
      </c>
    </row>
    <row r="7908" spans="1:7" x14ac:dyDescent="0.3">
      <c r="A7908" s="24">
        <v>42786</v>
      </c>
      <c r="B7908" s="66">
        <v>1329.1209999999999</v>
      </c>
      <c r="C7908" s="66">
        <v>1325</v>
      </c>
      <c r="D7908" s="70">
        <v>0</v>
      </c>
      <c r="E7908" s="111">
        <f t="shared" si="127"/>
        <v>138710</v>
      </c>
      <c r="F7908" s="69">
        <v>6.4279314343932761E-2</v>
      </c>
      <c r="G7908" s="69">
        <v>8.0093896713615026E-2</v>
      </c>
    </row>
    <row r="7909" spans="1:7" x14ac:dyDescent="0.3">
      <c r="A7909" s="24">
        <v>42787</v>
      </c>
      <c r="B7909" s="66">
        <v>1329.1209999999999</v>
      </c>
      <c r="C7909" s="66">
        <v>1315</v>
      </c>
      <c r="D7909" s="70">
        <v>0</v>
      </c>
      <c r="E7909" s="111">
        <f t="shared" si="127"/>
        <v>138710</v>
      </c>
      <c r="F7909" s="69">
        <v>6.4279314343932761E-2</v>
      </c>
      <c r="G7909" s="69">
        <v>8.0131517144199152E-2</v>
      </c>
    </row>
    <row r="7910" spans="1:7" x14ac:dyDescent="0.3">
      <c r="A7910" s="24">
        <v>42788</v>
      </c>
      <c r="B7910" s="66">
        <v>1329.1209999999999</v>
      </c>
      <c r="C7910" s="66">
        <v>1315</v>
      </c>
      <c r="D7910" s="70">
        <v>0</v>
      </c>
      <c r="E7910" s="111">
        <f t="shared" si="127"/>
        <v>138710</v>
      </c>
      <c r="F7910" s="69">
        <v>6.4279314343932761E-2</v>
      </c>
      <c r="G7910" s="69">
        <v>8.0093896713615026E-2</v>
      </c>
    </row>
    <row r="7911" spans="1:7" x14ac:dyDescent="0.3">
      <c r="A7911" s="24">
        <v>42789</v>
      </c>
      <c r="B7911" s="66">
        <v>1329.1209999999999</v>
      </c>
      <c r="C7911" s="66">
        <v>1315</v>
      </c>
      <c r="D7911" s="70">
        <v>0</v>
      </c>
      <c r="E7911" s="111">
        <f t="shared" si="127"/>
        <v>138710</v>
      </c>
      <c r="F7911" s="69">
        <v>6.4279314343932761E-2</v>
      </c>
      <c r="G7911" s="69">
        <v>8.0093896713615026E-2</v>
      </c>
    </row>
    <row r="7912" spans="1:7" x14ac:dyDescent="0.3">
      <c r="A7912" s="24">
        <v>42790</v>
      </c>
      <c r="B7912" s="66">
        <v>1329.1209999999999</v>
      </c>
      <c r="C7912" s="66">
        <v>1310</v>
      </c>
      <c r="D7912" s="70">
        <v>0</v>
      </c>
      <c r="E7912" s="111">
        <f t="shared" si="127"/>
        <v>138710</v>
      </c>
      <c r="F7912" s="69">
        <v>6.4279314343932761E-2</v>
      </c>
      <c r="G7912" s="69">
        <v>7.9906323185011702E-2</v>
      </c>
    </row>
    <row r="7913" spans="1:7" x14ac:dyDescent="0.3">
      <c r="A7913" s="24">
        <v>42791</v>
      </c>
      <c r="B7913" s="66">
        <v>1329.1209999999999</v>
      </c>
      <c r="C7913" s="66">
        <v>1310</v>
      </c>
      <c r="D7913" s="70">
        <v>0</v>
      </c>
      <c r="E7913" s="111">
        <f t="shared" si="127"/>
        <v>138710</v>
      </c>
      <c r="F7913" s="69">
        <v>6.4279314343932761E-2</v>
      </c>
      <c r="G7913" s="69">
        <v>7.9906323185011702E-2</v>
      </c>
    </row>
    <row r="7914" spans="1:7" x14ac:dyDescent="0.3">
      <c r="A7914" s="24">
        <v>42792</v>
      </c>
      <c r="B7914" s="66">
        <v>1329.1209999999999</v>
      </c>
      <c r="C7914" s="66">
        <v>1310</v>
      </c>
      <c r="D7914" s="70">
        <v>0</v>
      </c>
      <c r="E7914" s="111">
        <f t="shared" si="127"/>
        <v>138710</v>
      </c>
      <c r="F7914" s="69">
        <v>6.4279314343932761E-2</v>
      </c>
      <c r="G7914" s="69">
        <v>7.9906323185011702E-2</v>
      </c>
    </row>
    <row r="7915" spans="1:7" x14ac:dyDescent="0.3">
      <c r="A7915" s="24">
        <v>42793</v>
      </c>
      <c r="B7915" s="66">
        <v>1329.1209999999999</v>
      </c>
      <c r="C7915" s="66">
        <v>1310</v>
      </c>
      <c r="D7915" s="70">
        <v>0</v>
      </c>
      <c r="E7915" s="111">
        <f t="shared" si="127"/>
        <v>138710</v>
      </c>
      <c r="F7915" s="69">
        <v>6.4933928015450157E-2</v>
      </c>
      <c r="G7915" s="69">
        <v>8.0471698113207549E-2</v>
      </c>
    </row>
    <row r="7916" spans="1:7" x14ac:dyDescent="0.3">
      <c r="A7916" s="24">
        <v>42794</v>
      </c>
      <c r="B7916" s="66">
        <v>1399.4780000000001</v>
      </c>
      <c r="C7916" s="66">
        <v>1310</v>
      </c>
      <c r="D7916" s="70">
        <v>0</v>
      </c>
      <c r="E7916" s="111">
        <f t="shared" si="127"/>
        <v>138710</v>
      </c>
      <c r="F7916" s="69">
        <v>6.4933928015450157E-2</v>
      </c>
      <c r="G7916" s="69">
        <v>8.0471698113207549E-2</v>
      </c>
    </row>
    <row r="7917" spans="1:7" x14ac:dyDescent="0.3">
      <c r="A7917" s="24">
        <v>42795</v>
      </c>
      <c r="B7917" s="66">
        <v>1399.4780000000001</v>
      </c>
      <c r="C7917" s="66">
        <v>1310.0999999999999</v>
      </c>
      <c r="D7917" s="70">
        <v>0</v>
      </c>
      <c r="E7917" s="111">
        <f t="shared" si="127"/>
        <v>138710</v>
      </c>
      <c r="F7917" s="69">
        <v>6.4933928015450157E-2</v>
      </c>
      <c r="G7917" s="69">
        <v>7.9906323185011702E-2</v>
      </c>
    </row>
    <row r="7918" spans="1:7" x14ac:dyDescent="0.3">
      <c r="A7918" s="24">
        <v>42796</v>
      </c>
      <c r="B7918" s="66">
        <v>1399.4780000000001</v>
      </c>
      <c r="C7918" s="66">
        <v>1325</v>
      </c>
      <c r="D7918" s="70">
        <v>0</v>
      </c>
      <c r="E7918" s="111">
        <f t="shared" si="127"/>
        <v>138710</v>
      </c>
      <c r="F7918" s="69">
        <v>6.4933928015450157E-2</v>
      </c>
      <c r="G7918" s="69">
        <v>7.9906323185011702E-2</v>
      </c>
    </row>
    <row r="7919" spans="1:7" x14ac:dyDescent="0.3">
      <c r="A7919" s="24">
        <v>42797</v>
      </c>
      <c r="B7919" s="66">
        <v>1399.4780000000001</v>
      </c>
      <c r="C7919" s="66">
        <v>1330</v>
      </c>
      <c r="D7919" s="70">
        <v>0</v>
      </c>
      <c r="E7919" s="111">
        <f t="shared" si="127"/>
        <v>138710</v>
      </c>
      <c r="F7919" s="69">
        <v>6.4933928015450157E-2</v>
      </c>
      <c r="G7919" s="69">
        <v>7.8981481481481472E-2</v>
      </c>
    </row>
    <row r="7920" spans="1:7" x14ac:dyDescent="0.3">
      <c r="A7920" s="24">
        <v>42798</v>
      </c>
      <c r="B7920" s="66">
        <v>1399.4780000000001</v>
      </c>
      <c r="C7920" s="66">
        <v>1330</v>
      </c>
      <c r="D7920" s="70">
        <v>0</v>
      </c>
      <c r="E7920" s="111">
        <f t="shared" si="127"/>
        <v>138710</v>
      </c>
      <c r="F7920" s="69">
        <v>6.4933928015450157E-2</v>
      </c>
      <c r="G7920" s="69">
        <v>7.8981481481481472E-2</v>
      </c>
    </row>
    <row r="7921" spans="1:7" x14ac:dyDescent="0.3">
      <c r="A7921" s="24">
        <v>42799</v>
      </c>
      <c r="B7921" s="66">
        <v>1399.4780000000001</v>
      </c>
      <c r="C7921" s="66">
        <v>1330</v>
      </c>
      <c r="D7921" s="70">
        <v>0</v>
      </c>
      <c r="E7921" s="111">
        <f t="shared" si="127"/>
        <v>138710</v>
      </c>
      <c r="F7921" s="69">
        <v>6.4933928015450157E-2</v>
      </c>
      <c r="G7921" s="69">
        <v>7.8981481481481472E-2</v>
      </c>
    </row>
    <row r="7922" spans="1:7" x14ac:dyDescent="0.3">
      <c r="A7922" s="24">
        <v>42800</v>
      </c>
      <c r="B7922" s="66">
        <v>1399.4780000000001</v>
      </c>
      <c r="C7922" s="66">
        <v>1330</v>
      </c>
      <c r="D7922" s="70">
        <v>0</v>
      </c>
      <c r="E7922" s="111">
        <f t="shared" si="127"/>
        <v>138710</v>
      </c>
      <c r="F7922" s="69">
        <v>6.4933928015450157E-2</v>
      </c>
      <c r="G7922" s="69">
        <v>7.7545454545454542E-2</v>
      </c>
    </row>
    <row r="7923" spans="1:7" x14ac:dyDescent="0.3">
      <c r="A7923" s="24">
        <v>42801</v>
      </c>
      <c r="B7923" s="66">
        <v>1399.4780000000001</v>
      </c>
      <c r="C7923" s="66">
        <v>1330</v>
      </c>
      <c r="D7923" s="70">
        <v>0</v>
      </c>
      <c r="E7923" s="111">
        <f t="shared" si="127"/>
        <v>138710</v>
      </c>
      <c r="F7923" s="69">
        <v>6.4933928015450157E-2</v>
      </c>
      <c r="G7923" s="69">
        <v>7.667415730337078E-2</v>
      </c>
    </row>
    <row r="7924" spans="1:7" x14ac:dyDescent="0.3">
      <c r="A7924" s="24">
        <v>42802</v>
      </c>
      <c r="B7924" s="66">
        <v>1399.4780000000001</v>
      </c>
      <c r="C7924" s="66">
        <v>1330</v>
      </c>
      <c r="D7924" s="70">
        <v>0</v>
      </c>
      <c r="E7924" s="111">
        <f t="shared" si="127"/>
        <v>138710</v>
      </c>
      <c r="F7924" s="69">
        <v>6.4933928015450157E-2</v>
      </c>
      <c r="G7924" s="69">
        <v>7.6673468103657494E-2</v>
      </c>
    </row>
    <row r="7925" spans="1:7" x14ac:dyDescent="0.3">
      <c r="A7925" s="24">
        <v>42803</v>
      </c>
      <c r="B7925" s="66">
        <v>1399.4780000000001</v>
      </c>
      <c r="C7925" s="66">
        <v>1335</v>
      </c>
      <c r="D7925" s="70">
        <v>0</v>
      </c>
      <c r="E7925" s="111">
        <f t="shared" si="127"/>
        <v>138710</v>
      </c>
      <c r="F7925" s="69">
        <v>6.4933928015450157E-2</v>
      </c>
      <c r="G7925" s="69">
        <v>7.6673468103657494E-2</v>
      </c>
    </row>
    <row r="7926" spans="1:7" x14ac:dyDescent="0.3">
      <c r="A7926" s="24">
        <v>42804</v>
      </c>
      <c r="B7926" s="66">
        <v>1399.4780000000001</v>
      </c>
      <c r="C7926" s="66">
        <v>1335</v>
      </c>
      <c r="D7926" s="70">
        <v>0</v>
      </c>
      <c r="E7926" s="111">
        <f t="shared" si="127"/>
        <v>138710</v>
      </c>
      <c r="F7926" s="69">
        <v>6.4933928015450157E-2</v>
      </c>
      <c r="G7926" s="69">
        <v>7.616071428571429E-2</v>
      </c>
    </row>
    <row r="7927" spans="1:7" x14ac:dyDescent="0.3">
      <c r="A7927" s="24">
        <v>42805</v>
      </c>
      <c r="B7927" s="66">
        <v>1399.4780000000001</v>
      </c>
      <c r="C7927" s="66">
        <v>1335</v>
      </c>
      <c r="D7927" s="70">
        <v>0</v>
      </c>
      <c r="E7927" s="111">
        <f t="shared" si="127"/>
        <v>138710</v>
      </c>
      <c r="F7927" s="69">
        <v>6.4933928015450157E-2</v>
      </c>
      <c r="G7927" s="69">
        <v>7.616071428571429E-2</v>
      </c>
    </row>
    <row r="7928" spans="1:7" x14ac:dyDescent="0.3">
      <c r="A7928" s="24">
        <v>42806</v>
      </c>
      <c r="B7928" s="66">
        <v>1399.4780000000001</v>
      </c>
      <c r="C7928" s="66">
        <v>1335</v>
      </c>
      <c r="D7928" s="70">
        <v>0</v>
      </c>
      <c r="E7928" s="111">
        <f t="shared" si="127"/>
        <v>138710</v>
      </c>
      <c r="F7928" s="69">
        <v>6.4933928015450157E-2</v>
      </c>
      <c r="G7928" s="69">
        <v>7.616071428571429E-2</v>
      </c>
    </row>
    <row r="7929" spans="1:7" x14ac:dyDescent="0.3">
      <c r="A7929" s="24">
        <v>42807</v>
      </c>
      <c r="B7929" s="66">
        <v>1399.4780000000001</v>
      </c>
      <c r="C7929" s="66">
        <v>1338</v>
      </c>
      <c r="D7929" s="70">
        <v>0</v>
      </c>
      <c r="E7929" s="111">
        <f t="shared" si="127"/>
        <v>138710</v>
      </c>
      <c r="F7929" s="69">
        <v>6.4933928015450157E-2</v>
      </c>
      <c r="G7929" s="69">
        <v>7.616071428571429E-2</v>
      </c>
    </row>
    <row r="7930" spans="1:7" x14ac:dyDescent="0.3">
      <c r="A7930" s="24">
        <v>42808</v>
      </c>
      <c r="B7930" s="66">
        <v>1399.4780000000001</v>
      </c>
      <c r="C7930" s="66">
        <v>1338</v>
      </c>
      <c r="D7930" s="70">
        <v>0</v>
      </c>
      <c r="E7930" s="111">
        <f t="shared" si="127"/>
        <v>138710</v>
      </c>
      <c r="F7930" s="69">
        <v>6.4933928015450157E-2</v>
      </c>
      <c r="G7930" s="69">
        <v>7.6147116586323865E-2</v>
      </c>
    </row>
    <row r="7931" spans="1:7" x14ac:dyDescent="0.3">
      <c r="A7931" s="24">
        <v>42809</v>
      </c>
      <c r="B7931" s="66">
        <v>1399.4780000000001</v>
      </c>
      <c r="C7931" s="66">
        <v>1337.9</v>
      </c>
      <c r="D7931" s="70">
        <v>0</v>
      </c>
      <c r="E7931" s="111">
        <f t="shared" si="127"/>
        <v>138710</v>
      </c>
      <c r="F7931" s="69">
        <v>6.4933928015450157E-2</v>
      </c>
      <c r="G7931" s="69">
        <v>7.5821548252904422E-2</v>
      </c>
    </row>
    <row r="7932" spans="1:7" x14ac:dyDescent="0.3">
      <c r="A7932" s="24">
        <v>42810</v>
      </c>
      <c r="B7932" s="66">
        <v>1399.4780000000001</v>
      </c>
      <c r="C7932" s="66">
        <v>1337.9</v>
      </c>
      <c r="D7932" s="70">
        <v>0</v>
      </c>
      <c r="E7932" s="111">
        <f t="shared" si="127"/>
        <v>138710</v>
      </c>
      <c r="F7932" s="69">
        <v>6.4933928015450157E-2</v>
      </c>
      <c r="G7932" s="69">
        <v>7.5821548252904422E-2</v>
      </c>
    </row>
    <row r="7933" spans="1:7" x14ac:dyDescent="0.3">
      <c r="A7933" s="24">
        <v>42811</v>
      </c>
      <c r="B7933" s="66">
        <v>1399.4780000000001</v>
      </c>
      <c r="C7933" s="66">
        <v>1338</v>
      </c>
      <c r="D7933" s="70">
        <v>0</v>
      </c>
      <c r="E7933" s="111">
        <f t="shared" si="127"/>
        <v>138710</v>
      </c>
      <c r="F7933" s="69">
        <v>6.4933928015450157E-2</v>
      </c>
      <c r="G7933" s="69">
        <v>7.5480046013627122E-2</v>
      </c>
    </row>
    <row r="7934" spans="1:7" x14ac:dyDescent="0.3">
      <c r="A7934" s="24">
        <v>42812</v>
      </c>
      <c r="B7934" s="66">
        <v>1399.4780000000001</v>
      </c>
      <c r="C7934" s="66">
        <v>1338</v>
      </c>
      <c r="D7934" s="70">
        <v>0</v>
      </c>
      <c r="E7934" s="111">
        <f t="shared" si="127"/>
        <v>138710</v>
      </c>
      <c r="F7934" s="69">
        <v>6.4933928015450157E-2</v>
      </c>
      <c r="G7934" s="69">
        <v>7.5480046013627122E-2</v>
      </c>
    </row>
    <row r="7935" spans="1:7" x14ac:dyDescent="0.3">
      <c r="A7935" s="24">
        <v>42813</v>
      </c>
      <c r="B7935" s="66">
        <v>1399.4780000000001</v>
      </c>
      <c r="C7935" s="66">
        <v>1338</v>
      </c>
      <c r="D7935" s="70">
        <v>0</v>
      </c>
      <c r="E7935" s="111">
        <f t="shared" si="127"/>
        <v>138710</v>
      </c>
      <c r="F7935" s="69">
        <v>6.4933928015450157E-2</v>
      </c>
      <c r="G7935" s="69">
        <v>7.5480046013627122E-2</v>
      </c>
    </row>
    <row r="7936" spans="1:7" x14ac:dyDescent="0.3">
      <c r="A7936" s="24">
        <v>42814</v>
      </c>
      <c r="B7936" s="66">
        <v>1399.4780000000001</v>
      </c>
      <c r="C7936" s="66">
        <v>1337.9</v>
      </c>
      <c r="D7936" s="70">
        <v>0</v>
      </c>
      <c r="E7936" s="111">
        <f t="shared" si="127"/>
        <v>138710</v>
      </c>
      <c r="F7936" s="69">
        <v>6.4933928015450157E-2</v>
      </c>
      <c r="G7936" s="69">
        <v>7.4824561403508766E-2</v>
      </c>
    </row>
    <row r="7937" spans="1:7" x14ac:dyDescent="0.3">
      <c r="A7937" s="24">
        <v>42815</v>
      </c>
      <c r="B7937" s="66">
        <v>1399.4780000000001</v>
      </c>
      <c r="C7937" s="66">
        <v>1330</v>
      </c>
      <c r="D7937" s="70">
        <v>0</v>
      </c>
      <c r="E7937" s="111">
        <f t="shared" si="127"/>
        <v>138710</v>
      </c>
      <c r="F7937" s="69">
        <v>6.4933928015450157E-2</v>
      </c>
      <c r="G7937" s="69">
        <v>7.3852813852813851E-2</v>
      </c>
    </row>
    <row r="7938" spans="1:7" x14ac:dyDescent="0.3">
      <c r="A7938" s="24">
        <v>42816</v>
      </c>
      <c r="B7938" s="66">
        <v>1399.4780000000001</v>
      </c>
      <c r="C7938" s="66">
        <v>1330</v>
      </c>
      <c r="D7938" s="70">
        <v>0</v>
      </c>
      <c r="E7938" s="111">
        <f t="shared" si="127"/>
        <v>138710</v>
      </c>
      <c r="F7938" s="69">
        <v>6.4933928015450157E-2</v>
      </c>
      <c r="G7938" s="69">
        <v>7.2905982905982908E-2</v>
      </c>
    </row>
    <row r="7939" spans="1:7" x14ac:dyDescent="0.3">
      <c r="A7939" s="24">
        <v>42817</v>
      </c>
      <c r="B7939" s="66">
        <v>1399.4780000000001</v>
      </c>
      <c r="C7939" s="66">
        <v>1338</v>
      </c>
      <c r="D7939" s="70">
        <v>0</v>
      </c>
      <c r="E7939" s="111">
        <f t="shared" si="127"/>
        <v>138710</v>
      </c>
      <c r="F7939" s="69">
        <v>6.4933928015450157E-2</v>
      </c>
      <c r="G7939" s="69">
        <v>7.1680672268907564E-2</v>
      </c>
    </row>
    <row r="7940" spans="1:7" x14ac:dyDescent="0.3">
      <c r="A7940" s="24">
        <v>42818</v>
      </c>
      <c r="B7940" s="66">
        <v>1399.4780000000001</v>
      </c>
      <c r="C7940" s="66">
        <v>1330.1</v>
      </c>
      <c r="D7940" s="70">
        <v>0</v>
      </c>
      <c r="E7940" s="111">
        <f t="shared" si="127"/>
        <v>138710</v>
      </c>
      <c r="F7940" s="69">
        <v>6.4933928015450157E-2</v>
      </c>
      <c r="G7940" s="69">
        <v>7.1680672268907564E-2</v>
      </c>
    </row>
    <row r="7941" spans="1:7" x14ac:dyDescent="0.3">
      <c r="A7941" s="24">
        <v>42819</v>
      </c>
      <c r="B7941" s="66">
        <v>1399.4780000000001</v>
      </c>
      <c r="C7941" s="66">
        <v>1330.1</v>
      </c>
      <c r="D7941" s="70">
        <v>0</v>
      </c>
      <c r="E7941" s="111">
        <f t="shared" si="127"/>
        <v>138710</v>
      </c>
      <c r="F7941" s="69">
        <v>6.4933928015450157E-2</v>
      </c>
      <c r="G7941" s="69">
        <v>7.1680672268907564E-2</v>
      </c>
    </row>
    <row r="7942" spans="1:7" x14ac:dyDescent="0.3">
      <c r="A7942" s="24">
        <v>42820</v>
      </c>
      <c r="B7942" s="66">
        <v>1399.4780000000001</v>
      </c>
      <c r="C7942" s="66">
        <v>1330.1</v>
      </c>
      <c r="D7942" s="70">
        <v>0</v>
      </c>
      <c r="E7942" s="111">
        <f t="shared" si="127"/>
        <v>138710</v>
      </c>
      <c r="F7942" s="69">
        <v>6.4933928015450157E-2</v>
      </c>
      <c r="G7942" s="69">
        <v>7.1680672268907564E-2</v>
      </c>
    </row>
    <row r="7943" spans="1:7" x14ac:dyDescent="0.3">
      <c r="A7943" s="24">
        <v>42821</v>
      </c>
      <c r="B7943" s="66">
        <v>1399.4780000000001</v>
      </c>
      <c r="C7943" s="66">
        <v>1331</v>
      </c>
      <c r="D7943" s="70">
        <v>0</v>
      </c>
      <c r="E7943" s="111">
        <f t="shared" si="127"/>
        <v>138710</v>
      </c>
      <c r="F7943" s="69">
        <v>6.4933928015450157E-2</v>
      </c>
      <c r="G7943" s="69">
        <v>7.1681274632559938E-2</v>
      </c>
    </row>
    <row r="7944" spans="1:7" x14ac:dyDescent="0.3">
      <c r="A7944" s="24">
        <v>42822</v>
      </c>
      <c r="B7944" s="66">
        <v>1399.4780000000001</v>
      </c>
      <c r="C7944" s="66">
        <v>1335</v>
      </c>
      <c r="D7944" s="70">
        <v>10</v>
      </c>
      <c r="E7944" s="111">
        <f t="shared" si="127"/>
        <v>138710</v>
      </c>
      <c r="F7944" s="69">
        <v>7.2546346305655332E-2</v>
      </c>
      <c r="G7944" s="69">
        <v>8.1106382978723399E-2</v>
      </c>
    </row>
    <row r="7945" spans="1:7" x14ac:dyDescent="0.3">
      <c r="A7945" s="24">
        <v>42823</v>
      </c>
      <c r="B7945" s="66">
        <v>1399.4780000000001</v>
      </c>
      <c r="C7945" s="66">
        <v>1335</v>
      </c>
      <c r="D7945" s="70">
        <v>0</v>
      </c>
      <c r="E7945" s="111">
        <f t="shared" ref="E7945:E8008" si="128">+E7944</f>
        <v>138710</v>
      </c>
      <c r="F7945" s="69">
        <v>7.2546346305655332E-2</v>
      </c>
      <c r="G7945" s="69">
        <v>8.1106382978723399E-2</v>
      </c>
    </row>
    <row r="7946" spans="1:7" x14ac:dyDescent="0.3">
      <c r="A7946" s="24">
        <v>42824</v>
      </c>
      <c r="B7946" s="66">
        <v>1399.4780000000001</v>
      </c>
      <c r="C7946" s="66">
        <v>1335</v>
      </c>
      <c r="D7946" s="70">
        <v>0</v>
      </c>
      <c r="E7946" s="111">
        <f t="shared" si="128"/>
        <v>138710</v>
      </c>
      <c r="F7946" s="69">
        <v>7.2546346305655332E-2</v>
      </c>
      <c r="G7946" s="69">
        <v>8.0421940928270041E-2</v>
      </c>
    </row>
    <row r="7947" spans="1:7" x14ac:dyDescent="0.3">
      <c r="A7947" s="24">
        <v>42825</v>
      </c>
      <c r="B7947" s="66">
        <v>1399.4780000000001</v>
      </c>
      <c r="C7947" s="66">
        <v>1335.5</v>
      </c>
      <c r="D7947" s="70">
        <v>0</v>
      </c>
      <c r="E7947" s="111">
        <f t="shared" si="128"/>
        <v>138710</v>
      </c>
      <c r="F7947" s="69">
        <v>7.2546346305655332E-2</v>
      </c>
      <c r="G7947" s="69">
        <v>8.0762711864406783E-2</v>
      </c>
    </row>
    <row r="7948" spans="1:7" x14ac:dyDescent="0.3">
      <c r="A7948" s="24">
        <v>42826</v>
      </c>
      <c r="B7948" s="66">
        <v>1399.4780000000001</v>
      </c>
      <c r="C7948" s="66">
        <v>1335.5</v>
      </c>
      <c r="D7948" s="70">
        <v>0</v>
      </c>
      <c r="E7948" s="111">
        <f t="shared" si="128"/>
        <v>138710</v>
      </c>
      <c r="F7948" s="69">
        <v>7.2546346305655332E-2</v>
      </c>
      <c r="G7948" s="69">
        <v>8.0762711864406783E-2</v>
      </c>
    </row>
    <row r="7949" spans="1:7" x14ac:dyDescent="0.3">
      <c r="A7949" s="24">
        <v>42827</v>
      </c>
      <c r="B7949" s="66">
        <v>1399.4780000000001</v>
      </c>
      <c r="C7949" s="66">
        <v>1335.5</v>
      </c>
      <c r="D7949" s="70">
        <v>0</v>
      </c>
      <c r="E7949" s="111">
        <f t="shared" si="128"/>
        <v>138710</v>
      </c>
      <c r="F7949" s="69">
        <v>7.2546346305655332E-2</v>
      </c>
      <c r="G7949" s="69">
        <v>8.0762711864406783E-2</v>
      </c>
    </row>
    <row r="7950" spans="1:7" x14ac:dyDescent="0.3">
      <c r="A7950" s="24">
        <v>42828</v>
      </c>
      <c r="B7950" s="66">
        <v>1399.4780000000001</v>
      </c>
      <c r="C7950" s="66">
        <v>1336</v>
      </c>
      <c r="D7950" s="70">
        <v>0</v>
      </c>
      <c r="E7950" s="111">
        <f t="shared" si="128"/>
        <v>138710</v>
      </c>
      <c r="F7950" s="69">
        <v>7.2546346305655332E-2</v>
      </c>
      <c r="G7950" s="69">
        <v>8.0762711864406783E-2</v>
      </c>
    </row>
    <row r="7951" spans="1:7" x14ac:dyDescent="0.3">
      <c r="A7951" s="24">
        <v>42829</v>
      </c>
      <c r="B7951" s="66">
        <v>1399.4780000000001</v>
      </c>
      <c r="C7951" s="66">
        <v>1336</v>
      </c>
      <c r="D7951" s="70">
        <v>0</v>
      </c>
      <c r="E7951" s="111">
        <f t="shared" si="128"/>
        <v>138710</v>
      </c>
      <c r="F7951" s="69">
        <v>7.2546346305655332E-2</v>
      </c>
      <c r="G7951" s="69">
        <v>8.0762711864406783E-2</v>
      </c>
    </row>
    <row r="7952" spans="1:7" x14ac:dyDescent="0.3">
      <c r="A7952" s="24">
        <v>42830</v>
      </c>
      <c r="B7952" s="66">
        <v>1399.4780000000001</v>
      </c>
      <c r="C7952" s="66">
        <v>1340</v>
      </c>
      <c r="D7952" s="70">
        <v>0</v>
      </c>
      <c r="E7952" s="111">
        <f t="shared" si="128"/>
        <v>138710</v>
      </c>
      <c r="F7952" s="69">
        <v>7.2546346305655332E-2</v>
      </c>
      <c r="G7952" s="69">
        <v>8.1452991452991452E-2</v>
      </c>
    </row>
    <row r="7953" spans="1:7" x14ac:dyDescent="0.3">
      <c r="A7953" s="24">
        <v>42831</v>
      </c>
      <c r="B7953" s="66">
        <v>1399.4780000000001</v>
      </c>
      <c r="C7953" s="66">
        <v>1340</v>
      </c>
      <c r="D7953" s="70">
        <v>0</v>
      </c>
      <c r="E7953" s="111">
        <f t="shared" si="128"/>
        <v>138710</v>
      </c>
      <c r="F7953" s="69">
        <v>7.2546346305655332E-2</v>
      </c>
      <c r="G7953" s="69">
        <v>8.0762711864406783E-2</v>
      </c>
    </row>
    <row r="7954" spans="1:7" x14ac:dyDescent="0.3">
      <c r="A7954" s="24">
        <v>42832</v>
      </c>
      <c r="B7954" s="66">
        <v>1399.4780000000001</v>
      </c>
      <c r="C7954" s="66">
        <v>1350</v>
      </c>
      <c r="D7954" s="70">
        <v>0</v>
      </c>
      <c r="E7954" s="111">
        <f t="shared" si="128"/>
        <v>138710</v>
      </c>
      <c r="F7954" s="69">
        <v>7.2546346305655332E-2</v>
      </c>
      <c r="G7954" s="69">
        <v>8.2155172413793096E-2</v>
      </c>
    </row>
    <row r="7955" spans="1:7" x14ac:dyDescent="0.3">
      <c r="A7955" s="24">
        <v>42833</v>
      </c>
      <c r="B7955" s="66">
        <v>1399.4780000000001</v>
      </c>
      <c r="C7955" s="66">
        <v>1350</v>
      </c>
      <c r="D7955" s="70">
        <v>0</v>
      </c>
      <c r="E7955" s="111">
        <f t="shared" si="128"/>
        <v>138710</v>
      </c>
      <c r="F7955" s="69">
        <v>7.2546346305655332E-2</v>
      </c>
      <c r="G7955" s="69">
        <v>8.2155172413793096E-2</v>
      </c>
    </row>
    <row r="7956" spans="1:7" x14ac:dyDescent="0.3">
      <c r="A7956" s="24">
        <v>42834</v>
      </c>
      <c r="B7956" s="66">
        <v>1399.4780000000001</v>
      </c>
      <c r="C7956" s="66">
        <v>1350</v>
      </c>
      <c r="D7956" s="70">
        <v>0</v>
      </c>
      <c r="E7956" s="111">
        <f t="shared" si="128"/>
        <v>138710</v>
      </c>
      <c r="F7956" s="69">
        <v>7.2546346305655332E-2</v>
      </c>
      <c r="G7956" s="69">
        <v>8.2155172413793096E-2</v>
      </c>
    </row>
    <row r="7957" spans="1:7" x14ac:dyDescent="0.3">
      <c r="A7957" s="24">
        <v>42835</v>
      </c>
      <c r="B7957" s="66">
        <v>1399.4780000000001</v>
      </c>
      <c r="C7957" s="66">
        <v>1350</v>
      </c>
      <c r="D7957" s="70">
        <v>0</v>
      </c>
      <c r="E7957" s="111">
        <f t="shared" si="128"/>
        <v>138710</v>
      </c>
      <c r="F7957" s="69">
        <v>7.2546346305655332E-2</v>
      </c>
      <c r="G7957" s="69">
        <v>8.2155172413793096E-2</v>
      </c>
    </row>
    <row r="7958" spans="1:7" x14ac:dyDescent="0.3">
      <c r="A7958" s="24">
        <v>42836</v>
      </c>
      <c r="B7958" s="66">
        <v>1399.4780000000001</v>
      </c>
      <c r="C7958" s="66">
        <v>1360</v>
      </c>
      <c r="D7958" s="70">
        <v>0</v>
      </c>
      <c r="E7958" s="111">
        <f t="shared" si="128"/>
        <v>138710</v>
      </c>
      <c r="F7958" s="69">
        <v>7.2546346305655332E-2</v>
      </c>
      <c r="G7958" s="69">
        <v>8.1106382978723399E-2</v>
      </c>
    </row>
    <row r="7959" spans="1:7" x14ac:dyDescent="0.3">
      <c r="A7959" s="24">
        <v>42837</v>
      </c>
      <c r="B7959" s="66">
        <v>1399.4780000000001</v>
      </c>
      <c r="C7959" s="66">
        <v>1370</v>
      </c>
      <c r="D7959" s="70">
        <v>0</v>
      </c>
      <c r="E7959" s="111">
        <f t="shared" si="128"/>
        <v>138710</v>
      </c>
      <c r="F7959" s="69">
        <v>7.2546346305655332E-2</v>
      </c>
      <c r="G7959" s="69">
        <v>8.1106382978723399E-2</v>
      </c>
    </row>
    <row r="7960" spans="1:7" x14ac:dyDescent="0.3">
      <c r="A7960" s="24">
        <v>42838</v>
      </c>
      <c r="B7960" s="66">
        <v>1399.4780000000001</v>
      </c>
      <c r="C7960" s="66">
        <v>1370</v>
      </c>
      <c r="D7960" s="70">
        <v>0</v>
      </c>
      <c r="E7960" s="111">
        <f t="shared" si="128"/>
        <v>138710</v>
      </c>
      <c r="F7960" s="69">
        <v>7.2546346305655332E-2</v>
      </c>
      <c r="G7960" s="69">
        <v>8.1452991452991452E-2</v>
      </c>
    </row>
    <row r="7961" spans="1:7" x14ac:dyDescent="0.3">
      <c r="A7961" s="24">
        <v>42839</v>
      </c>
      <c r="B7961" s="66">
        <v>1399.4780000000001</v>
      </c>
      <c r="C7961" s="66">
        <v>1370</v>
      </c>
      <c r="D7961" s="70">
        <v>0</v>
      </c>
      <c r="E7961" s="111">
        <f t="shared" si="128"/>
        <v>138710</v>
      </c>
      <c r="F7961" s="69">
        <v>7.2546346305655332E-2</v>
      </c>
      <c r="G7961" s="69">
        <v>8.2162255366841963E-2</v>
      </c>
    </row>
    <row r="7962" spans="1:7" x14ac:dyDescent="0.3">
      <c r="A7962" s="24">
        <v>42840</v>
      </c>
      <c r="B7962" s="66">
        <v>1399.4780000000001</v>
      </c>
      <c r="C7962" s="66">
        <v>1370</v>
      </c>
      <c r="D7962" s="70">
        <v>0</v>
      </c>
      <c r="E7962" s="111">
        <f t="shared" si="128"/>
        <v>138710</v>
      </c>
      <c r="F7962" s="69">
        <v>7.2546346305655332E-2</v>
      </c>
      <c r="G7962" s="69">
        <v>8.2162255366841963E-2</v>
      </c>
    </row>
    <row r="7963" spans="1:7" x14ac:dyDescent="0.3">
      <c r="A7963" s="24">
        <v>42841</v>
      </c>
      <c r="B7963" s="66">
        <v>1399.4780000000001</v>
      </c>
      <c r="C7963" s="66">
        <v>1370</v>
      </c>
      <c r="D7963" s="70">
        <v>0</v>
      </c>
      <c r="E7963" s="111">
        <f t="shared" si="128"/>
        <v>138710</v>
      </c>
      <c r="F7963" s="69">
        <v>7.2546346305655332E-2</v>
      </c>
      <c r="G7963" s="69">
        <v>8.2162255366841963E-2</v>
      </c>
    </row>
    <row r="7964" spans="1:7" x14ac:dyDescent="0.3">
      <c r="A7964" s="24">
        <v>42842</v>
      </c>
      <c r="B7964" s="66">
        <v>1399.4780000000001</v>
      </c>
      <c r="C7964" s="66">
        <v>1379.9</v>
      </c>
      <c r="D7964" s="70">
        <v>0</v>
      </c>
      <c r="E7964" s="111">
        <f t="shared" si="128"/>
        <v>138710</v>
      </c>
      <c r="F7964" s="69">
        <v>7.2546346305655332E-2</v>
      </c>
      <c r="G7964" s="69">
        <v>8.2862359794800458E-2</v>
      </c>
    </row>
    <row r="7965" spans="1:7" x14ac:dyDescent="0.3">
      <c r="A7965" s="24">
        <v>42843</v>
      </c>
      <c r="B7965" s="66">
        <v>1399.4780000000001</v>
      </c>
      <c r="C7965" s="66">
        <v>1370</v>
      </c>
      <c r="D7965" s="70">
        <v>0</v>
      </c>
      <c r="E7965" s="111">
        <f t="shared" si="128"/>
        <v>138710</v>
      </c>
      <c r="F7965" s="69">
        <v>7.2546346305655332E-2</v>
      </c>
      <c r="G7965" s="69">
        <v>8.2162255366841963E-2</v>
      </c>
    </row>
    <row r="7966" spans="1:7" x14ac:dyDescent="0.3">
      <c r="A7966" s="24">
        <v>42844</v>
      </c>
      <c r="B7966" s="66">
        <v>1399.4780000000001</v>
      </c>
      <c r="C7966" s="66">
        <v>1370</v>
      </c>
      <c r="D7966" s="70">
        <v>0</v>
      </c>
      <c r="E7966" s="111">
        <f t="shared" si="128"/>
        <v>138710</v>
      </c>
      <c r="F7966" s="69">
        <v>7.2546346305655332E-2</v>
      </c>
      <c r="G7966" s="69">
        <v>8.2162255366841963E-2</v>
      </c>
    </row>
    <row r="7967" spans="1:7" x14ac:dyDescent="0.3">
      <c r="A7967" s="24">
        <v>42845</v>
      </c>
      <c r="B7967" s="66">
        <v>1399.4780000000001</v>
      </c>
      <c r="C7967" s="66">
        <v>1375</v>
      </c>
      <c r="D7967" s="70">
        <v>0</v>
      </c>
      <c r="E7967" s="111">
        <f t="shared" si="128"/>
        <v>138710</v>
      </c>
      <c r="F7967" s="69">
        <v>7.2546346305655332E-2</v>
      </c>
      <c r="G7967" s="69">
        <v>8.2510822510822507E-2</v>
      </c>
    </row>
    <row r="7968" spans="1:7" x14ac:dyDescent="0.3">
      <c r="A7968" s="24">
        <v>42846</v>
      </c>
      <c r="B7968" s="66">
        <v>1399.4780000000001</v>
      </c>
      <c r="C7968" s="66">
        <v>1380</v>
      </c>
      <c r="D7968" s="70">
        <v>0</v>
      </c>
      <c r="E7968" s="111">
        <f t="shared" si="128"/>
        <v>138710</v>
      </c>
      <c r="F7968" s="69">
        <v>7.2546346305655332E-2</v>
      </c>
      <c r="G7968" s="69">
        <v>8.3231441048034926E-2</v>
      </c>
    </row>
    <row r="7969" spans="1:7" x14ac:dyDescent="0.3">
      <c r="A7969" s="24">
        <v>42847</v>
      </c>
      <c r="B7969" s="66">
        <v>1399.4780000000001</v>
      </c>
      <c r="C7969" s="66">
        <v>1380</v>
      </c>
      <c r="D7969" s="70">
        <v>0</v>
      </c>
      <c r="E7969" s="111">
        <f t="shared" si="128"/>
        <v>138710</v>
      </c>
      <c r="F7969" s="69">
        <v>7.2546346305655332E-2</v>
      </c>
      <c r="G7969" s="69">
        <v>8.3231441048034926E-2</v>
      </c>
    </row>
    <row r="7970" spans="1:7" x14ac:dyDescent="0.3">
      <c r="A7970" s="24">
        <v>42848</v>
      </c>
      <c r="B7970" s="66">
        <v>1399.4780000000001</v>
      </c>
      <c r="C7970" s="66">
        <v>1380</v>
      </c>
      <c r="D7970" s="70">
        <v>0</v>
      </c>
      <c r="E7970" s="111">
        <f t="shared" si="128"/>
        <v>138710</v>
      </c>
      <c r="F7970" s="69">
        <v>7.2546346305655332E-2</v>
      </c>
      <c r="G7970" s="69">
        <v>8.3231441048034926E-2</v>
      </c>
    </row>
    <row r="7971" spans="1:7" x14ac:dyDescent="0.3">
      <c r="A7971" s="24">
        <v>42849</v>
      </c>
      <c r="B7971" s="66">
        <v>1399.4780000000001</v>
      </c>
      <c r="C7971" s="66">
        <v>1375</v>
      </c>
      <c r="D7971" s="70">
        <v>0</v>
      </c>
      <c r="E7971" s="111">
        <f t="shared" si="128"/>
        <v>138710</v>
      </c>
      <c r="F7971" s="69">
        <v>7.2546346305655332E-2</v>
      </c>
      <c r="G7971" s="69">
        <v>8.3596491228070169E-2</v>
      </c>
    </row>
    <row r="7972" spans="1:7" x14ac:dyDescent="0.3">
      <c r="A7972" s="24">
        <v>42850</v>
      </c>
      <c r="B7972" s="66">
        <v>1399.4780000000001</v>
      </c>
      <c r="C7972" s="66">
        <v>1375</v>
      </c>
      <c r="D7972" s="70">
        <v>0</v>
      </c>
      <c r="E7972" s="111">
        <f t="shared" si="128"/>
        <v>138710</v>
      </c>
      <c r="F7972" s="69">
        <v>7.2546346305655332E-2</v>
      </c>
      <c r="G7972" s="69">
        <v>8.4336283185840702E-2</v>
      </c>
    </row>
    <row r="7973" spans="1:7" x14ac:dyDescent="0.3">
      <c r="A7973" s="24">
        <v>42851</v>
      </c>
      <c r="B7973" s="66">
        <v>1399.4780000000001</v>
      </c>
      <c r="C7973" s="66">
        <v>1375</v>
      </c>
      <c r="D7973" s="70">
        <v>0</v>
      </c>
      <c r="E7973" s="111">
        <f t="shared" si="128"/>
        <v>138710</v>
      </c>
      <c r="F7973" s="69">
        <v>7.2546346305655332E-2</v>
      </c>
      <c r="G7973" s="69">
        <v>8.4336283185840702E-2</v>
      </c>
    </row>
    <row r="7974" spans="1:7" x14ac:dyDescent="0.3">
      <c r="A7974" s="24">
        <v>42852</v>
      </c>
      <c r="B7974" s="66">
        <v>1399.4780000000001</v>
      </c>
      <c r="C7974" s="66">
        <v>1375</v>
      </c>
      <c r="D7974" s="70">
        <v>0</v>
      </c>
      <c r="E7974" s="111">
        <f t="shared" si="128"/>
        <v>138710</v>
      </c>
      <c r="F7974" s="69">
        <v>7.2546346305655332E-2</v>
      </c>
      <c r="G7974" s="69">
        <v>8.4336283185840702E-2</v>
      </c>
    </row>
    <row r="7975" spans="1:7" x14ac:dyDescent="0.3">
      <c r="A7975" s="24">
        <v>42853</v>
      </c>
      <c r="B7975" s="66">
        <v>1416.8956599999999</v>
      </c>
      <c r="C7975" s="66">
        <v>1365</v>
      </c>
      <c r="D7975" s="70">
        <v>41.8</v>
      </c>
      <c r="E7975" s="111">
        <f t="shared" si="128"/>
        <v>138710</v>
      </c>
      <c r="F7975" s="69">
        <v>7.1080599584243107E-2</v>
      </c>
      <c r="G7975" s="69">
        <v>8.115555555555555E-2</v>
      </c>
    </row>
    <row r="7976" spans="1:7" x14ac:dyDescent="0.3">
      <c r="A7976" s="24">
        <v>42854</v>
      </c>
      <c r="B7976" s="66">
        <v>1416.8956599999999</v>
      </c>
      <c r="C7976" s="66">
        <v>1365</v>
      </c>
      <c r="D7976" s="70">
        <v>0</v>
      </c>
      <c r="E7976" s="111">
        <f t="shared" si="128"/>
        <v>138710</v>
      </c>
      <c r="F7976" s="69">
        <v>7.1080599584243107E-2</v>
      </c>
      <c r="G7976" s="69">
        <v>8.115555555555555E-2</v>
      </c>
    </row>
    <row r="7977" spans="1:7" x14ac:dyDescent="0.3">
      <c r="A7977" s="24">
        <v>42855</v>
      </c>
      <c r="B7977" s="66">
        <v>1416.8956599999999</v>
      </c>
      <c r="C7977" s="66">
        <v>1365</v>
      </c>
      <c r="D7977" s="70">
        <v>0</v>
      </c>
      <c r="E7977" s="111">
        <f t="shared" si="128"/>
        <v>138710</v>
      </c>
      <c r="F7977" s="69">
        <v>7.1080599584243107E-2</v>
      </c>
      <c r="G7977" s="69">
        <v>8.115555555555555E-2</v>
      </c>
    </row>
    <row r="7978" spans="1:7" x14ac:dyDescent="0.3">
      <c r="A7978" s="24">
        <v>42856</v>
      </c>
      <c r="B7978" s="66">
        <v>1416.8956599999999</v>
      </c>
      <c r="C7978" s="66">
        <v>1365</v>
      </c>
      <c r="D7978" s="70">
        <v>0</v>
      </c>
      <c r="E7978" s="111">
        <f t="shared" si="128"/>
        <v>138710</v>
      </c>
      <c r="F7978" s="69">
        <v>7.1080599584243107E-2</v>
      </c>
      <c r="G7978" s="69">
        <v>8.115555555555555E-2</v>
      </c>
    </row>
    <row r="7979" spans="1:7" x14ac:dyDescent="0.3">
      <c r="A7979" s="24">
        <v>42857</v>
      </c>
      <c r="B7979" s="66">
        <v>1416.8956599999999</v>
      </c>
      <c r="C7979" s="66">
        <v>1365</v>
      </c>
      <c r="D7979" s="70">
        <v>0</v>
      </c>
      <c r="E7979" s="111">
        <f t="shared" si="128"/>
        <v>138710</v>
      </c>
      <c r="F7979" s="69">
        <v>7.1080599584243107E-2</v>
      </c>
      <c r="G7979" s="69">
        <v>8.115555555555555E-2</v>
      </c>
    </row>
    <row r="7980" spans="1:7" x14ac:dyDescent="0.3">
      <c r="A7980" s="24">
        <v>42858</v>
      </c>
      <c r="B7980" s="66">
        <v>1416.8956599999999</v>
      </c>
      <c r="C7980" s="66">
        <v>1375</v>
      </c>
      <c r="D7980" s="70">
        <v>0</v>
      </c>
      <c r="E7980" s="111">
        <f t="shared" si="128"/>
        <v>138710</v>
      </c>
      <c r="F7980" s="69">
        <v>7.1080599584243107E-2</v>
      </c>
      <c r="G7980" s="69">
        <v>8.115555555555555E-2</v>
      </c>
    </row>
    <row r="7981" spans="1:7" x14ac:dyDescent="0.3">
      <c r="A7981" s="24">
        <v>42859</v>
      </c>
      <c r="B7981" s="66">
        <v>1416.8956599999999</v>
      </c>
      <c r="C7981" s="66">
        <v>1375</v>
      </c>
      <c r="D7981" s="70">
        <v>0</v>
      </c>
      <c r="E7981" s="111">
        <f t="shared" si="128"/>
        <v>138710</v>
      </c>
      <c r="F7981" s="69">
        <v>7.1080599584243107E-2</v>
      </c>
      <c r="G7981" s="69">
        <v>8.0796460176991144E-2</v>
      </c>
    </row>
    <row r="7982" spans="1:7" x14ac:dyDescent="0.3">
      <c r="A7982" s="24">
        <v>42860</v>
      </c>
      <c r="B7982" s="66">
        <v>1416.8956599999999</v>
      </c>
      <c r="C7982" s="66">
        <v>1375</v>
      </c>
      <c r="D7982" s="70">
        <v>0</v>
      </c>
      <c r="E7982" s="111">
        <f t="shared" si="128"/>
        <v>138710</v>
      </c>
      <c r="F7982" s="69">
        <v>7.1080599584243107E-2</v>
      </c>
      <c r="G7982" s="69">
        <v>8.008771929824561E-2</v>
      </c>
    </row>
    <row r="7983" spans="1:7" x14ac:dyDescent="0.3">
      <c r="A7983" s="24">
        <v>42861</v>
      </c>
      <c r="B7983" s="66">
        <v>1416.8956599999999</v>
      </c>
      <c r="C7983" s="66">
        <v>1375</v>
      </c>
      <c r="D7983" s="70">
        <v>0</v>
      </c>
      <c r="E7983" s="111">
        <f t="shared" si="128"/>
        <v>138710</v>
      </c>
      <c r="F7983" s="69">
        <v>7.1080599584243107E-2</v>
      </c>
      <c r="G7983" s="69">
        <v>8.008771929824561E-2</v>
      </c>
    </row>
    <row r="7984" spans="1:7" x14ac:dyDescent="0.3">
      <c r="A7984" s="24">
        <v>42862</v>
      </c>
      <c r="B7984" s="66">
        <v>1416.8956599999999</v>
      </c>
      <c r="C7984" s="66">
        <v>1375</v>
      </c>
      <c r="D7984" s="70">
        <v>0</v>
      </c>
      <c r="E7984" s="111">
        <f t="shared" si="128"/>
        <v>138710</v>
      </c>
      <c r="F7984" s="69">
        <v>7.1080599584243107E-2</v>
      </c>
      <c r="G7984" s="69">
        <v>8.008771929824561E-2</v>
      </c>
    </row>
    <row r="7985" spans="1:7" x14ac:dyDescent="0.3">
      <c r="A7985" s="24">
        <v>42863</v>
      </c>
      <c r="B7985" s="66">
        <v>1416.8956599999999</v>
      </c>
      <c r="C7985" s="66">
        <v>1370</v>
      </c>
      <c r="D7985" s="70">
        <v>0</v>
      </c>
      <c r="E7985" s="111">
        <f t="shared" si="128"/>
        <v>138710</v>
      </c>
      <c r="F7985" s="69">
        <v>7.1080599584243107E-2</v>
      </c>
      <c r="G7985" s="69">
        <v>8.008771929824561E-2</v>
      </c>
    </row>
    <row r="7986" spans="1:7" x14ac:dyDescent="0.3">
      <c r="A7986" s="24">
        <v>42864</v>
      </c>
      <c r="B7986" s="66">
        <v>1416.8956599999999</v>
      </c>
      <c r="C7986" s="66">
        <v>1379</v>
      </c>
      <c r="D7986" s="70">
        <v>0</v>
      </c>
      <c r="E7986" s="111">
        <f t="shared" si="128"/>
        <v>138710</v>
      </c>
      <c r="F7986" s="69">
        <v>7.1080599584243107E-2</v>
      </c>
      <c r="G7986" s="69">
        <v>8.008771929824561E-2</v>
      </c>
    </row>
    <row r="7987" spans="1:7" x14ac:dyDescent="0.3">
      <c r="A7987" s="24">
        <v>42865</v>
      </c>
      <c r="B7987" s="66">
        <v>1416.8956599999999</v>
      </c>
      <c r="C7987" s="66">
        <v>1378</v>
      </c>
      <c r="D7987" s="70">
        <v>0</v>
      </c>
      <c r="E7987" s="111">
        <f t="shared" si="128"/>
        <v>138710</v>
      </c>
      <c r="F7987" s="69">
        <v>7.1080599584243107E-2</v>
      </c>
      <c r="G7987" s="69">
        <v>8.008771929824561E-2</v>
      </c>
    </row>
    <row r="7988" spans="1:7" x14ac:dyDescent="0.3">
      <c r="A7988" s="24">
        <v>42866</v>
      </c>
      <c r="B7988" s="66">
        <v>1416.8956599999999</v>
      </c>
      <c r="C7988" s="66">
        <v>1378</v>
      </c>
      <c r="D7988" s="70">
        <v>0</v>
      </c>
      <c r="E7988" s="111">
        <f t="shared" si="128"/>
        <v>138710</v>
      </c>
      <c r="F7988" s="69">
        <v>7.1080599584243107E-2</v>
      </c>
      <c r="G7988" s="69">
        <v>8.0094745153083596E-2</v>
      </c>
    </row>
    <row r="7989" spans="1:7" x14ac:dyDescent="0.3">
      <c r="A7989" s="24">
        <v>42867</v>
      </c>
      <c r="B7989" s="66">
        <v>1416.8956599999999</v>
      </c>
      <c r="C7989" s="66">
        <v>1380</v>
      </c>
      <c r="D7989" s="70">
        <v>0</v>
      </c>
      <c r="E7989" s="111">
        <f t="shared" si="128"/>
        <v>138710</v>
      </c>
      <c r="F7989" s="69">
        <v>7.1080599584243107E-2</v>
      </c>
      <c r="G7989" s="69">
        <v>8.0094745153083596E-2</v>
      </c>
    </row>
    <row r="7990" spans="1:7" x14ac:dyDescent="0.3">
      <c r="A7990" s="24">
        <v>42868</v>
      </c>
      <c r="B7990" s="66">
        <v>1416.8956599999999</v>
      </c>
      <c r="C7990" s="66">
        <v>1380</v>
      </c>
      <c r="D7990" s="70">
        <v>0</v>
      </c>
      <c r="E7990" s="111">
        <f t="shared" si="128"/>
        <v>138710</v>
      </c>
      <c r="F7990" s="69">
        <v>7.1080599584243107E-2</v>
      </c>
      <c r="G7990" s="69">
        <v>8.0094745153083596E-2</v>
      </c>
    </row>
    <row r="7991" spans="1:7" x14ac:dyDescent="0.3">
      <c r="A7991" s="24">
        <v>42869</v>
      </c>
      <c r="B7991" s="66">
        <v>1416.8956599999999</v>
      </c>
      <c r="C7991" s="66">
        <v>1380</v>
      </c>
      <c r="D7991" s="70">
        <v>0</v>
      </c>
      <c r="E7991" s="111">
        <f t="shared" si="128"/>
        <v>138710</v>
      </c>
      <c r="F7991" s="69">
        <v>7.1080599584243107E-2</v>
      </c>
      <c r="G7991" s="69">
        <v>8.0094745153083596E-2</v>
      </c>
    </row>
    <row r="7992" spans="1:7" x14ac:dyDescent="0.3">
      <c r="A7992" s="24">
        <v>42870</v>
      </c>
      <c r="B7992" s="66">
        <v>1416.8956599999999</v>
      </c>
      <c r="C7992" s="66">
        <v>1378.999</v>
      </c>
      <c r="D7992" s="70">
        <v>0</v>
      </c>
      <c r="E7992" s="111">
        <f t="shared" si="128"/>
        <v>138710</v>
      </c>
      <c r="F7992" s="69">
        <v>7.1080599584243107E-2</v>
      </c>
      <c r="G7992" s="69">
        <v>8.0440528634361227E-2</v>
      </c>
    </row>
    <row r="7993" spans="1:7" x14ac:dyDescent="0.3">
      <c r="A7993" s="24">
        <v>42871</v>
      </c>
      <c r="B7993" s="66">
        <v>1416.8956599999999</v>
      </c>
      <c r="C7993" s="66">
        <v>1379</v>
      </c>
      <c r="D7993" s="70">
        <v>0</v>
      </c>
      <c r="E7993" s="111">
        <f t="shared" si="128"/>
        <v>138710</v>
      </c>
      <c r="F7993" s="69">
        <v>7.1080599584243107E-2</v>
      </c>
      <c r="G7993" s="69">
        <v>8.0440528634361227E-2</v>
      </c>
    </row>
    <row r="7994" spans="1:7" x14ac:dyDescent="0.3">
      <c r="A7994" s="24">
        <v>42872</v>
      </c>
      <c r="B7994" s="66">
        <v>1416.8956599999999</v>
      </c>
      <c r="C7994" s="66">
        <v>1385</v>
      </c>
      <c r="D7994" s="70">
        <v>0</v>
      </c>
      <c r="E7994" s="111">
        <f t="shared" si="128"/>
        <v>138710</v>
      </c>
      <c r="F7994" s="69">
        <v>7.1080599584243107E-2</v>
      </c>
      <c r="G7994" s="69">
        <v>8.0440528634361227E-2</v>
      </c>
    </row>
    <row r="7995" spans="1:7" x14ac:dyDescent="0.3">
      <c r="A7995" s="24">
        <v>42873</v>
      </c>
      <c r="B7995" s="66">
        <v>1416.8956599999999</v>
      </c>
      <c r="C7995" s="66">
        <v>1384</v>
      </c>
      <c r="D7995" s="70">
        <v>0</v>
      </c>
      <c r="E7995" s="111">
        <f t="shared" si="128"/>
        <v>138710</v>
      </c>
      <c r="F7995" s="69">
        <v>7.1080599584243107E-2</v>
      </c>
      <c r="G7995" s="69">
        <v>8.0440528634361227E-2</v>
      </c>
    </row>
    <row r="7996" spans="1:7" x14ac:dyDescent="0.3">
      <c r="A7996" s="24">
        <v>42874</v>
      </c>
      <c r="B7996" s="66">
        <v>1416.8956599999999</v>
      </c>
      <c r="C7996" s="66">
        <v>1380</v>
      </c>
      <c r="D7996" s="70">
        <v>0</v>
      </c>
      <c r="E7996" s="111">
        <f t="shared" si="128"/>
        <v>138710</v>
      </c>
      <c r="F7996" s="69">
        <v>7.1080599584243107E-2</v>
      </c>
      <c r="G7996" s="69">
        <v>8.0369718309859159E-2</v>
      </c>
    </row>
    <row r="7997" spans="1:7" x14ac:dyDescent="0.3">
      <c r="A7997" s="24">
        <v>42875</v>
      </c>
      <c r="B7997" s="66">
        <v>1416.8956599999999</v>
      </c>
      <c r="C7997" s="66">
        <v>1380</v>
      </c>
      <c r="D7997" s="70">
        <v>0</v>
      </c>
      <c r="E7997" s="111">
        <f t="shared" si="128"/>
        <v>138710</v>
      </c>
      <c r="F7997" s="69">
        <v>7.1080599584243107E-2</v>
      </c>
      <c r="G7997" s="69">
        <v>8.0369718309859159E-2</v>
      </c>
    </row>
    <row r="7998" spans="1:7" x14ac:dyDescent="0.3">
      <c r="A7998" s="24">
        <v>42876</v>
      </c>
      <c r="B7998" s="66">
        <v>1416.8956599999999</v>
      </c>
      <c r="C7998" s="66">
        <v>1380</v>
      </c>
      <c r="D7998" s="70">
        <v>0</v>
      </c>
      <c r="E7998" s="111">
        <f t="shared" si="128"/>
        <v>138710</v>
      </c>
      <c r="F7998" s="69">
        <v>7.1080599584243107E-2</v>
      </c>
      <c r="G7998" s="69">
        <v>8.0369718309859159E-2</v>
      </c>
    </row>
    <row r="7999" spans="1:7" x14ac:dyDescent="0.3">
      <c r="A7999" s="24">
        <v>42877</v>
      </c>
      <c r="B7999" s="66">
        <v>1416.8956599999999</v>
      </c>
      <c r="C7999" s="66">
        <v>1375</v>
      </c>
      <c r="D7999" s="70">
        <v>0</v>
      </c>
      <c r="E7999" s="111">
        <f t="shared" si="128"/>
        <v>138710</v>
      </c>
      <c r="F7999" s="69">
        <v>7.1080599584243107E-2</v>
      </c>
      <c r="G7999" s="69">
        <v>8.0369718309859159E-2</v>
      </c>
    </row>
    <row r="8000" spans="1:7" x14ac:dyDescent="0.3">
      <c r="A8000" s="24">
        <v>42878</v>
      </c>
      <c r="B8000" s="66">
        <v>1416.8956599999999</v>
      </c>
      <c r="C8000" s="66">
        <v>1380</v>
      </c>
      <c r="D8000" s="70">
        <v>0</v>
      </c>
      <c r="E8000" s="111">
        <f t="shared" si="128"/>
        <v>138710</v>
      </c>
      <c r="F8000" s="69">
        <v>7.1080599584243107E-2</v>
      </c>
      <c r="G8000" s="69">
        <v>8.0369718309859159E-2</v>
      </c>
    </row>
    <row r="8001" spans="1:7" x14ac:dyDescent="0.3">
      <c r="A8001" s="24">
        <v>42879</v>
      </c>
      <c r="B8001" s="66">
        <v>1416.8956599999999</v>
      </c>
      <c r="C8001" s="66">
        <v>1382</v>
      </c>
      <c r="D8001" s="70">
        <v>0</v>
      </c>
      <c r="E8001" s="111">
        <f t="shared" si="128"/>
        <v>138710</v>
      </c>
      <c r="F8001" s="69">
        <v>7.1080599584243107E-2</v>
      </c>
      <c r="G8001" s="69">
        <v>8.0299032541776602E-2</v>
      </c>
    </row>
    <row r="8002" spans="1:7" x14ac:dyDescent="0.3">
      <c r="A8002" s="24">
        <v>42880</v>
      </c>
      <c r="B8002" s="66">
        <v>1416.8956599999999</v>
      </c>
      <c r="C8002" s="66">
        <v>1382.1</v>
      </c>
      <c r="D8002" s="70">
        <v>0</v>
      </c>
      <c r="E8002" s="111">
        <f t="shared" si="128"/>
        <v>138710</v>
      </c>
      <c r="F8002" s="69">
        <v>7.1080599584243107E-2</v>
      </c>
      <c r="G8002" s="69">
        <v>8.0789310680470752E-2</v>
      </c>
    </row>
    <row r="8003" spans="1:7" x14ac:dyDescent="0.3">
      <c r="A8003" s="24">
        <v>42881</v>
      </c>
      <c r="B8003" s="66">
        <v>1416.8956599999999</v>
      </c>
      <c r="C8003" s="66">
        <v>1382.1</v>
      </c>
      <c r="D8003" s="70">
        <v>0</v>
      </c>
      <c r="E8003" s="111">
        <f t="shared" si="128"/>
        <v>138710</v>
      </c>
      <c r="F8003" s="69">
        <v>7.1080599584243107E-2</v>
      </c>
      <c r="G8003" s="69">
        <v>8.0440528634361227E-2</v>
      </c>
    </row>
    <row r="8004" spans="1:7" x14ac:dyDescent="0.3">
      <c r="A8004" s="24">
        <v>42882</v>
      </c>
      <c r="B8004" s="66">
        <v>1416.8956599999999</v>
      </c>
      <c r="C8004" s="66">
        <v>1382.1</v>
      </c>
      <c r="D8004" s="70">
        <v>0</v>
      </c>
      <c r="E8004" s="111">
        <f t="shared" si="128"/>
        <v>138710</v>
      </c>
      <c r="F8004" s="69">
        <v>7.1080599584243107E-2</v>
      </c>
      <c r="G8004" s="69">
        <v>8.0440528634361227E-2</v>
      </c>
    </row>
    <row r="8005" spans="1:7" x14ac:dyDescent="0.3">
      <c r="A8005" s="24">
        <v>42883</v>
      </c>
      <c r="B8005" s="66">
        <v>1416.8956599999999</v>
      </c>
      <c r="C8005" s="66">
        <v>1382.1</v>
      </c>
      <c r="D8005" s="70">
        <v>0</v>
      </c>
      <c r="E8005" s="111">
        <f t="shared" si="128"/>
        <v>138710</v>
      </c>
      <c r="F8005" s="69">
        <v>7.1080599584243107E-2</v>
      </c>
      <c r="G8005" s="69">
        <v>8.0440528634361227E-2</v>
      </c>
    </row>
    <row r="8006" spans="1:7" x14ac:dyDescent="0.3">
      <c r="A8006" s="24">
        <v>42884</v>
      </c>
      <c r="B8006" s="66">
        <v>1416.8956599999999</v>
      </c>
      <c r="C8006" s="66">
        <v>1382.1</v>
      </c>
      <c r="D8006" s="70">
        <v>0</v>
      </c>
      <c r="E8006" s="111">
        <f t="shared" si="128"/>
        <v>138710</v>
      </c>
      <c r="F8006" s="69">
        <v>7.1080599584243107E-2</v>
      </c>
      <c r="G8006" s="69">
        <v>8.0440528634361227E-2</v>
      </c>
    </row>
    <row r="8007" spans="1:7" x14ac:dyDescent="0.3">
      <c r="A8007" s="24">
        <v>42885</v>
      </c>
      <c r="B8007" s="66">
        <v>1416.8956599999999</v>
      </c>
      <c r="C8007" s="66">
        <v>1395.1</v>
      </c>
      <c r="D8007" s="70">
        <v>0</v>
      </c>
      <c r="E8007" s="111">
        <f t="shared" si="128"/>
        <v>138710</v>
      </c>
      <c r="F8007" s="69">
        <v>7.1080599584243107E-2</v>
      </c>
      <c r="G8007" s="69">
        <v>8.0440528634361227E-2</v>
      </c>
    </row>
    <row r="8008" spans="1:7" x14ac:dyDescent="0.3">
      <c r="A8008" s="24">
        <v>42886</v>
      </c>
      <c r="B8008" s="66">
        <v>1416.8956599999999</v>
      </c>
      <c r="C8008" s="66">
        <v>1435</v>
      </c>
      <c r="D8008" s="70">
        <v>0</v>
      </c>
      <c r="E8008" s="111">
        <f t="shared" si="128"/>
        <v>138710</v>
      </c>
      <c r="F8008" s="69">
        <v>7.1080599584243107E-2</v>
      </c>
      <c r="G8008" s="69">
        <v>8.0369718309859159E-2</v>
      </c>
    </row>
    <row r="8009" spans="1:7" x14ac:dyDescent="0.3">
      <c r="A8009" s="24">
        <v>42887</v>
      </c>
      <c r="B8009" s="66">
        <v>1416.8956599999999</v>
      </c>
      <c r="C8009" s="66">
        <v>1450</v>
      </c>
      <c r="D8009" s="70">
        <v>0</v>
      </c>
      <c r="E8009" s="111">
        <f t="shared" ref="E8009:E8072" si="129">+E8008</f>
        <v>138710</v>
      </c>
      <c r="F8009" s="69">
        <v>7.1080599584243107E-2</v>
      </c>
      <c r="G8009" s="69">
        <v>8.0369718309859159E-2</v>
      </c>
    </row>
    <row r="8010" spans="1:7" x14ac:dyDescent="0.3">
      <c r="A8010" s="24">
        <v>42888</v>
      </c>
      <c r="B8010" s="66">
        <v>1416.8956599999999</v>
      </c>
      <c r="C8010" s="66">
        <v>1450</v>
      </c>
      <c r="D8010" s="70">
        <v>0</v>
      </c>
      <c r="E8010" s="111">
        <f t="shared" si="129"/>
        <v>138710</v>
      </c>
      <c r="F8010" s="69">
        <v>7.1080599584243107E-2</v>
      </c>
      <c r="G8010" s="69">
        <v>8.008771929824561E-2</v>
      </c>
    </row>
    <row r="8011" spans="1:7" x14ac:dyDescent="0.3">
      <c r="A8011" s="24">
        <v>42889</v>
      </c>
      <c r="B8011" s="66">
        <v>1416.8956599999999</v>
      </c>
      <c r="C8011" s="66">
        <v>1450</v>
      </c>
      <c r="D8011" s="70">
        <v>0</v>
      </c>
      <c r="E8011" s="111">
        <f t="shared" si="129"/>
        <v>138710</v>
      </c>
      <c r="F8011" s="69">
        <v>7.1080599584243107E-2</v>
      </c>
      <c r="G8011" s="69">
        <v>8.008771929824561E-2</v>
      </c>
    </row>
    <row r="8012" spans="1:7" x14ac:dyDescent="0.3">
      <c r="A8012" s="24">
        <v>42890</v>
      </c>
      <c r="B8012" s="66">
        <v>1416.8956599999999</v>
      </c>
      <c r="C8012" s="66">
        <v>1450</v>
      </c>
      <c r="D8012" s="70">
        <v>0</v>
      </c>
      <c r="E8012" s="111">
        <f t="shared" si="129"/>
        <v>138710</v>
      </c>
      <c r="F8012" s="69">
        <v>7.1080599584243107E-2</v>
      </c>
      <c r="G8012" s="69">
        <v>8.008771929824561E-2</v>
      </c>
    </row>
    <row r="8013" spans="1:7" x14ac:dyDescent="0.3">
      <c r="A8013" s="24">
        <v>42891</v>
      </c>
      <c r="B8013" s="66">
        <v>1416.8956599999999</v>
      </c>
      <c r="C8013" s="66">
        <v>1459.9</v>
      </c>
      <c r="D8013" s="70">
        <v>0</v>
      </c>
      <c r="E8013" s="111">
        <f t="shared" si="129"/>
        <v>138710</v>
      </c>
      <c r="F8013" s="69">
        <v>7.1080599584243107E-2</v>
      </c>
      <c r="G8013" s="69">
        <v>8.008771929824561E-2</v>
      </c>
    </row>
    <row r="8014" spans="1:7" x14ac:dyDescent="0.3">
      <c r="A8014" s="24">
        <v>42892</v>
      </c>
      <c r="B8014" s="66">
        <v>1416.8956599999999</v>
      </c>
      <c r="C8014" s="66">
        <v>1460</v>
      </c>
      <c r="D8014" s="70">
        <v>0</v>
      </c>
      <c r="E8014" s="111">
        <f t="shared" si="129"/>
        <v>138710</v>
      </c>
      <c r="F8014" s="69">
        <v>7.1080599584243107E-2</v>
      </c>
      <c r="G8014" s="69">
        <v>8.008771929824561E-2</v>
      </c>
    </row>
    <row r="8015" spans="1:7" x14ac:dyDescent="0.3">
      <c r="A8015" s="24">
        <v>42893</v>
      </c>
      <c r="B8015" s="66">
        <v>1416.8956599999999</v>
      </c>
      <c r="C8015" s="66">
        <v>1480</v>
      </c>
      <c r="D8015" s="70">
        <v>0</v>
      </c>
      <c r="E8015" s="111">
        <f t="shared" si="129"/>
        <v>138710</v>
      </c>
      <c r="F8015" s="69">
        <v>7.1080599584243107E-2</v>
      </c>
      <c r="G8015" s="69">
        <v>8.008771929824561E-2</v>
      </c>
    </row>
    <row r="8016" spans="1:7" x14ac:dyDescent="0.3">
      <c r="A8016" s="24">
        <v>42894</v>
      </c>
      <c r="B8016" s="66">
        <v>1416.8956599999999</v>
      </c>
      <c r="C8016" s="66">
        <v>1479.9</v>
      </c>
      <c r="D8016" s="70">
        <v>0</v>
      </c>
      <c r="E8016" s="111">
        <f t="shared" si="129"/>
        <v>138710</v>
      </c>
      <c r="F8016" s="69">
        <v>7.1080599584243107E-2</v>
      </c>
      <c r="G8016" s="69">
        <v>8.008771929824561E-2</v>
      </c>
    </row>
    <row r="8017" spans="1:7" x14ac:dyDescent="0.3">
      <c r="A8017" s="24">
        <v>42895</v>
      </c>
      <c r="B8017" s="66">
        <v>1416.8956599999999</v>
      </c>
      <c r="C8017" s="66">
        <v>1479.5</v>
      </c>
      <c r="D8017" s="70">
        <v>0</v>
      </c>
      <c r="E8017" s="111">
        <f t="shared" si="129"/>
        <v>138710</v>
      </c>
      <c r="F8017" s="69">
        <v>7.1080599584243107E-2</v>
      </c>
      <c r="G8017" s="69">
        <v>8.008771929824561E-2</v>
      </c>
    </row>
    <row r="8018" spans="1:7" x14ac:dyDescent="0.3">
      <c r="A8018" s="24">
        <v>42896</v>
      </c>
      <c r="B8018" s="66">
        <v>1416.8956599999999</v>
      </c>
      <c r="C8018" s="66">
        <v>1479.5</v>
      </c>
      <c r="D8018" s="70">
        <v>0</v>
      </c>
      <c r="E8018" s="111">
        <f t="shared" si="129"/>
        <v>138710</v>
      </c>
      <c r="F8018" s="69">
        <v>7.1080599584243107E-2</v>
      </c>
      <c r="G8018" s="69">
        <v>8.008771929824561E-2</v>
      </c>
    </row>
    <row r="8019" spans="1:7" x14ac:dyDescent="0.3">
      <c r="A8019" s="24">
        <v>42897</v>
      </c>
      <c r="B8019" s="66">
        <v>1416.8956599999999</v>
      </c>
      <c r="C8019" s="66">
        <v>1479.5</v>
      </c>
      <c r="D8019" s="70">
        <v>0</v>
      </c>
      <c r="E8019" s="111">
        <f t="shared" si="129"/>
        <v>138710</v>
      </c>
      <c r="F8019" s="69">
        <v>7.1080599584243107E-2</v>
      </c>
      <c r="G8019" s="69">
        <v>8.008771929824561E-2</v>
      </c>
    </row>
    <row r="8020" spans="1:7" x14ac:dyDescent="0.3">
      <c r="A8020" s="24">
        <v>42898</v>
      </c>
      <c r="B8020" s="66">
        <v>1416.8956599999999</v>
      </c>
      <c r="C8020" s="66">
        <v>1480</v>
      </c>
      <c r="D8020" s="70">
        <v>0</v>
      </c>
      <c r="E8020" s="111">
        <f t="shared" si="129"/>
        <v>138710</v>
      </c>
      <c r="F8020" s="69">
        <v>7.1080599584243107E-2</v>
      </c>
      <c r="G8020" s="69">
        <v>8.008771929824561E-2</v>
      </c>
    </row>
    <row r="8021" spans="1:7" x14ac:dyDescent="0.3">
      <c r="A8021" s="24">
        <v>42899</v>
      </c>
      <c r="B8021" s="66">
        <v>1416.8956599999999</v>
      </c>
      <c r="C8021" s="66">
        <v>1474.9</v>
      </c>
      <c r="D8021" s="70">
        <v>0</v>
      </c>
      <c r="E8021" s="111">
        <f t="shared" si="129"/>
        <v>138710</v>
      </c>
      <c r="F8021" s="69">
        <v>7.1080599584243107E-2</v>
      </c>
      <c r="G8021" s="69">
        <v>8.008771929824561E-2</v>
      </c>
    </row>
    <row r="8022" spans="1:7" x14ac:dyDescent="0.3">
      <c r="A8022" s="24">
        <v>42900</v>
      </c>
      <c r="B8022" s="66">
        <v>1416.8956599999999</v>
      </c>
      <c r="C8022" s="66">
        <v>1465</v>
      </c>
      <c r="D8022" s="70">
        <v>0</v>
      </c>
      <c r="E8022" s="111">
        <f t="shared" si="129"/>
        <v>138710</v>
      </c>
      <c r="F8022" s="69">
        <v>7.1080599584243107E-2</v>
      </c>
      <c r="G8022" s="69">
        <v>8.008771929824561E-2</v>
      </c>
    </row>
    <row r="8023" spans="1:7" x14ac:dyDescent="0.3">
      <c r="A8023" s="24">
        <v>42901</v>
      </c>
      <c r="B8023" s="66">
        <v>1416.8956599999999</v>
      </c>
      <c r="C8023" s="66">
        <v>1475</v>
      </c>
      <c r="D8023" s="70">
        <v>0</v>
      </c>
      <c r="E8023" s="111">
        <f t="shared" si="129"/>
        <v>138710</v>
      </c>
      <c r="F8023" s="69">
        <v>7.1080599584243107E-2</v>
      </c>
      <c r="G8023" s="69">
        <v>8.008771929824561E-2</v>
      </c>
    </row>
    <row r="8024" spans="1:7" x14ac:dyDescent="0.3">
      <c r="A8024" s="24">
        <v>42902</v>
      </c>
      <c r="B8024" s="66">
        <v>1416.8956599999999</v>
      </c>
      <c r="C8024" s="66">
        <v>1479.9</v>
      </c>
      <c r="D8024" s="70">
        <v>0</v>
      </c>
      <c r="E8024" s="111">
        <f t="shared" si="129"/>
        <v>138710</v>
      </c>
      <c r="F8024" s="69">
        <v>7.1080599584243107E-2</v>
      </c>
      <c r="G8024" s="69">
        <v>8.008771929824561E-2</v>
      </c>
    </row>
    <row r="8025" spans="1:7" x14ac:dyDescent="0.3">
      <c r="A8025" s="24">
        <v>42903</v>
      </c>
      <c r="B8025" s="66">
        <v>1416.8956599999999</v>
      </c>
      <c r="C8025" s="66">
        <v>1479.9</v>
      </c>
      <c r="D8025" s="70">
        <v>0</v>
      </c>
      <c r="E8025" s="111">
        <f t="shared" si="129"/>
        <v>138710</v>
      </c>
      <c r="F8025" s="69">
        <v>7.1080599584243107E-2</v>
      </c>
      <c r="G8025" s="69">
        <v>8.008771929824561E-2</v>
      </c>
    </row>
    <row r="8026" spans="1:7" x14ac:dyDescent="0.3">
      <c r="A8026" s="24">
        <v>42904</v>
      </c>
      <c r="B8026" s="66">
        <v>1416.8956599999999</v>
      </c>
      <c r="C8026" s="66">
        <v>1479.9</v>
      </c>
      <c r="D8026" s="70">
        <v>0</v>
      </c>
      <c r="E8026" s="111">
        <f t="shared" si="129"/>
        <v>138710</v>
      </c>
      <c r="F8026" s="69">
        <v>7.1080599584243107E-2</v>
      </c>
      <c r="G8026" s="69">
        <v>8.008771929824561E-2</v>
      </c>
    </row>
    <row r="8027" spans="1:7" x14ac:dyDescent="0.3">
      <c r="A8027" s="24">
        <v>42905</v>
      </c>
      <c r="B8027" s="66">
        <v>1416.8956599999999</v>
      </c>
      <c r="C8027" s="66">
        <v>1477</v>
      </c>
      <c r="D8027" s="70">
        <v>0</v>
      </c>
      <c r="E8027" s="111">
        <f t="shared" si="129"/>
        <v>138710</v>
      </c>
      <c r="F8027" s="69">
        <v>7.1080599584243107E-2</v>
      </c>
      <c r="G8027" s="69">
        <v>8.0087789550692581E-2</v>
      </c>
    </row>
    <row r="8028" spans="1:7" x14ac:dyDescent="0.3">
      <c r="A8028" s="24">
        <v>42906</v>
      </c>
      <c r="B8028" s="66">
        <v>1416.8956599999999</v>
      </c>
      <c r="C8028" s="66">
        <v>1475.4</v>
      </c>
      <c r="D8028" s="70">
        <v>0</v>
      </c>
      <c r="E8028" s="111">
        <f t="shared" si="129"/>
        <v>138710</v>
      </c>
      <c r="F8028" s="69">
        <v>7.1080599584243107E-2</v>
      </c>
      <c r="G8028" s="69">
        <v>8.0087789550692581E-2</v>
      </c>
    </row>
    <row r="8029" spans="1:7" x14ac:dyDescent="0.3">
      <c r="A8029" s="24">
        <v>42907</v>
      </c>
      <c r="B8029" s="66">
        <v>1416.8956599999999</v>
      </c>
      <c r="C8029" s="66">
        <v>1467.4</v>
      </c>
      <c r="D8029" s="70">
        <v>0</v>
      </c>
      <c r="E8029" s="111">
        <f t="shared" si="129"/>
        <v>138710</v>
      </c>
      <c r="F8029" s="69">
        <v>7.1080599584243107E-2</v>
      </c>
      <c r="G8029" s="69">
        <v>8.008771929824561E-2</v>
      </c>
    </row>
    <row r="8030" spans="1:7" x14ac:dyDescent="0.3">
      <c r="A8030" s="24">
        <v>42908</v>
      </c>
      <c r="B8030" s="66">
        <v>1416.8956599999999</v>
      </c>
      <c r="C8030" s="66">
        <v>1469.9</v>
      </c>
      <c r="D8030" s="70">
        <v>0</v>
      </c>
      <c r="E8030" s="111">
        <f t="shared" si="129"/>
        <v>138710</v>
      </c>
      <c r="F8030" s="69">
        <v>7.1080599584243107E-2</v>
      </c>
      <c r="G8030" s="69">
        <v>8.0094745153083596E-2</v>
      </c>
    </row>
    <row r="8031" spans="1:7" x14ac:dyDescent="0.3">
      <c r="A8031" s="24">
        <v>42909</v>
      </c>
      <c r="B8031" s="66">
        <v>1416.8956599999999</v>
      </c>
      <c r="C8031" s="66">
        <v>1469.8</v>
      </c>
      <c r="D8031" s="70">
        <v>10</v>
      </c>
      <c r="E8031" s="111">
        <f t="shared" si="129"/>
        <v>138710</v>
      </c>
      <c r="F8031" s="69">
        <v>7.3026946779868596E-2</v>
      </c>
      <c r="G8031" s="69">
        <v>8.2281423521258959E-2</v>
      </c>
    </row>
    <row r="8032" spans="1:7" x14ac:dyDescent="0.3">
      <c r="A8032" s="24">
        <v>42910</v>
      </c>
      <c r="B8032" s="66">
        <v>1416.8956599999999</v>
      </c>
      <c r="C8032" s="66">
        <v>1469.8</v>
      </c>
      <c r="D8032" s="70">
        <v>0</v>
      </c>
      <c r="E8032" s="111">
        <f t="shared" si="129"/>
        <v>138710</v>
      </c>
      <c r="F8032" s="69">
        <v>7.3026946779868596E-2</v>
      </c>
      <c r="G8032" s="69">
        <v>8.2281423521258959E-2</v>
      </c>
    </row>
    <row r="8033" spans="1:7" x14ac:dyDescent="0.3">
      <c r="A8033" s="24">
        <v>42911</v>
      </c>
      <c r="B8033" s="66">
        <v>1416.8956599999999</v>
      </c>
      <c r="C8033" s="66">
        <v>1469.8</v>
      </c>
      <c r="D8033" s="70">
        <v>0</v>
      </c>
      <c r="E8033" s="111">
        <f t="shared" si="129"/>
        <v>138710</v>
      </c>
      <c r="F8033" s="69">
        <v>7.3026946779868596E-2</v>
      </c>
      <c r="G8033" s="69">
        <v>8.2281423521258959E-2</v>
      </c>
    </row>
    <row r="8034" spans="1:7" x14ac:dyDescent="0.3">
      <c r="A8034" s="24">
        <v>42912</v>
      </c>
      <c r="B8034" s="66">
        <v>1416.8956599999999</v>
      </c>
      <c r="C8034" s="66">
        <v>1469.8</v>
      </c>
      <c r="D8034" s="70">
        <v>0</v>
      </c>
      <c r="E8034" s="111">
        <f t="shared" si="129"/>
        <v>138710</v>
      </c>
      <c r="F8034" s="69">
        <v>7.3026946779868596E-2</v>
      </c>
      <c r="G8034" s="69">
        <v>8.2281423521258959E-2</v>
      </c>
    </row>
    <row r="8035" spans="1:7" x14ac:dyDescent="0.3">
      <c r="A8035" s="24">
        <v>42913</v>
      </c>
      <c r="B8035" s="66">
        <v>1416.8956599999999</v>
      </c>
      <c r="C8035" s="66">
        <v>1470</v>
      </c>
      <c r="D8035" s="70">
        <v>0</v>
      </c>
      <c r="E8035" s="111">
        <f t="shared" si="129"/>
        <v>138710</v>
      </c>
      <c r="F8035" s="69">
        <v>7.3026946779868596E-2</v>
      </c>
      <c r="G8035" s="69">
        <v>8.2281423521258959E-2</v>
      </c>
    </row>
    <row r="8036" spans="1:7" x14ac:dyDescent="0.3">
      <c r="A8036" s="24">
        <v>42914</v>
      </c>
      <c r="B8036" s="66">
        <v>1416.8956599999999</v>
      </c>
      <c r="C8036" s="66">
        <v>1470</v>
      </c>
      <c r="D8036" s="70">
        <v>0</v>
      </c>
      <c r="E8036" s="111">
        <f t="shared" si="129"/>
        <v>138710</v>
      </c>
      <c r="F8036" s="69">
        <v>7.3026946779868596E-2</v>
      </c>
      <c r="G8036" s="69">
        <v>8.2280701754385968E-2</v>
      </c>
    </row>
    <row r="8037" spans="1:7" x14ac:dyDescent="0.3">
      <c r="A8037" s="24">
        <v>42915</v>
      </c>
      <c r="B8037" s="66">
        <v>1416.8956599999999</v>
      </c>
      <c r="C8037" s="66">
        <v>1471</v>
      </c>
      <c r="D8037" s="70">
        <v>0</v>
      </c>
      <c r="E8037" s="111">
        <f t="shared" si="129"/>
        <v>138710</v>
      </c>
      <c r="F8037" s="69">
        <v>7.3026946779868596E-2</v>
      </c>
      <c r="G8037" s="69">
        <v>8.2280701754385968E-2</v>
      </c>
    </row>
    <row r="8038" spans="1:7" x14ac:dyDescent="0.3">
      <c r="A8038" s="24">
        <v>42916</v>
      </c>
      <c r="B8038" s="66">
        <v>1416.8956599999999</v>
      </c>
      <c r="C8038" s="66">
        <v>1480</v>
      </c>
      <c r="D8038" s="70">
        <v>0</v>
      </c>
      <c r="E8038" s="111">
        <f t="shared" si="129"/>
        <v>138710</v>
      </c>
      <c r="F8038" s="69">
        <v>7.3026946779868596E-2</v>
      </c>
      <c r="G8038" s="69">
        <v>8.2352941176470587E-2</v>
      </c>
    </row>
    <row r="8039" spans="1:7" x14ac:dyDescent="0.3">
      <c r="A8039" s="24">
        <v>42917</v>
      </c>
      <c r="B8039" s="66">
        <v>1416.8956599999999</v>
      </c>
      <c r="C8039" s="66">
        <v>1480</v>
      </c>
      <c r="D8039" s="70">
        <v>0</v>
      </c>
      <c r="E8039" s="111">
        <f t="shared" si="129"/>
        <v>138710</v>
      </c>
      <c r="F8039" s="69">
        <v>7.3026946779868596E-2</v>
      </c>
      <c r="G8039" s="69">
        <v>8.2352941176470587E-2</v>
      </c>
    </row>
    <row r="8040" spans="1:7" x14ac:dyDescent="0.3">
      <c r="A8040" s="24">
        <v>42918</v>
      </c>
      <c r="B8040" s="66">
        <v>1416.8956599999999</v>
      </c>
      <c r="C8040" s="66">
        <v>1480</v>
      </c>
      <c r="D8040" s="70">
        <v>0</v>
      </c>
      <c r="E8040" s="111">
        <f t="shared" si="129"/>
        <v>138710</v>
      </c>
      <c r="F8040" s="69">
        <v>7.3026946779868596E-2</v>
      </c>
      <c r="G8040" s="69">
        <v>8.2352941176470587E-2</v>
      </c>
    </row>
    <row r="8041" spans="1:7" x14ac:dyDescent="0.3">
      <c r="A8041" s="24">
        <v>42919</v>
      </c>
      <c r="B8041" s="66">
        <v>1416.8956599999999</v>
      </c>
      <c r="C8041" s="66">
        <v>1540</v>
      </c>
      <c r="D8041" s="70">
        <v>0</v>
      </c>
      <c r="E8041" s="111">
        <f t="shared" si="129"/>
        <v>138710</v>
      </c>
      <c r="F8041" s="69">
        <v>7.3026946779868596E-2</v>
      </c>
      <c r="G8041" s="69">
        <v>8.2352941176470587E-2</v>
      </c>
    </row>
    <row r="8042" spans="1:7" x14ac:dyDescent="0.3">
      <c r="A8042" s="24">
        <v>42920</v>
      </c>
      <c r="B8042" s="66">
        <v>1416.8956599999999</v>
      </c>
      <c r="C8042" s="66">
        <v>1580</v>
      </c>
      <c r="D8042" s="70">
        <v>0</v>
      </c>
      <c r="E8042" s="111">
        <f t="shared" si="129"/>
        <v>138710</v>
      </c>
      <c r="F8042" s="69">
        <v>7.3026946779868596E-2</v>
      </c>
      <c r="G8042" s="69">
        <v>8.2352941176470587E-2</v>
      </c>
    </row>
    <row r="8043" spans="1:7" x14ac:dyDescent="0.3">
      <c r="A8043" s="24">
        <v>42921</v>
      </c>
      <c r="B8043" s="66">
        <v>1416.8956599999999</v>
      </c>
      <c r="C8043" s="66">
        <v>1555</v>
      </c>
      <c r="D8043" s="70">
        <v>0</v>
      </c>
      <c r="E8043" s="111">
        <f t="shared" si="129"/>
        <v>138710</v>
      </c>
      <c r="F8043" s="69">
        <v>7.3026946779868596E-2</v>
      </c>
      <c r="G8043" s="69">
        <v>8.2425307557117744E-2</v>
      </c>
    </row>
    <row r="8044" spans="1:7" x14ac:dyDescent="0.3">
      <c r="A8044" s="24">
        <v>42922</v>
      </c>
      <c r="B8044" s="66">
        <v>1416.8956599999999</v>
      </c>
      <c r="C8044" s="66">
        <v>1550</v>
      </c>
      <c r="D8044" s="70">
        <v>0</v>
      </c>
      <c r="E8044" s="111">
        <f t="shared" si="129"/>
        <v>138710</v>
      </c>
      <c r="F8044" s="69">
        <v>7.2631256993081456E-2</v>
      </c>
      <c r="G8044" s="69">
        <v>8.2425307557117744E-2</v>
      </c>
    </row>
    <row r="8045" spans="1:7" x14ac:dyDescent="0.3">
      <c r="A8045" s="24">
        <v>42923</v>
      </c>
      <c r="B8045" s="66">
        <v>1416.8956599999999</v>
      </c>
      <c r="C8045" s="66">
        <v>1545</v>
      </c>
      <c r="D8045" s="70">
        <v>0</v>
      </c>
      <c r="E8045" s="111">
        <f t="shared" si="129"/>
        <v>138710</v>
      </c>
      <c r="F8045" s="69">
        <v>7.2631256993081456E-2</v>
      </c>
      <c r="G8045" s="69">
        <v>8.2352941176470587E-2</v>
      </c>
    </row>
    <row r="8046" spans="1:7" x14ac:dyDescent="0.3">
      <c r="A8046" s="24">
        <v>42924</v>
      </c>
      <c r="B8046" s="66">
        <v>1416.8956599999999</v>
      </c>
      <c r="C8046" s="66">
        <v>1545</v>
      </c>
      <c r="D8046" s="70">
        <v>0</v>
      </c>
      <c r="E8046" s="111">
        <f t="shared" si="129"/>
        <v>138710</v>
      </c>
      <c r="F8046" s="69">
        <v>7.2631256993081456E-2</v>
      </c>
      <c r="G8046" s="69">
        <v>8.2352941176470587E-2</v>
      </c>
    </row>
    <row r="8047" spans="1:7" x14ac:dyDescent="0.3">
      <c r="A8047" s="24">
        <v>42925</v>
      </c>
      <c r="B8047" s="66">
        <v>1416.8956599999999</v>
      </c>
      <c r="C8047" s="66">
        <v>1545</v>
      </c>
      <c r="D8047" s="70">
        <v>0</v>
      </c>
      <c r="E8047" s="111">
        <f t="shared" si="129"/>
        <v>138710</v>
      </c>
      <c r="F8047" s="69">
        <v>7.2631256993081456E-2</v>
      </c>
      <c r="G8047" s="69">
        <v>8.2352941176470587E-2</v>
      </c>
    </row>
    <row r="8048" spans="1:7" x14ac:dyDescent="0.3">
      <c r="A8048" s="24">
        <v>42926</v>
      </c>
      <c r="B8048" s="66">
        <v>1416.8956599999999</v>
      </c>
      <c r="C8048" s="66">
        <v>1545</v>
      </c>
      <c r="D8048" s="70">
        <v>0</v>
      </c>
      <c r="E8048" s="111">
        <f t="shared" si="129"/>
        <v>138710</v>
      </c>
      <c r="F8048" s="69">
        <v>7.2631256993081456E-2</v>
      </c>
      <c r="G8048" s="69">
        <v>8.2360172095881978E-2</v>
      </c>
    </row>
    <row r="8049" spans="1:7" x14ac:dyDescent="0.3">
      <c r="A8049" s="24">
        <v>42927</v>
      </c>
      <c r="B8049" s="66">
        <v>1416.8956599999999</v>
      </c>
      <c r="C8049" s="66">
        <v>1549.9</v>
      </c>
      <c r="D8049" s="70">
        <v>0</v>
      </c>
      <c r="E8049" s="111">
        <f t="shared" si="129"/>
        <v>138710</v>
      </c>
      <c r="F8049" s="69">
        <v>7.2631256993081456E-2</v>
      </c>
      <c r="G8049" s="69">
        <v>8.2389108476064996E-2</v>
      </c>
    </row>
    <row r="8050" spans="1:7" x14ac:dyDescent="0.3">
      <c r="A8050" s="24">
        <v>42928</v>
      </c>
      <c r="B8050" s="66">
        <v>1416.8956599999999</v>
      </c>
      <c r="C8050" s="66">
        <v>1550</v>
      </c>
      <c r="D8050" s="70">
        <v>0</v>
      </c>
      <c r="E8050" s="111">
        <f t="shared" si="129"/>
        <v>138710</v>
      </c>
      <c r="F8050" s="69">
        <v>7.2631256993081456E-2</v>
      </c>
      <c r="G8050" s="69">
        <v>8.2374637744796697E-2</v>
      </c>
    </row>
    <row r="8051" spans="1:7" x14ac:dyDescent="0.3">
      <c r="A8051" s="24">
        <v>42929</v>
      </c>
      <c r="B8051" s="66">
        <v>1416.8956599999999</v>
      </c>
      <c r="C8051" s="66">
        <v>1549.9</v>
      </c>
      <c r="D8051" s="70">
        <v>0</v>
      </c>
      <c r="E8051" s="111">
        <f t="shared" si="129"/>
        <v>138710</v>
      </c>
      <c r="F8051" s="69">
        <v>7.2631256993081456E-2</v>
      </c>
      <c r="G8051" s="69">
        <v>8.2374637744796697E-2</v>
      </c>
    </row>
    <row r="8052" spans="1:7" x14ac:dyDescent="0.3">
      <c r="A8052" s="24">
        <v>42930</v>
      </c>
      <c r="B8052" s="66">
        <v>1416.8956599999999</v>
      </c>
      <c r="C8052" s="66">
        <v>1550</v>
      </c>
      <c r="D8052" s="70">
        <v>0</v>
      </c>
      <c r="E8052" s="111">
        <f t="shared" si="129"/>
        <v>138710</v>
      </c>
      <c r="F8052" s="69">
        <v>7.2631256993081456E-2</v>
      </c>
      <c r="G8052" s="69">
        <v>8.2360172095881978E-2</v>
      </c>
    </row>
    <row r="8053" spans="1:7" x14ac:dyDescent="0.3">
      <c r="A8053" s="24">
        <v>42931</v>
      </c>
      <c r="B8053" s="66">
        <v>1416.8956599999999</v>
      </c>
      <c r="C8053" s="66">
        <v>1550</v>
      </c>
      <c r="D8053" s="70">
        <v>0</v>
      </c>
      <c r="E8053" s="111">
        <f t="shared" si="129"/>
        <v>138710</v>
      </c>
      <c r="F8053" s="69">
        <v>7.2631256993081456E-2</v>
      </c>
      <c r="G8053" s="69">
        <v>8.2360172095881978E-2</v>
      </c>
    </row>
    <row r="8054" spans="1:7" x14ac:dyDescent="0.3">
      <c r="A8054" s="24">
        <v>42932</v>
      </c>
      <c r="B8054" s="66">
        <v>1416.8956599999999</v>
      </c>
      <c r="C8054" s="66">
        <v>1550</v>
      </c>
      <c r="D8054" s="70">
        <v>0</v>
      </c>
      <c r="E8054" s="111">
        <f t="shared" si="129"/>
        <v>138710</v>
      </c>
      <c r="F8054" s="69">
        <v>7.2631256993081456E-2</v>
      </c>
      <c r="G8054" s="69">
        <v>8.2360172095881978E-2</v>
      </c>
    </row>
    <row r="8055" spans="1:7" x14ac:dyDescent="0.3">
      <c r="A8055" s="24">
        <v>42933</v>
      </c>
      <c r="B8055" s="66">
        <v>1416.8956599999999</v>
      </c>
      <c r="C8055" s="66">
        <v>1549</v>
      </c>
      <c r="D8055" s="70">
        <v>0</v>
      </c>
      <c r="E8055" s="111">
        <f t="shared" si="129"/>
        <v>138710</v>
      </c>
      <c r="F8055" s="69">
        <v>7.2631256993081456E-2</v>
      </c>
      <c r="G8055" s="69">
        <v>8.2360172095881978E-2</v>
      </c>
    </row>
    <row r="8056" spans="1:7" x14ac:dyDescent="0.3">
      <c r="A8056" s="24">
        <v>42934</v>
      </c>
      <c r="B8056" s="66">
        <v>1416.8956599999999</v>
      </c>
      <c r="C8056" s="66">
        <v>1540</v>
      </c>
      <c r="D8056" s="70">
        <v>0</v>
      </c>
      <c r="E8056" s="111">
        <f t="shared" si="129"/>
        <v>138710</v>
      </c>
      <c r="F8056" s="69">
        <v>7.2631256993081456E-2</v>
      </c>
      <c r="G8056" s="69">
        <v>8.2360172095881978E-2</v>
      </c>
    </row>
    <row r="8057" spans="1:7" x14ac:dyDescent="0.3">
      <c r="A8057" s="24">
        <v>42935</v>
      </c>
      <c r="B8057" s="66">
        <v>1416.8956599999999</v>
      </c>
      <c r="C8057" s="66">
        <v>1549.9</v>
      </c>
      <c r="D8057" s="70">
        <v>0</v>
      </c>
      <c r="E8057" s="111">
        <f t="shared" si="129"/>
        <v>138710</v>
      </c>
      <c r="F8057" s="69">
        <v>7.2631256993081456E-2</v>
      </c>
      <c r="G8057" s="69">
        <v>8.2280701754385968E-2</v>
      </c>
    </row>
    <row r="8058" spans="1:7" x14ac:dyDescent="0.3">
      <c r="A8058" s="24">
        <v>42936</v>
      </c>
      <c r="B8058" s="66">
        <v>1416.8956599999999</v>
      </c>
      <c r="C8058" s="66">
        <v>1549.7</v>
      </c>
      <c r="D8058" s="70">
        <v>0</v>
      </c>
      <c r="E8058" s="111">
        <f t="shared" si="129"/>
        <v>138710</v>
      </c>
      <c r="F8058" s="69">
        <v>7.2631256993081456E-2</v>
      </c>
      <c r="G8058" s="69">
        <v>8.2280701754385968E-2</v>
      </c>
    </row>
    <row r="8059" spans="1:7" x14ac:dyDescent="0.3">
      <c r="A8059" s="24">
        <v>42937</v>
      </c>
      <c r="B8059" s="66">
        <v>1416.8956599999999</v>
      </c>
      <c r="C8059" s="66">
        <v>1549.5</v>
      </c>
      <c r="D8059" s="70">
        <v>0</v>
      </c>
      <c r="E8059" s="111">
        <f t="shared" si="129"/>
        <v>138710</v>
      </c>
      <c r="F8059" s="69">
        <v>7.2631256993081456E-2</v>
      </c>
      <c r="G8059" s="69">
        <v>8.2352941176470587E-2</v>
      </c>
    </row>
    <row r="8060" spans="1:7" x14ac:dyDescent="0.3">
      <c r="A8060" s="24">
        <v>42938</v>
      </c>
      <c r="B8060" s="66">
        <v>1416.8956599999999</v>
      </c>
      <c r="C8060" s="66">
        <v>1549.5</v>
      </c>
      <c r="D8060" s="70">
        <v>0</v>
      </c>
      <c r="E8060" s="111">
        <f t="shared" si="129"/>
        <v>138710</v>
      </c>
      <c r="F8060" s="69">
        <v>7.2631256993081456E-2</v>
      </c>
      <c r="G8060" s="69">
        <v>8.2352941176470587E-2</v>
      </c>
    </row>
    <row r="8061" spans="1:7" x14ac:dyDescent="0.3">
      <c r="A8061" s="24">
        <v>42939</v>
      </c>
      <c r="B8061" s="66">
        <v>1416.8956599999999</v>
      </c>
      <c r="C8061" s="66">
        <v>1549.5</v>
      </c>
      <c r="D8061" s="70">
        <v>0</v>
      </c>
      <c r="E8061" s="111">
        <f t="shared" si="129"/>
        <v>138710</v>
      </c>
      <c r="F8061" s="69">
        <v>7.2631256993081456E-2</v>
      </c>
      <c r="G8061" s="69">
        <v>8.2352941176470587E-2</v>
      </c>
    </row>
    <row r="8062" spans="1:7" x14ac:dyDescent="0.3">
      <c r="A8062" s="24">
        <v>42940</v>
      </c>
      <c r="B8062" s="66">
        <v>1416.8956599999999</v>
      </c>
      <c r="C8062" s="66">
        <v>1549</v>
      </c>
      <c r="D8062" s="70">
        <v>0</v>
      </c>
      <c r="E8062" s="111">
        <f t="shared" si="129"/>
        <v>138710</v>
      </c>
      <c r="F8062" s="69">
        <v>7.2631256993081456E-2</v>
      </c>
      <c r="G8062" s="69">
        <v>8.2352941176470587E-2</v>
      </c>
    </row>
    <row r="8063" spans="1:7" x14ac:dyDescent="0.3">
      <c r="A8063" s="24">
        <v>42941</v>
      </c>
      <c r="B8063" s="66">
        <v>1416.8956599999999</v>
      </c>
      <c r="C8063" s="66">
        <v>1550</v>
      </c>
      <c r="D8063" s="70">
        <v>0</v>
      </c>
      <c r="E8063" s="111">
        <f t="shared" si="129"/>
        <v>138710</v>
      </c>
      <c r="F8063" s="69">
        <v>7.2631256993081456E-2</v>
      </c>
      <c r="G8063" s="69">
        <v>8.2425307557117744E-2</v>
      </c>
    </row>
    <row r="8064" spans="1:7" x14ac:dyDescent="0.3">
      <c r="A8064" s="24">
        <v>42942</v>
      </c>
      <c r="B8064" s="66">
        <v>1416.8956599999999</v>
      </c>
      <c r="C8064" s="66">
        <v>1550</v>
      </c>
      <c r="D8064" s="70">
        <v>0</v>
      </c>
      <c r="E8064" s="111">
        <f t="shared" si="129"/>
        <v>138710</v>
      </c>
      <c r="F8064" s="69">
        <v>7.2631256993081456E-2</v>
      </c>
      <c r="G8064" s="69">
        <v>8.2505057612806743E-2</v>
      </c>
    </row>
    <row r="8065" spans="1:7" x14ac:dyDescent="0.3">
      <c r="A8065" s="24">
        <v>42943</v>
      </c>
      <c r="B8065" s="66">
        <v>1416.8956599999999</v>
      </c>
      <c r="C8065" s="66">
        <v>1550</v>
      </c>
      <c r="D8065" s="70">
        <v>0</v>
      </c>
      <c r="E8065" s="111">
        <f t="shared" si="129"/>
        <v>138710</v>
      </c>
      <c r="F8065" s="69">
        <v>7.2631256993081456E-2</v>
      </c>
      <c r="G8065" s="69">
        <v>8.2505057612806743E-2</v>
      </c>
    </row>
    <row r="8066" spans="1:7" x14ac:dyDescent="0.3">
      <c r="A8066" s="24">
        <v>42944</v>
      </c>
      <c r="B8066" s="66">
        <v>1416.8956599999999</v>
      </c>
      <c r="C8066" s="66">
        <v>1549</v>
      </c>
      <c r="D8066" s="70">
        <v>0</v>
      </c>
      <c r="E8066" s="111">
        <f t="shared" si="129"/>
        <v>138710</v>
      </c>
      <c r="F8066" s="69">
        <v>7.2631256993081456E-2</v>
      </c>
      <c r="G8066" s="69">
        <v>8.2767140210006182E-2</v>
      </c>
    </row>
    <row r="8067" spans="1:7" x14ac:dyDescent="0.3">
      <c r="A8067" s="24">
        <v>42945</v>
      </c>
      <c r="B8067" s="66">
        <v>1416.8956599999999</v>
      </c>
      <c r="C8067" s="66">
        <v>1549</v>
      </c>
      <c r="D8067" s="70">
        <v>0</v>
      </c>
      <c r="E8067" s="111">
        <f t="shared" si="129"/>
        <v>138710</v>
      </c>
      <c r="F8067" s="69">
        <v>7.2631256993081456E-2</v>
      </c>
      <c r="G8067" s="69">
        <v>8.2767140210006182E-2</v>
      </c>
    </row>
    <row r="8068" spans="1:7" x14ac:dyDescent="0.3">
      <c r="A8068" s="24">
        <v>42946</v>
      </c>
      <c r="B8068" s="66">
        <v>1416.8956599999999</v>
      </c>
      <c r="C8068" s="66">
        <v>1549</v>
      </c>
      <c r="D8068" s="70">
        <v>0</v>
      </c>
      <c r="E8068" s="111">
        <f t="shared" si="129"/>
        <v>138710</v>
      </c>
      <c r="F8068" s="69">
        <v>7.2631256993081456E-2</v>
      </c>
      <c r="G8068" s="69">
        <v>8.2767140210006182E-2</v>
      </c>
    </row>
    <row r="8069" spans="1:7" x14ac:dyDescent="0.3">
      <c r="A8069" s="24">
        <v>42947</v>
      </c>
      <c r="B8069" s="66">
        <v>1416.8956599999999</v>
      </c>
      <c r="C8069" s="66">
        <v>1549</v>
      </c>
      <c r="D8069" s="70">
        <v>0</v>
      </c>
      <c r="E8069" s="111">
        <f t="shared" si="129"/>
        <v>138710</v>
      </c>
      <c r="F8069" s="69">
        <v>7.2631256993081456E-2</v>
      </c>
      <c r="G8069" s="69">
        <v>8.3526268922528943E-2</v>
      </c>
    </row>
    <row r="8070" spans="1:7" x14ac:dyDescent="0.3">
      <c r="A8070" s="24">
        <v>42948</v>
      </c>
      <c r="B8070" s="66">
        <v>1416.8956599999999</v>
      </c>
      <c r="C8070" s="66">
        <v>1548</v>
      </c>
      <c r="D8070" s="70">
        <v>0</v>
      </c>
      <c r="E8070" s="111">
        <f t="shared" si="129"/>
        <v>138710</v>
      </c>
      <c r="F8070" s="69">
        <v>7.2631256993081456E-2</v>
      </c>
      <c r="G8070" s="69">
        <v>8.3377777777777773E-2</v>
      </c>
    </row>
    <row r="8071" spans="1:7" x14ac:dyDescent="0.3">
      <c r="A8071" s="24">
        <v>42949</v>
      </c>
      <c r="B8071" s="66">
        <v>1416.8956599999999</v>
      </c>
      <c r="C8071" s="66">
        <v>1547.9</v>
      </c>
      <c r="D8071" s="70">
        <v>0</v>
      </c>
      <c r="E8071" s="111">
        <f t="shared" si="129"/>
        <v>138710</v>
      </c>
      <c r="F8071" s="69">
        <v>7.2631256993081456E-2</v>
      </c>
      <c r="G8071" s="69">
        <v>8.3377777777777773E-2</v>
      </c>
    </row>
    <row r="8072" spans="1:7" x14ac:dyDescent="0.3">
      <c r="A8072" s="24">
        <v>42950</v>
      </c>
      <c r="B8072" s="66">
        <v>1416.8956599999999</v>
      </c>
      <c r="C8072" s="66">
        <v>1544.9</v>
      </c>
      <c r="D8072" s="70">
        <v>0</v>
      </c>
      <c r="E8072" s="111">
        <f t="shared" si="129"/>
        <v>138710</v>
      </c>
      <c r="F8072" s="69">
        <v>7.2631256993081456E-2</v>
      </c>
      <c r="G8072" s="69">
        <v>8.3377777777777773E-2</v>
      </c>
    </row>
    <row r="8073" spans="1:7" x14ac:dyDescent="0.3">
      <c r="A8073" s="24">
        <v>42951</v>
      </c>
      <c r="B8073" s="66">
        <v>1416.8956599999999</v>
      </c>
      <c r="C8073" s="66">
        <v>1544.99</v>
      </c>
      <c r="D8073" s="70">
        <v>0</v>
      </c>
      <c r="E8073" s="111">
        <f t="shared" ref="E8073:E8136" si="130">+E8072</f>
        <v>138710</v>
      </c>
      <c r="F8073" s="69">
        <v>7.2631256993081456E-2</v>
      </c>
      <c r="G8073" s="69">
        <v>8.3385189794648401E-2</v>
      </c>
    </row>
    <row r="8074" spans="1:7" x14ac:dyDescent="0.3">
      <c r="A8074" s="24">
        <v>42952</v>
      </c>
      <c r="B8074" s="66">
        <v>1416.8956599999999</v>
      </c>
      <c r="C8074" s="66">
        <v>1544.99</v>
      </c>
      <c r="D8074" s="70">
        <v>0</v>
      </c>
      <c r="E8074" s="111">
        <f t="shared" si="130"/>
        <v>138710</v>
      </c>
      <c r="F8074" s="69">
        <v>7.2631256993081456E-2</v>
      </c>
      <c r="G8074" s="69">
        <v>8.3385189794648401E-2</v>
      </c>
    </row>
    <row r="8075" spans="1:7" x14ac:dyDescent="0.3">
      <c r="A8075" s="24">
        <v>42953</v>
      </c>
      <c r="B8075" s="66">
        <v>1416.8956599999999</v>
      </c>
      <c r="C8075" s="66">
        <v>1544.99</v>
      </c>
      <c r="D8075" s="70">
        <v>0</v>
      </c>
      <c r="E8075" s="111">
        <f t="shared" si="130"/>
        <v>138710</v>
      </c>
      <c r="F8075" s="69">
        <v>7.2631256993081456E-2</v>
      </c>
      <c r="G8075" s="69">
        <v>8.3385189794648401E-2</v>
      </c>
    </row>
    <row r="8076" spans="1:7" x14ac:dyDescent="0.3">
      <c r="A8076" s="24">
        <v>42954</v>
      </c>
      <c r="B8076" s="66">
        <v>1416.8956599999999</v>
      </c>
      <c r="C8076" s="66">
        <v>1540</v>
      </c>
      <c r="D8076" s="70">
        <v>0</v>
      </c>
      <c r="E8076" s="111">
        <f t="shared" si="130"/>
        <v>138710</v>
      </c>
      <c r="F8076" s="69">
        <v>7.2059815300860058E-2</v>
      </c>
      <c r="G8076" s="69">
        <v>8.3385189794648401E-2</v>
      </c>
    </row>
    <row r="8077" spans="1:7" x14ac:dyDescent="0.3">
      <c r="A8077" s="24">
        <v>42955</v>
      </c>
      <c r="B8077" s="66">
        <v>1416.8956599999999</v>
      </c>
      <c r="C8077" s="66">
        <v>1538</v>
      </c>
      <c r="D8077" s="70">
        <v>0</v>
      </c>
      <c r="E8077" s="111">
        <f t="shared" si="130"/>
        <v>138710</v>
      </c>
      <c r="F8077" s="69">
        <v>7.2059815300860058E-2</v>
      </c>
      <c r="G8077" s="69">
        <v>8.3385189794648401E-2</v>
      </c>
    </row>
    <row r="8078" spans="1:7" x14ac:dyDescent="0.3">
      <c r="A8078" s="24">
        <v>42956</v>
      </c>
      <c r="B8078" s="66">
        <v>1416.8956599999999</v>
      </c>
      <c r="C8078" s="66">
        <v>1536.7</v>
      </c>
      <c r="D8078" s="70">
        <v>0</v>
      </c>
      <c r="E8078" s="111">
        <f t="shared" si="130"/>
        <v>138710</v>
      </c>
      <c r="F8078" s="69">
        <v>7.2059815300860058E-2</v>
      </c>
      <c r="G8078" s="69">
        <v>8.3385189794648401E-2</v>
      </c>
    </row>
    <row r="8079" spans="1:7" x14ac:dyDescent="0.3">
      <c r="A8079" s="24">
        <v>42957</v>
      </c>
      <c r="B8079" s="66">
        <v>1416.8956599999999</v>
      </c>
      <c r="C8079" s="66">
        <v>1500</v>
      </c>
      <c r="D8079" s="70">
        <v>0</v>
      </c>
      <c r="E8079" s="111">
        <f t="shared" si="130"/>
        <v>138710</v>
      </c>
      <c r="F8079" s="69">
        <v>7.2059815300860058E-2</v>
      </c>
      <c r="G8079" s="69">
        <v>8.3385189794648401E-2</v>
      </c>
    </row>
    <row r="8080" spans="1:7" x14ac:dyDescent="0.3">
      <c r="A8080" s="24">
        <v>42958</v>
      </c>
      <c r="B8080" s="66">
        <v>1421.3739</v>
      </c>
      <c r="C8080" s="66">
        <v>1478.9</v>
      </c>
      <c r="D8080" s="70">
        <v>0</v>
      </c>
      <c r="E8080" s="111">
        <f t="shared" si="130"/>
        <v>138710</v>
      </c>
      <c r="F8080" s="69">
        <v>7.2059815300860058E-2</v>
      </c>
      <c r="G8080" s="69">
        <v>8.3385189794648401E-2</v>
      </c>
    </row>
    <row r="8081" spans="1:7" x14ac:dyDescent="0.3">
      <c r="A8081" s="24">
        <v>42959</v>
      </c>
      <c r="B8081" s="66">
        <v>1421.3739</v>
      </c>
      <c r="C8081" s="66">
        <v>1478.9</v>
      </c>
      <c r="D8081" s="70">
        <v>0</v>
      </c>
      <c r="E8081" s="111">
        <f t="shared" si="130"/>
        <v>138710</v>
      </c>
      <c r="F8081" s="69">
        <v>7.2059815300860058E-2</v>
      </c>
      <c r="G8081" s="69">
        <v>8.3385189794648401E-2</v>
      </c>
    </row>
    <row r="8082" spans="1:7" x14ac:dyDescent="0.3">
      <c r="A8082" s="24">
        <v>42960</v>
      </c>
      <c r="B8082" s="66">
        <v>1421.3739</v>
      </c>
      <c r="C8082" s="66">
        <v>1478.9</v>
      </c>
      <c r="D8082" s="70">
        <v>0</v>
      </c>
      <c r="E8082" s="111">
        <f t="shared" si="130"/>
        <v>138710</v>
      </c>
      <c r="F8082" s="69">
        <v>7.2059815300860058E-2</v>
      </c>
      <c r="G8082" s="69">
        <v>8.3385189794648401E-2</v>
      </c>
    </row>
    <row r="8083" spans="1:7" x14ac:dyDescent="0.3">
      <c r="A8083" s="24">
        <v>42961</v>
      </c>
      <c r="B8083" s="66">
        <v>1421.3739</v>
      </c>
      <c r="C8083" s="66">
        <v>1470</v>
      </c>
      <c r="D8083" s="70">
        <v>0</v>
      </c>
      <c r="E8083" s="111">
        <f t="shared" si="130"/>
        <v>138710</v>
      </c>
      <c r="F8083" s="69">
        <v>7.2059815300860058E-2</v>
      </c>
      <c r="G8083" s="69">
        <v>8.3385189794648401E-2</v>
      </c>
    </row>
    <row r="8084" spans="1:7" x14ac:dyDescent="0.3">
      <c r="A8084" s="24">
        <v>42962</v>
      </c>
      <c r="B8084" s="66">
        <v>1421.3739</v>
      </c>
      <c r="C8084" s="66">
        <v>1470</v>
      </c>
      <c r="D8084" s="70">
        <v>0</v>
      </c>
      <c r="E8084" s="111">
        <f t="shared" si="130"/>
        <v>138710</v>
      </c>
      <c r="F8084" s="69">
        <v>7.2059815300860058E-2</v>
      </c>
      <c r="G8084" s="69">
        <v>8.3385189794648401E-2</v>
      </c>
    </row>
    <row r="8085" spans="1:7" x14ac:dyDescent="0.3">
      <c r="A8085" s="24">
        <v>42963</v>
      </c>
      <c r="B8085" s="66">
        <v>1421.3739</v>
      </c>
      <c r="C8085" s="66">
        <v>1465</v>
      </c>
      <c r="D8085" s="70">
        <v>0</v>
      </c>
      <c r="E8085" s="111">
        <f t="shared" si="130"/>
        <v>138710</v>
      </c>
      <c r="F8085" s="69">
        <v>7.2059815300860058E-2</v>
      </c>
      <c r="G8085" s="69">
        <v>8.3377777777777773E-2</v>
      </c>
    </row>
    <row r="8086" spans="1:7" x14ac:dyDescent="0.3">
      <c r="A8086" s="24">
        <v>42964</v>
      </c>
      <c r="B8086" s="66">
        <v>1421.3739</v>
      </c>
      <c r="C8086" s="66">
        <v>1462.5</v>
      </c>
      <c r="D8086" s="70">
        <v>0</v>
      </c>
      <c r="E8086" s="111">
        <f t="shared" si="130"/>
        <v>138710</v>
      </c>
      <c r="F8086" s="69">
        <v>7.2059815300860058E-2</v>
      </c>
      <c r="G8086" s="69">
        <v>8.3377777777777773E-2</v>
      </c>
    </row>
    <row r="8087" spans="1:7" x14ac:dyDescent="0.3">
      <c r="A8087" s="24">
        <v>42965</v>
      </c>
      <c r="B8087" s="66">
        <v>1421.3739</v>
      </c>
      <c r="C8087" s="66">
        <v>1465</v>
      </c>
      <c r="D8087" s="70">
        <v>0</v>
      </c>
      <c r="E8087" s="111">
        <f t="shared" si="130"/>
        <v>138710</v>
      </c>
      <c r="F8087" s="69">
        <v>7.2059815300860058E-2</v>
      </c>
      <c r="G8087" s="69">
        <v>8.3370367078481916E-2</v>
      </c>
    </row>
    <row r="8088" spans="1:7" x14ac:dyDescent="0.3">
      <c r="A8088" s="24">
        <v>42966</v>
      </c>
      <c r="B8088" s="66">
        <v>1421.3739</v>
      </c>
      <c r="C8088" s="66">
        <v>1465</v>
      </c>
      <c r="D8088" s="70">
        <v>0</v>
      </c>
      <c r="E8088" s="111">
        <f t="shared" si="130"/>
        <v>138710</v>
      </c>
      <c r="F8088" s="69">
        <v>7.2059815300860058E-2</v>
      </c>
      <c r="G8088" s="69">
        <v>8.3370367078481916E-2</v>
      </c>
    </row>
    <row r="8089" spans="1:7" x14ac:dyDescent="0.3">
      <c r="A8089" s="24">
        <v>42967</v>
      </c>
      <c r="B8089" s="66">
        <v>1421.3739</v>
      </c>
      <c r="C8089" s="66">
        <v>1465</v>
      </c>
      <c r="D8089" s="70">
        <v>0</v>
      </c>
      <c r="E8089" s="111">
        <f t="shared" si="130"/>
        <v>138710</v>
      </c>
      <c r="F8089" s="69">
        <v>7.2059815300860058E-2</v>
      </c>
      <c r="G8089" s="69">
        <v>8.3370367078481916E-2</v>
      </c>
    </row>
    <row r="8090" spans="1:7" x14ac:dyDescent="0.3">
      <c r="A8090" s="24">
        <v>42968</v>
      </c>
      <c r="B8090" s="66">
        <v>1421.3739</v>
      </c>
      <c r="C8090" s="66">
        <v>1465</v>
      </c>
      <c r="D8090" s="70">
        <v>0</v>
      </c>
      <c r="E8090" s="111">
        <f t="shared" si="130"/>
        <v>138710</v>
      </c>
      <c r="F8090" s="69">
        <v>7.2059815300860058E-2</v>
      </c>
      <c r="G8090" s="69">
        <v>8.3370367078481916E-2</v>
      </c>
    </row>
    <row r="8091" spans="1:7" x14ac:dyDescent="0.3">
      <c r="A8091" s="24">
        <v>42969</v>
      </c>
      <c r="B8091" s="66">
        <v>1421.3739</v>
      </c>
      <c r="C8091" s="66">
        <v>1485.1</v>
      </c>
      <c r="D8091" s="70">
        <v>0</v>
      </c>
      <c r="E8091" s="111">
        <f t="shared" si="130"/>
        <v>138710</v>
      </c>
      <c r="F8091" s="69">
        <v>7.2059815300860058E-2</v>
      </c>
      <c r="G8091" s="69">
        <v>8.3377777777777773E-2</v>
      </c>
    </row>
    <row r="8092" spans="1:7" x14ac:dyDescent="0.3">
      <c r="A8092" s="24">
        <v>42970</v>
      </c>
      <c r="B8092" s="66">
        <v>1421.3739</v>
      </c>
      <c r="C8092" s="66">
        <v>1500.2</v>
      </c>
      <c r="D8092" s="70">
        <v>0</v>
      </c>
      <c r="E8092" s="111">
        <f t="shared" si="130"/>
        <v>138710</v>
      </c>
      <c r="F8092" s="69">
        <v>7.2059815300860058E-2</v>
      </c>
      <c r="G8092" s="69">
        <v>8.3377777777777773E-2</v>
      </c>
    </row>
    <row r="8093" spans="1:7" x14ac:dyDescent="0.3">
      <c r="A8093" s="24">
        <v>42971</v>
      </c>
      <c r="B8093" s="66">
        <v>1421.3739</v>
      </c>
      <c r="C8093" s="66">
        <v>1549.9</v>
      </c>
      <c r="D8093" s="70">
        <v>0</v>
      </c>
      <c r="E8093" s="111">
        <f t="shared" si="130"/>
        <v>138710</v>
      </c>
      <c r="F8093" s="69">
        <v>7.2059815300860058E-2</v>
      </c>
      <c r="G8093" s="69">
        <v>8.3377777777777773E-2</v>
      </c>
    </row>
    <row r="8094" spans="1:7" x14ac:dyDescent="0.3">
      <c r="A8094" s="24">
        <v>42972</v>
      </c>
      <c r="B8094" s="66">
        <v>1421.3739</v>
      </c>
      <c r="C8094" s="66">
        <v>1510</v>
      </c>
      <c r="D8094" s="70">
        <v>0</v>
      </c>
      <c r="E8094" s="111">
        <f t="shared" si="130"/>
        <v>138710</v>
      </c>
      <c r="F8094" s="69">
        <v>7.2059815300860058E-2</v>
      </c>
      <c r="G8094" s="69">
        <v>8.3377777777777773E-2</v>
      </c>
    </row>
    <row r="8095" spans="1:7" x14ac:dyDescent="0.3">
      <c r="A8095" s="24">
        <v>42973</v>
      </c>
      <c r="B8095" s="66">
        <v>1421.3739</v>
      </c>
      <c r="C8095" s="66">
        <v>1510</v>
      </c>
      <c r="D8095" s="70">
        <v>0</v>
      </c>
      <c r="E8095" s="111">
        <f t="shared" si="130"/>
        <v>138710</v>
      </c>
      <c r="F8095" s="69">
        <v>7.2059815300860058E-2</v>
      </c>
      <c r="G8095" s="69">
        <v>8.3377777777777773E-2</v>
      </c>
    </row>
    <row r="8096" spans="1:7" x14ac:dyDescent="0.3">
      <c r="A8096" s="24">
        <v>42974</v>
      </c>
      <c r="B8096" s="66">
        <v>1421.3739</v>
      </c>
      <c r="C8096" s="66">
        <v>1510</v>
      </c>
      <c r="D8096" s="70">
        <v>0</v>
      </c>
      <c r="E8096" s="111">
        <f t="shared" si="130"/>
        <v>138710</v>
      </c>
      <c r="F8096" s="69">
        <v>7.2059815300860058E-2</v>
      </c>
      <c r="G8096" s="69">
        <v>8.3377777777777773E-2</v>
      </c>
    </row>
    <row r="8097" spans="1:7" x14ac:dyDescent="0.3">
      <c r="A8097" s="24">
        <v>42975</v>
      </c>
      <c r="B8097" s="66">
        <v>1421.3739</v>
      </c>
      <c r="C8097" s="66">
        <v>1510</v>
      </c>
      <c r="D8097" s="70">
        <v>0</v>
      </c>
      <c r="E8097" s="111">
        <f t="shared" si="130"/>
        <v>138710</v>
      </c>
      <c r="F8097" s="69">
        <v>7.2059815300860058E-2</v>
      </c>
      <c r="G8097" s="69">
        <v>8.3377777777777773E-2</v>
      </c>
    </row>
    <row r="8098" spans="1:7" x14ac:dyDescent="0.3">
      <c r="A8098" s="24">
        <v>42976</v>
      </c>
      <c r="B8098" s="66">
        <v>1421.3739</v>
      </c>
      <c r="C8098" s="66">
        <v>1510.7</v>
      </c>
      <c r="D8098" s="70">
        <v>0</v>
      </c>
      <c r="E8098" s="111">
        <f t="shared" si="130"/>
        <v>138710</v>
      </c>
      <c r="F8098" s="69">
        <v>7.2059815300860058E-2</v>
      </c>
      <c r="G8098" s="69">
        <v>8.3377777777777773E-2</v>
      </c>
    </row>
    <row r="8099" spans="1:7" x14ac:dyDescent="0.3">
      <c r="A8099" s="24">
        <v>42977</v>
      </c>
      <c r="B8099" s="66">
        <v>1421.3739</v>
      </c>
      <c r="C8099" s="66">
        <v>1520</v>
      </c>
      <c r="D8099" s="70">
        <v>0</v>
      </c>
      <c r="E8099" s="111">
        <f t="shared" si="130"/>
        <v>138710</v>
      </c>
      <c r="F8099" s="69">
        <v>7.2059815300860058E-2</v>
      </c>
      <c r="G8099" s="69">
        <v>8.3377777777777773E-2</v>
      </c>
    </row>
    <row r="8100" spans="1:7" x14ac:dyDescent="0.3">
      <c r="A8100" s="24">
        <v>42978</v>
      </c>
      <c r="B8100" s="66">
        <v>1421.3739</v>
      </c>
      <c r="C8100" s="66">
        <v>1527</v>
      </c>
      <c r="D8100" s="70">
        <v>0</v>
      </c>
      <c r="E8100" s="111">
        <f t="shared" si="130"/>
        <v>138710</v>
      </c>
      <c r="F8100" s="69">
        <v>7.2059815300860058E-2</v>
      </c>
      <c r="G8100" s="69">
        <v>8.3377777777777773E-2</v>
      </c>
    </row>
    <row r="8101" spans="1:7" x14ac:dyDescent="0.3">
      <c r="A8101" s="24">
        <v>42979</v>
      </c>
      <c r="B8101" s="66">
        <v>1421.3739</v>
      </c>
      <c r="C8101" s="66">
        <v>1545</v>
      </c>
      <c r="D8101" s="70">
        <v>0</v>
      </c>
      <c r="E8101" s="111">
        <f t="shared" si="130"/>
        <v>138710</v>
      </c>
      <c r="F8101" s="69">
        <v>7.2059815300860058E-2</v>
      </c>
      <c r="G8101" s="69">
        <v>8.3377777777777773E-2</v>
      </c>
    </row>
    <row r="8102" spans="1:7" x14ac:dyDescent="0.3">
      <c r="A8102" s="24">
        <v>42980</v>
      </c>
      <c r="B8102" s="66">
        <v>1421.3739</v>
      </c>
      <c r="C8102" s="66">
        <v>1545</v>
      </c>
      <c r="D8102" s="70">
        <v>0</v>
      </c>
      <c r="E8102" s="111">
        <f t="shared" si="130"/>
        <v>138710</v>
      </c>
      <c r="F8102" s="69">
        <v>7.2059815300860058E-2</v>
      </c>
      <c r="G8102" s="69">
        <v>8.3377777777777773E-2</v>
      </c>
    </row>
    <row r="8103" spans="1:7" x14ac:dyDescent="0.3">
      <c r="A8103" s="24">
        <v>42981</v>
      </c>
      <c r="B8103" s="66">
        <v>1421.3739</v>
      </c>
      <c r="C8103" s="66">
        <v>1545</v>
      </c>
      <c r="D8103" s="70">
        <v>0</v>
      </c>
      <c r="E8103" s="111">
        <f t="shared" si="130"/>
        <v>138710</v>
      </c>
      <c r="F8103" s="69">
        <v>7.2059815300860058E-2</v>
      </c>
      <c r="G8103" s="69">
        <v>8.3377777777777773E-2</v>
      </c>
    </row>
    <row r="8104" spans="1:7" x14ac:dyDescent="0.3">
      <c r="A8104" s="24">
        <v>42982</v>
      </c>
      <c r="B8104" s="66">
        <v>1421.3739</v>
      </c>
      <c r="C8104" s="66">
        <v>1550</v>
      </c>
      <c r="D8104" s="70">
        <v>0</v>
      </c>
      <c r="E8104" s="111">
        <f t="shared" si="130"/>
        <v>138710</v>
      </c>
      <c r="F8104" s="69">
        <v>7.2059815300860058E-2</v>
      </c>
      <c r="G8104" s="69">
        <v>8.3377777777777773E-2</v>
      </c>
    </row>
    <row r="8105" spans="1:7" x14ac:dyDescent="0.3">
      <c r="A8105" s="24">
        <v>42983</v>
      </c>
      <c r="B8105" s="66">
        <v>1421.3739</v>
      </c>
      <c r="C8105" s="66">
        <v>1555</v>
      </c>
      <c r="D8105" s="70">
        <v>0</v>
      </c>
      <c r="E8105" s="111">
        <f t="shared" si="130"/>
        <v>138710</v>
      </c>
      <c r="F8105" s="69">
        <v>7.2059815300860058E-2</v>
      </c>
      <c r="G8105" s="69">
        <v>8.3377777777777773E-2</v>
      </c>
    </row>
    <row r="8106" spans="1:7" x14ac:dyDescent="0.3">
      <c r="A8106" s="24">
        <v>42984</v>
      </c>
      <c r="B8106" s="66">
        <v>1421.3739</v>
      </c>
      <c r="C8106" s="66">
        <v>1555</v>
      </c>
      <c r="D8106" s="70">
        <v>0</v>
      </c>
      <c r="E8106" s="111">
        <f t="shared" si="130"/>
        <v>138710</v>
      </c>
      <c r="F8106" s="69">
        <v>7.2059815300860058E-2</v>
      </c>
      <c r="G8106" s="69">
        <v>8.3570919458303625E-2</v>
      </c>
    </row>
    <row r="8107" spans="1:7" x14ac:dyDescent="0.3">
      <c r="A8107" s="24">
        <v>42985</v>
      </c>
      <c r="B8107" s="66">
        <v>1421.3739</v>
      </c>
      <c r="C8107" s="66">
        <v>1530</v>
      </c>
      <c r="D8107" s="70">
        <v>0</v>
      </c>
      <c r="E8107" s="111">
        <f t="shared" si="130"/>
        <v>138710</v>
      </c>
      <c r="F8107" s="69">
        <v>7.2059815300860058E-2</v>
      </c>
      <c r="G8107" s="69">
        <v>8.3570919458303625E-2</v>
      </c>
    </row>
    <row r="8108" spans="1:7" x14ac:dyDescent="0.3">
      <c r="A8108" s="24">
        <v>42986</v>
      </c>
      <c r="B8108" s="66">
        <v>1421.3739</v>
      </c>
      <c r="C8108" s="66">
        <v>1555</v>
      </c>
      <c r="D8108" s="70">
        <v>0</v>
      </c>
      <c r="E8108" s="111">
        <f t="shared" si="130"/>
        <v>138710</v>
      </c>
      <c r="F8108" s="69">
        <v>7.2059815300860058E-2</v>
      </c>
      <c r="G8108" s="69">
        <v>8.3377777777777773E-2</v>
      </c>
    </row>
    <row r="8109" spans="1:7" x14ac:dyDescent="0.3">
      <c r="A8109" s="24">
        <v>42987</v>
      </c>
      <c r="B8109" s="66">
        <v>1421.3739</v>
      </c>
      <c r="C8109" s="66">
        <v>1555</v>
      </c>
      <c r="D8109" s="70">
        <v>0</v>
      </c>
      <c r="E8109" s="111">
        <f t="shared" si="130"/>
        <v>138710</v>
      </c>
      <c r="F8109" s="69">
        <v>7.2059815300860058E-2</v>
      </c>
      <c r="G8109" s="69">
        <v>8.3377777777777773E-2</v>
      </c>
    </row>
    <row r="8110" spans="1:7" x14ac:dyDescent="0.3">
      <c r="A8110" s="24">
        <v>42988</v>
      </c>
      <c r="B8110" s="66">
        <v>1421.3739</v>
      </c>
      <c r="C8110" s="66">
        <v>1555</v>
      </c>
      <c r="D8110" s="70">
        <v>0</v>
      </c>
      <c r="E8110" s="111">
        <f t="shared" si="130"/>
        <v>138710</v>
      </c>
      <c r="F8110" s="69">
        <v>7.2059815300860058E-2</v>
      </c>
      <c r="G8110" s="69">
        <v>8.3377777777777773E-2</v>
      </c>
    </row>
    <row r="8111" spans="1:7" x14ac:dyDescent="0.3">
      <c r="A8111" s="24">
        <v>42989</v>
      </c>
      <c r="B8111" s="66">
        <v>1421.3739</v>
      </c>
      <c r="C8111" s="66">
        <v>1570</v>
      </c>
      <c r="D8111" s="70">
        <v>0</v>
      </c>
      <c r="E8111" s="111">
        <f t="shared" si="130"/>
        <v>138710</v>
      </c>
      <c r="F8111" s="69">
        <v>7.2059815300860058E-2</v>
      </c>
      <c r="G8111" s="69">
        <v>8.3377777777777773E-2</v>
      </c>
    </row>
    <row r="8112" spans="1:7" x14ac:dyDescent="0.3">
      <c r="A8112" s="24">
        <v>42990</v>
      </c>
      <c r="B8112" s="66">
        <v>1421.3739</v>
      </c>
      <c r="C8112" s="66">
        <v>1570</v>
      </c>
      <c r="D8112" s="70">
        <v>0</v>
      </c>
      <c r="E8112" s="111">
        <f t="shared" si="130"/>
        <v>138710</v>
      </c>
      <c r="F8112" s="69">
        <v>7.2059815300860058E-2</v>
      </c>
      <c r="G8112" s="69">
        <v>8.3377777777777773E-2</v>
      </c>
    </row>
    <row r="8113" spans="1:7" x14ac:dyDescent="0.3">
      <c r="A8113" s="24">
        <v>42991</v>
      </c>
      <c r="B8113" s="66">
        <v>1421.3739</v>
      </c>
      <c r="C8113" s="66">
        <v>1575</v>
      </c>
      <c r="D8113" s="70">
        <v>0</v>
      </c>
      <c r="E8113" s="111">
        <f t="shared" si="130"/>
        <v>138710</v>
      </c>
      <c r="F8113" s="69">
        <v>7.2059815300860058E-2</v>
      </c>
      <c r="G8113" s="69">
        <v>8.3749999999999991E-2</v>
      </c>
    </row>
    <row r="8114" spans="1:7" x14ac:dyDescent="0.3">
      <c r="A8114" s="24">
        <v>42992</v>
      </c>
      <c r="B8114" s="66">
        <v>1421.3739</v>
      </c>
      <c r="C8114" s="66">
        <v>1575</v>
      </c>
      <c r="D8114" s="70">
        <v>0</v>
      </c>
      <c r="E8114" s="111">
        <f t="shared" si="130"/>
        <v>138710</v>
      </c>
      <c r="F8114" s="69">
        <v>7.2059815300860058E-2</v>
      </c>
      <c r="G8114" s="69">
        <v>8.3377777777777773E-2</v>
      </c>
    </row>
    <row r="8115" spans="1:7" x14ac:dyDescent="0.3">
      <c r="A8115" s="24">
        <v>42993</v>
      </c>
      <c r="B8115" s="66">
        <v>1421.3739</v>
      </c>
      <c r="C8115" s="66">
        <v>1575</v>
      </c>
      <c r="D8115" s="70">
        <v>0</v>
      </c>
      <c r="E8115" s="111">
        <f t="shared" si="130"/>
        <v>138710</v>
      </c>
      <c r="F8115" s="69">
        <v>7.2059815300860058E-2</v>
      </c>
      <c r="G8115" s="69">
        <v>8.3377777777777773E-2</v>
      </c>
    </row>
    <row r="8116" spans="1:7" x14ac:dyDescent="0.3">
      <c r="A8116" s="24">
        <v>42994</v>
      </c>
      <c r="B8116" s="66">
        <v>1421.3739</v>
      </c>
      <c r="C8116" s="66">
        <v>1575</v>
      </c>
      <c r="D8116" s="70">
        <v>0</v>
      </c>
      <c r="E8116" s="111">
        <f t="shared" si="130"/>
        <v>138710</v>
      </c>
      <c r="F8116" s="69">
        <v>7.2059815300860058E-2</v>
      </c>
      <c r="G8116" s="69">
        <v>8.3377777777777773E-2</v>
      </c>
    </row>
    <row r="8117" spans="1:7" x14ac:dyDescent="0.3">
      <c r="A8117" s="24">
        <v>42995</v>
      </c>
      <c r="B8117" s="66">
        <v>1421.3739</v>
      </c>
      <c r="C8117" s="66">
        <v>1575</v>
      </c>
      <c r="D8117" s="70">
        <v>0</v>
      </c>
      <c r="E8117" s="111">
        <f t="shared" si="130"/>
        <v>138710</v>
      </c>
      <c r="F8117" s="69">
        <v>7.2059815300860058E-2</v>
      </c>
      <c r="G8117" s="69">
        <v>8.3377777777777773E-2</v>
      </c>
    </row>
    <row r="8118" spans="1:7" x14ac:dyDescent="0.3">
      <c r="A8118" s="24">
        <v>42996</v>
      </c>
      <c r="B8118" s="66">
        <v>1421.3739</v>
      </c>
      <c r="C8118" s="66">
        <v>1575</v>
      </c>
      <c r="D8118" s="70">
        <v>0</v>
      </c>
      <c r="E8118" s="111">
        <f t="shared" si="130"/>
        <v>138710</v>
      </c>
      <c r="F8118" s="69">
        <v>7.2059815300860058E-2</v>
      </c>
      <c r="G8118" s="69">
        <v>8.3377777777777773E-2</v>
      </c>
    </row>
    <row r="8119" spans="1:7" x14ac:dyDescent="0.3">
      <c r="A8119" s="24">
        <v>42997</v>
      </c>
      <c r="B8119" s="66">
        <v>1421.3739</v>
      </c>
      <c r="C8119" s="66">
        <v>1575</v>
      </c>
      <c r="D8119" s="70">
        <v>0</v>
      </c>
      <c r="E8119" s="111">
        <f t="shared" si="130"/>
        <v>138710</v>
      </c>
      <c r="F8119" s="69">
        <v>7.2059815300860058E-2</v>
      </c>
      <c r="G8119" s="69">
        <v>8.3385189794648401E-2</v>
      </c>
    </row>
    <row r="8120" spans="1:7" x14ac:dyDescent="0.3">
      <c r="A8120" s="24">
        <v>42998</v>
      </c>
      <c r="B8120" s="66">
        <v>1421.3739</v>
      </c>
      <c r="C8120" s="66">
        <v>1575</v>
      </c>
      <c r="D8120" s="70">
        <v>0</v>
      </c>
      <c r="E8120" s="111">
        <f t="shared" si="130"/>
        <v>138710</v>
      </c>
      <c r="F8120" s="69">
        <v>7.2059815300860058E-2</v>
      </c>
      <c r="G8120" s="69">
        <v>8.3377777777777773E-2</v>
      </c>
    </row>
    <row r="8121" spans="1:7" x14ac:dyDescent="0.3">
      <c r="A8121" s="24">
        <v>42999</v>
      </c>
      <c r="B8121" s="66">
        <v>1421.3739</v>
      </c>
      <c r="C8121" s="66">
        <v>1580</v>
      </c>
      <c r="D8121" s="70">
        <v>0</v>
      </c>
      <c r="E8121" s="111">
        <f t="shared" si="130"/>
        <v>138710</v>
      </c>
      <c r="F8121" s="69">
        <v>7.2059815300860058E-2</v>
      </c>
      <c r="G8121" s="69">
        <v>8.360071301247772E-2</v>
      </c>
    </row>
    <row r="8122" spans="1:7" x14ac:dyDescent="0.3">
      <c r="A8122" s="24">
        <v>43000</v>
      </c>
      <c r="B8122" s="66">
        <v>1421.3739</v>
      </c>
      <c r="C8122" s="66">
        <v>1578</v>
      </c>
      <c r="D8122" s="70">
        <v>0</v>
      </c>
      <c r="E8122" s="111">
        <f t="shared" si="130"/>
        <v>138710</v>
      </c>
      <c r="F8122" s="69">
        <v>5.9768162371075823E-2</v>
      </c>
      <c r="G8122" s="69">
        <v>6.9340463458110513E-2</v>
      </c>
    </row>
    <row r="8123" spans="1:7" x14ac:dyDescent="0.3">
      <c r="A8123" s="24">
        <v>43001</v>
      </c>
      <c r="B8123" s="66">
        <v>1421.3739</v>
      </c>
      <c r="C8123" s="66">
        <v>1578</v>
      </c>
      <c r="D8123" s="70">
        <v>0</v>
      </c>
      <c r="E8123" s="111">
        <f t="shared" si="130"/>
        <v>138710</v>
      </c>
      <c r="F8123" s="69">
        <v>5.9768162371075823E-2</v>
      </c>
      <c r="G8123" s="69">
        <v>6.9340463458110513E-2</v>
      </c>
    </row>
    <row r="8124" spans="1:7" x14ac:dyDescent="0.3">
      <c r="A8124" s="24">
        <v>43002</v>
      </c>
      <c r="B8124" s="66">
        <v>1421.3739</v>
      </c>
      <c r="C8124" s="66">
        <v>1578</v>
      </c>
      <c r="D8124" s="70">
        <v>0</v>
      </c>
      <c r="E8124" s="111">
        <f t="shared" si="130"/>
        <v>138710</v>
      </c>
      <c r="F8124" s="69">
        <v>5.9768162371075823E-2</v>
      </c>
      <c r="G8124" s="69">
        <v>6.9340463458110513E-2</v>
      </c>
    </row>
    <row r="8125" spans="1:7" x14ac:dyDescent="0.3">
      <c r="A8125" s="24">
        <v>43003</v>
      </c>
      <c r="B8125" s="66">
        <v>1421.3739</v>
      </c>
      <c r="C8125" s="66">
        <v>1579</v>
      </c>
      <c r="D8125" s="70">
        <v>0</v>
      </c>
      <c r="E8125" s="111">
        <f t="shared" si="130"/>
        <v>138710</v>
      </c>
      <c r="F8125" s="69">
        <v>5.9768162371075823E-2</v>
      </c>
      <c r="G8125" s="69">
        <v>6.9340463458110513E-2</v>
      </c>
    </row>
    <row r="8126" spans="1:7" x14ac:dyDescent="0.3">
      <c r="A8126" s="24">
        <v>43004</v>
      </c>
      <c r="B8126" s="66">
        <v>1421.3739</v>
      </c>
      <c r="C8126" s="66">
        <v>1579</v>
      </c>
      <c r="D8126" s="70">
        <v>0</v>
      </c>
      <c r="E8126" s="111">
        <f t="shared" si="130"/>
        <v>138710</v>
      </c>
      <c r="F8126" s="69">
        <v>5.9768162371075823E-2</v>
      </c>
      <c r="G8126" s="69">
        <v>6.9340463458110513E-2</v>
      </c>
    </row>
    <row r="8127" spans="1:7" x14ac:dyDescent="0.3">
      <c r="A8127" s="24">
        <v>43005</v>
      </c>
      <c r="B8127" s="66">
        <v>1421.3739</v>
      </c>
      <c r="C8127" s="66">
        <v>1579</v>
      </c>
      <c r="D8127" s="70">
        <v>0</v>
      </c>
      <c r="E8127" s="111">
        <f t="shared" si="130"/>
        <v>138710</v>
      </c>
      <c r="F8127" s="69">
        <v>5.9768162371075823E-2</v>
      </c>
      <c r="G8127" s="69">
        <v>6.9340463458110513E-2</v>
      </c>
    </row>
    <row r="8128" spans="1:7" x14ac:dyDescent="0.3">
      <c r="A8128" s="24">
        <v>43006</v>
      </c>
      <c r="B8128" s="66">
        <v>1421.3739</v>
      </c>
      <c r="C8128" s="66">
        <v>1580</v>
      </c>
      <c r="D8128" s="70">
        <v>16.5</v>
      </c>
      <c r="E8128" s="111">
        <f t="shared" si="130"/>
        <v>138710</v>
      </c>
      <c r="F8128" s="69">
        <v>7.2443929454915804E-2</v>
      </c>
      <c r="G8128" s="69">
        <v>8.4046345811051693E-2</v>
      </c>
    </row>
    <row r="8129" spans="1:7" x14ac:dyDescent="0.3">
      <c r="A8129" s="24">
        <v>43007</v>
      </c>
      <c r="B8129" s="66">
        <v>1421.3739</v>
      </c>
      <c r="C8129" s="66">
        <v>1580</v>
      </c>
      <c r="D8129" s="70">
        <v>0</v>
      </c>
      <c r="E8129" s="111">
        <f t="shared" si="130"/>
        <v>138710</v>
      </c>
      <c r="F8129" s="69">
        <v>7.2443929454915804E-2</v>
      </c>
      <c r="G8129" s="69">
        <v>8.4196428571428575E-2</v>
      </c>
    </row>
    <row r="8130" spans="1:7" x14ac:dyDescent="0.3">
      <c r="A8130" s="24">
        <v>43008</v>
      </c>
      <c r="B8130" s="66">
        <v>1421.3739</v>
      </c>
      <c r="C8130" s="66">
        <v>1580</v>
      </c>
      <c r="D8130" s="70">
        <v>0</v>
      </c>
      <c r="E8130" s="111">
        <f t="shared" si="130"/>
        <v>138710</v>
      </c>
      <c r="F8130" s="69">
        <v>7.2443929454915804E-2</v>
      </c>
      <c r="G8130" s="69">
        <v>8.4196428571428575E-2</v>
      </c>
    </row>
    <row r="8131" spans="1:7" x14ac:dyDescent="0.3">
      <c r="A8131" s="24">
        <v>43009</v>
      </c>
      <c r="B8131" s="66">
        <v>1421.3739</v>
      </c>
      <c r="C8131" s="66">
        <v>1580</v>
      </c>
      <c r="D8131" s="70">
        <v>0</v>
      </c>
      <c r="E8131" s="111">
        <f t="shared" si="130"/>
        <v>138710</v>
      </c>
      <c r="F8131" s="69">
        <v>7.2443929454915804E-2</v>
      </c>
      <c r="G8131" s="69">
        <v>8.4196428571428575E-2</v>
      </c>
    </row>
    <row r="8132" spans="1:7" x14ac:dyDescent="0.3">
      <c r="A8132" s="24">
        <v>43010</v>
      </c>
      <c r="B8132" s="66">
        <v>1421.3739</v>
      </c>
      <c r="C8132" s="66">
        <v>1576</v>
      </c>
      <c r="D8132" s="70">
        <v>0</v>
      </c>
      <c r="E8132" s="111">
        <f t="shared" si="130"/>
        <v>138710</v>
      </c>
      <c r="F8132" s="69">
        <v>7.2443929454915804E-2</v>
      </c>
      <c r="G8132" s="69">
        <v>8.4324420996154878E-2</v>
      </c>
    </row>
    <row r="8133" spans="1:7" x14ac:dyDescent="0.3">
      <c r="A8133" s="24">
        <v>43011</v>
      </c>
      <c r="B8133" s="66">
        <v>1421.3739</v>
      </c>
      <c r="C8133" s="66">
        <v>1575</v>
      </c>
      <c r="D8133" s="70">
        <v>0</v>
      </c>
      <c r="E8133" s="111">
        <f t="shared" si="130"/>
        <v>138710</v>
      </c>
      <c r="F8133" s="69">
        <v>7.2443929454915804E-2</v>
      </c>
      <c r="G8133" s="69">
        <v>8.4347048300536673E-2</v>
      </c>
    </row>
    <row r="8134" spans="1:7" x14ac:dyDescent="0.3">
      <c r="A8134" s="24">
        <v>43012</v>
      </c>
      <c r="B8134" s="66">
        <v>1421.3739</v>
      </c>
      <c r="C8134" s="66">
        <v>1590</v>
      </c>
      <c r="D8134" s="70">
        <v>0</v>
      </c>
      <c r="E8134" s="111">
        <f t="shared" si="130"/>
        <v>138710</v>
      </c>
      <c r="F8134" s="69">
        <v>7.2443929454915804E-2</v>
      </c>
      <c r="G8134" s="69">
        <v>8.4196428571428575E-2</v>
      </c>
    </row>
    <row r="8135" spans="1:7" x14ac:dyDescent="0.3">
      <c r="A8135" s="24">
        <v>43013</v>
      </c>
      <c r="B8135" s="66">
        <v>1421.3739</v>
      </c>
      <c r="C8135" s="66">
        <v>1600</v>
      </c>
      <c r="D8135" s="70">
        <v>0</v>
      </c>
      <c r="E8135" s="111">
        <f t="shared" si="130"/>
        <v>138710</v>
      </c>
      <c r="F8135" s="69">
        <v>7.2443929454915804E-2</v>
      </c>
      <c r="G8135" s="69">
        <v>8.4196428571428575E-2</v>
      </c>
    </row>
    <row r="8136" spans="1:7" x14ac:dyDescent="0.3">
      <c r="A8136" s="24">
        <v>43014</v>
      </c>
      <c r="B8136" s="66">
        <v>1421.3739</v>
      </c>
      <c r="C8136" s="66">
        <v>1600</v>
      </c>
      <c r="D8136" s="70">
        <v>0</v>
      </c>
      <c r="E8136" s="111">
        <f t="shared" si="130"/>
        <v>138710</v>
      </c>
      <c r="F8136" s="69">
        <v>7.2443929454915804E-2</v>
      </c>
      <c r="G8136" s="69">
        <v>8.4203946780962574E-2</v>
      </c>
    </row>
    <row r="8137" spans="1:7" x14ac:dyDescent="0.3">
      <c r="A8137" s="24">
        <v>43015</v>
      </c>
      <c r="B8137" s="66">
        <v>1421.3739</v>
      </c>
      <c r="C8137" s="66">
        <v>1600</v>
      </c>
      <c r="D8137" s="70">
        <v>0</v>
      </c>
      <c r="E8137" s="111">
        <f t="shared" ref="E8137:E8200" si="131">+E8136</f>
        <v>138710</v>
      </c>
      <c r="F8137" s="69">
        <v>7.2443929454915804E-2</v>
      </c>
      <c r="G8137" s="69">
        <v>8.4203946780962574E-2</v>
      </c>
    </row>
    <row r="8138" spans="1:7" x14ac:dyDescent="0.3">
      <c r="A8138" s="24">
        <v>43016</v>
      </c>
      <c r="B8138" s="66">
        <v>1421.3739</v>
      </c>
      <c r="C8138" s="66">
        <v>1600</v>
      </c>
      <c r="D8138" s="70">
        <v>0</v>
      </c>
      <c r="E8138" s="111">
        <f t="shared" si="131"/>
        <v>138710</v>
      </c>
      <c r="F8138" s="69">
        <v>7.2443929454915804E-2</v>
      </c>
      <c r="G8138" s="69">
        <v>8.4203946780962574E-2</v>
      </c>
    </row>
    <row r="8139" spans="1:7" x14ac:dyDescent="0.3">
      <c r="A8139" s="24">
        <v>43017</v>
      </c>
      <c r="B8139" s="66">
        <v>1421.3739</v>
      </c>
      <c r="C8139" s="66">
        <v>1600</v>
      </c>
      <c r="D8139" s="70">
        <v>0</v>
      </c>
      <c r="E8139" s="111">
        <f t="shared" si="131"/>
        <v>138710</v>
      </c>
      <c r="F8139" s="69">
        <v>7.2443929454915804E-2</v>
      </c>
      <c r="G8139" s="69">
        <v>8.4203946780962574E-2</v>
      </c>
    </row>
    <row r="8140" spans="1:7" x14ac:dyDescent="0.3">
      <c r="A8140" s="24">
        <v>43018</v>
      </c>
      <c r="B8140" s="66">
        <v>1421.3739</v>
      </c>
      <c r="C8140" s="66">
        <v>1600</v>
      </c>
      <c r="D8140" s="70">
        <v>0</v>
      </c>
      <c r="E8140" s="111">
        <f t="shared" si="131"/>
        <v>138710</v>
      </c>
      <c r="F8140" s="69">
        <v>7.2443929454915804E-2</v>
      </c>
      <c r="G8140" s="69">
        <v>8.4347048300536673E-2</v>
      </c>
    </row>
    <row r="8141" spans="1:7" x14ac:dyDescent="0.3">
      <c r="A8141" s="24">
        <v>43019</v>
      </c>
      <c r="B8141" s="66">
        <v>1421.3739</v>
      </c>
      <c r="C8141" s="66">
        <v>1600</v>
      </c>
      <c r="D8141" s="70">
        <v>0</v>
      </c>
      <c r="E8141" s="111">
        <f t="shared" si="131"/>
        <v>138710</v>
      </c>
      <c r="F8141" s="69">
        <v>7.2443929454915804E-2</v>
      </c>
      <c r="G8141" s="69">
        <v>8.4573991031390128E-2</v>
      </c>
    </row>
    <row r="8142" spans="1:7" x14ac:dyDescent="0.3">
      <c r="A8142" s="24">
        <v>43020</v>
      </c>
      <c r="B8142" s="66">
        <v>1421.3739</v>
      </c>
      <c r="C8142" s="66">
        <v>1620</v>
      </c>
      <c r="D8142" s="70">
        <v>0</v>
      </c>
      <c r="E8142" s="111">
        <f t="shared" si="131"/>
        <v>138710</v>
      </c>
      <c r="F8142" s="69">
        <v>7.2443929454915804E-2</v>
      </c>
      <c r="G8142" s="69">
        <v>8.4573991031390128E-2</v>
      </c>
    </row>
    <row r="8143" spans="1:7" x14ac:dyDescent="0.3">
      <c r="A8143" s="24">
        <v>43021</v>
      </c>
      <c r="B8143" s="66">
        <v>1421.3739</v>
      </c>
      <c r="C8143" s="66">
        <v>1621.8</v>
      </c>
      <c r="D8143" s="70">
        <v>0</v>
      </c>
      <c r="E8143" s="111">
        <f t="shared" si="131"/>
        <v>138710</v>
      </c>
      <c r="F8143" s="69">
        <v>7.2443929454915804E-2</v>
      </c>
      <c r="G8143" s="69">
        <v>8.4196428571428575E-2</v>
      </c>
    </row>
    <row r="8144" spans="1:7" x14ac:dyDescent="0.3">
      <c r="A8144" s="24">
        <v>43022</v>
      </c>
      <c r="B8144" s="66">
        <v>1421.3739</v>
      </c>
      <c r="C8144" s="66">
        <v>1621.8</v>
      </c>
      <c r="D8144" s="70">
        <v>0</v>
      </c>
      <c r="E8144" s="111">
        <f t="shared" si="131"/>
        <v>138710</v>
      </c>
      <c r="F8144" s="69">
        <v>7.2443929454915804E-2</v>
      </c>
      <c r="G8144" s="69">
        <v>8.4196428571428575E-2</v>
      </c>
    </row>
    <row r="8145" spans="1:7" x14ac:dyDescent="0.3">
      <c r="A8145" s="24">
        <v>43023</v>
      </c>
      <c r="B8145" s="66">
        <v>1421.3739</v>
      </c>
      <c r="C8145" s="66">
        <v>1621.8</v>
      </c>
      <c r="D8145" s="70">
        <v>0</v>
      </c>
      <c r="E8145" s="111">
        <f t="shared" si="131"/>
        <v>138710</v>
      </c>
      <c r="F8145" s="69">
        <v>7.2443929454915804E-2</v>
      </c>
      <c r="G8145" s="69">
        <v>8.4196428571428575E-2</v>
      </c>
    </row>
    <row r="8146" spans="1:7" x14ac:dyDescent="0.3">
      <c r="A8146" s="24">
        <v>43024</v>
      </c>
      <c r="B8146" s="66">
        <v>1421.3739</v>
      </c>
      <c r="C8146" s="66">
        <v>1622.1</v>
      </c>
      <c r="D8146" s="70">
        <v>0</v>
      </c>
      <c r="E8146" s="111">
        <f t="shared" si="131"/>
        <v>138710</v>
      </c>
      <c r="F8146" s="69">
        <v>7.2443929454915804E-2</v>
      </c>
      <c r="G8146" s="69">
        <v>8.4196428571428575E-2</v>
      </c>
    </row>
    <row r="8147" spans="1:7" x14ac:dyDescent="0.3">
      <c r="A8147" s="24">
        <v>43025</v>
      </c>
      <c r="B8147" s="66">
        <v>1421.3739</v>
      </c>
      <c r="C8147" s="66">
        <v>1622.05</v>
      </c>
      <c r="D8147" s="70">
        <v>0</v>
      </c>
      <c r="E8147" s="111">
        <f t="shared" si="131"/>
        <v>138710</v>
      </c>
      <c r="F8147" s="69">
        <v>7.2443929454915804E-2</v>
      </c>
      <c r="G8147" s="69">
        <v>8.4196428571428575E-2</v>
      </c>
    </row>
    <row r="8148" spans="1:7" x14ac:dyDescent="0.3">
      <c r="A8148" s="24">
        <v>43026</v>
      </c>
      <c r="B8148" s="66">
        <v>1421.3739</v>
      </c>
      <c r="C8148" s="66">
        <v>1622.1</v>
      </c>
      <c r="D8148" s="70">
        <v>0</v>
      </c>
      <c r="E8148" s="111">
        <f t="shared" si="131"/>
        <v>138710</v>
      </c>
      <c r="F8148" s="69">
        <v>7.2443929454915804E-2</v>
      </c>
      <c r="G8148" s="69">
        <v>8.4196428571428575E-2</v>
      </c>
    </row>
    <row r="8149" spans="1:7" x14ac:dyDescent="0.3">
      <c r="A8149" s="24">
        <v>43027</v>
      </c>
      <c r="B8149" s="66">
        <v>1421.3739</v>
      </c>
      <c r="C8149" s="66">
        <v>1625.1</v>
      </c>
      <c r="D8149" s="70">
        <v>0</v>
      </c>
      <c r="E8149" s="111">
        <f t="shared" si="131"/>
        <v>138710</v>
      </c>
      <c r="F8149" s="69">
        <v>7.2443929454915804E-2</v>
      </c>
      <c r="G8149" s="69">
        <v>8.4196428571428575E-2</v>
      </c>
    </row>
    <row r="8150" spans="1:7" x14ac:dyDescent="0.3">
      <c r="A8150" s="24">
        <v>43028</v>
      </c>
      <c r="B8150" s="66">
        <v>1421.3739</v>
      </c>
      <c r="C8150" s="66">
        <v>1626</v>
      </c>
      <c r="D8150" s="70">
        <v>0</v>
      </c>
      <c r="E8150" s="111">
        <f t="shared" si="131"/>
        <v>138710</v>
      </c>
      <c r="F8150" s="69">
        <v>7.2443929454915804E-2</v>
      </c>
      <c r="G8150" s="69">
        <v>8.4347048300536673E-2</v>
      </c>
    </row>
    <row r="8151" spans="1:7" x14ac:dyDescent="0.3">
      <c r="A8151" s="24">
        <v>43029</v>
      </c>
      <c r="B8151" s="66">
        <v>1421.3739</v>
      </c>
      <c r="C8151" s="66">
        <v>1626</v>
      </c>
      <c r="D8151" s="70">
        <v>0</v>
      </c>
      <c r="E8151" s="111">
        <f t="shared" si="131"/>
        <v>138710</v>
      </c>
      <c r="F8151" s="69">
        <v>7.2443929454915804E-2</v>
      </c>
      <c r="G8151" s="69">
        <v>8.4347048300536673E-2</v>
      </c>
    </row>
    <row r="8152" spans="1:7" x14ac:dyDescent="0.3">
      <c r="A8152" s="24">
        <v>43030</v>
      </c>
      <c r="B8152" s="66">
        <v>1421.3739</v>
      </c>
      <c r="C8152" s="66">
        <v>1626</v>
      </c>
      <c r="D8152" s="70">
        <v>0</v>
      </c>
      <c r="E8152" s="111">
        <f t="shared" si="131"/>
        <v>138710</v>
      </c>
      <c r="F8152" s="69">
        <v>7.2443929454915804E-2</v>
      </c>
      <c r="G8152" s="69">
        <v>8.4347048300536673E-2</v>
      </c>
    </row>
    <row r="8153" spans="1:7" x14ac:dyDescent="0.3">
      <c r="A8153" s="24">
        <v>43031</v>
      </c>
      <c r="B8153" s="66">
        <v>1421.3739</v>
      </c>
      <c r="C8153" s="66">
        <v>1630</v>
      </c>
      <c r="D8153" s="70">
        <v>0</v>
      </c>
      <c r="E8153" s="111">
        <f t="shared" si="131"/>
        <v>138710</v>
      </c>
      <c r="F8153" s="69">
        <v>7.2443929454915804E-2</v>
      </c>
      <c r="G8153" s="69">
        <v>8.4196428571428575E-2</v>
      </c>
    </row>
    <row r="8154" spans="1:7" x14ac:dyDescent="0.3">
      <c r="A8154" s="24">
        <v>43032</v>
      </c>
      <c r="B8154" s="66">
        <v>1421.3739</v>
      </c>
      <c r="C8154" s="66">
        <v>1635</v>
      </c>
      <c r="D8154" s="70">
        <v>0</v>
      </c>
      <c r="E8154" s="111">
        <f t="shared" si="131"/>
        <v>138710</v>
      </c>
      <c r="F8154" s="69">
        <v>7.2443929454915804E-2</v>
      </c>
      <c r="G8154" s="69">
        <v>8.4188911704312114E-2</v>
      </c>
    </row>
    <row r="8155" spans="1:7" x14ac:dyDescent="0.3">
      <c r="A8155" s="24">
        <v>43033</v>
      </c>
      <c r="B8155" s="66">
        <v>1465.81348</v>
      </c>
      <c r="C8155" s="66">
        <v>1642</v>
      </c>
      <c r="D8155" s="70">
        <v>0</v>
      </c>
      <c r="E8155" s="111">
        <f t="shared" si="131"/>
        <v>138710</v>
      </c>
      <c r="F8155" s="69">
        <v>7.2443929454915804E-2</v>
      </c>
      <c r="G8155" s="69">
        <v>8.4196428571428575E-2</v>
      </c>
    </row>
    <row r="8156" spans="1:7" x14ac:dyDescent="0.3">
      <c r="A8156" s="24">
        <v>43034</v>
      </c>
      <c r="B8156" s="66">
        <v>1465.81348</v>
      </c>
      <c r="C8156" s="66">
        <v>1642</v>
      </c>
      <c r="D8156" s="70">
        <v>0</v>
      </c>
      <c r="E8156" s="111">
        <f t="shared" si="131"/>
        <v>138710</v>
      </c>
      <c r="F8156" s="69">
        <v>7.2443929454915804E-2</v>
      </c>
      <c r="G8156" s="69">
        <v>8.4196428571428575E-2</v>
      </c>
    </row>
    <row r="8157" spans="1:7" x14ac:dyDescent="0.3">
      <c r="A8157" s="24">
        <v>43035</v>
      </c>
      <c r="B8157" s="66">
        <v>1465.81348</v>
      </c>
      <c r="C8157" s="66">
        <v>1642</v>
      </c>
      <c r="D8157" s="70">
        <v>0</v>
      </c>
      <c r="E8157" s="111">
        <f t="shared" si="131"/>
        <v>138710</v>
      </c>
      <c r="F8157" s="69">
        <v>7.1341352545193915E-2</v>
      </c>
      <c r="G8157" s="69">
        <v>8.4196428571428575E-2</v>
      </c>
    </row>
    <row r="8158" spans="1:7" x14ac:dyDescent="0.3">
      <c r="A8158" s="24">
        <v>43036</v>
      </c>
      <c r="B8158" s="66">
        <v>1465.81348</v>
      </c>
      <c r="C8158" s="66">
        <v>1642</v>
      </c>
      <c r="D8158" s="70">
        <v>0</v>
      </c>
      <c r="E8158" s="111">
        <f t="shared" si="131"/>
        <v>138710</v>
      </c>
      <c r="F8158" s="69">
        <v>7.1341352545193915E-2</v>
      </c>
      <c r="G8158" s="69">
        <v>8.4196428571428575E-2</v>
      </c>
    </row>
    <row r="8159" spans="1:7" x14ac:dyDescent="0.3">
      <c r="A8159" s="24">
        <v>43037</v>
      </c>
      <c r="B8159" s="66">
        <v>1465.81348</v>
      </c>
      <c r="C8159" s="66">
        <v>1642</v>
      </c>
      <c r="D8159" s="70">
        <v>0</v>
      </c>
      <c r="E8159" s="111">
        <f t="shared" si="131"/>
        <v>138710</v>
      </c>
      <c r="F8159" s="69">
        <v>7.1341352545193915E-2</v>
      </c>
      <c r="G8159" s="69">
        <v>8.4196428571428575E-2</v>
      </c>
    </row>
    <row r="8160" spans="1:7" x14ac:dyDescent="0.3">
      <c r="A8160" s="24">
        <v>43038</v>
      </c>
      <c r="B8160" s="66">
        <v>1465.81348</v>
      </c>
      <c r="C8160" s="66">
        <v>1695</v>
      </c>
      <c r="D8160" s="70">
        <v>0</v>
      </c>
      <c r="E8160" s="111">
        <f t="shared" si="131"/>
        <v>138710</v>
      </c>
      <c r="F8160" s="69">
        <v>7.1341352545193915E-2</v>
      </c>
      <c r="G8160" s="69">
        <v>8.4196428571428575E-2</v>
      </c>
    </row>
    <row r="8161" spans="1:7" x14ac:dyDescent="0.3">
      <c r="A8161" s="24">
        <v>43039</v>
      </c>
      <c r="B8161" s="66">
        <v>1465.81348</v>
      </c>
      <c r="C8161" s="66">
        <v>1683.8</v>
      </c>
      <c r="D8161" s="70">
        <v>0</v>
      </c>
      <c r="E8161" s="111">
        <f t="shared" si="131"/>
        <v>138710</v>
      </c>
      <c r="F8161" s="69">
        <v>7.1341352545193915E-2</v>
      </c>
      <c r="G8161" s="69">
        <v>8.4196428571428575E-2</v>
      </c>
    </row>
    <row r="8162" spans="1:7" x14ac:dyDescent="0.3">
      <c r="A8162" s="24">
        <v>43040</v>
      </c>
      <c r="B8162" s="66">
        <v>1465.81348</v>
      </c>
      <c r="C8162" s="66">
        <v>1683.8</v>
      </c>
      <c r="D8162" s="70">
        <v>0</v>
      </c>
      <c r="E8162" s="111">
        <f t="shared" si="131"/>
        <v>138710</v>
      </c>
      <c r="F8162" s="69">
        <v>7.1341352545193915E-2</v>
      </c>
      <c r="G8162" s="69">
        <v>8.4196428571428575E-2</v>
      </c>
    </row>
    <row r="8163" spans="1:7" x14ac:dyDescent="0.3">
      <c r="A8163" s="24">
        <v>43041</v>
      </c>
      <c r="B8163" s="66">
        <v>1465.81348</v>
      </c>
      <c r="C8163" s="66">
        <v>1681.2</v>
      </c>
      <c r="D8163" s="70">
        <v>0</v>
      </c>
      <c r="E8163" s="111">
        <f t="shared" si="131"/>
        <v>138710</v>
      </c>
      <c r="F8163" s="69">
        <v>7.1341352545193915E-2</v>
      </c>
      <c r="G8163" s="69">
        <v>8.4498207885304655E-2</v>
      </c>
    </row>
    <row r="8164" spans="1:7" x14ac:dyDescent="0.3">
      <c r="A8164" s="24">
        <v>43042</v>
      </c>
      <c r="B8164" s="66">
        <v>1465.81348</v>
      </c>
      <c r="C8164" s="66">
        <v>1680</v>
      </c>
      <c r="D8164" s="70">
        <v>0</v>
      </c>
      <c r="E8164" s="111">
        <f t="shared" si="131"/>
        <v>138710</v>
      </c>
      <c r="F8164" s="69">
        <v>7.1341352545193915E-2</v>
      </c>
      <c r="G8164" s="69">
        <v>8.4498207885304655E-2</v>
      </c>
    </row>
    <row r="8165" spans="1:7" x14ac:dyDescent="0.3">
      <c r="A8165" s="24">
        <v>43043</v>
      </c>
      <c r="B8165" s="66">
        <v>1465.81348</v>
      </c>
      <c r="C8165" s="66">
        <v>1680</v>
      </c>
      <c r="D8165" s="70">
        <v>0</v>
      </c>
      <c r="E8165" s="111">
        <f t="shared" si="131"/>
        <v>138710</v>
      </c>
      <c r="F8165" s="69">
        <v>7.1341352545193915E-2</v>
      </c>
      <c r="G8165" s="69">
        <v>8.4498207885304655E-2</v>
      </c>
    </row>
    <row r="8166" spans="1:7" x14ac:dyDescent="0.3">
      <c r="A8166" s="24">
        <v>43044</v>
      </c>
      <c r="B8166" s="66">
        <v>1465.81348</v>
      </c>
      <c r="C8166" s="66">
        <v>1680</v>
      </c>
      <c r="D8166" s="70">
        <v>0</v>
      </c>
      <c r="E8166" s="111">
        <f t="shared" si="131"/>
        <v>138710</v>
      </c>
      <c r="F8166" s="69">
        <v>7.1341352545193915E-2</v>
      </c>
      <c r="G8166" s="69">
        <v>8.4498207885304655E-2</v>
      </c>
    </row>
    <row r="8167" spans="1:7" x14ac:dyDescent="0.3">
      <c r="A8167" s="24">
        <v>43045</v>
      </c>
      <c r="B8167" s="66">
        <v>1465.81348</v>
      </c>
      <c r="C8167" s="66">
        <v>1680</v>
      </c>
      <c r="D8167" s="70">
        <v>0</v>
      </c>
      <c r="E8167" s="111">
        <f t="shared" si="131"/>
        <v>138710</v>
      </c>
      <c r="F8167" s="69">
        <v>7.1341352545193915E-2</v>
      </c>
      <c r="G8167" s="69">
        <v>8.4196428571428575E-2</v>
      </c>
    </row>
    <row r="8168" spans="1:7" x14ac:dyDescent="0.3">
      <c r="A8168" s="24">
        <v>43046</v>
      </c>
      <c r="B8168" s="66">
        <v>1465.81348</v>
      </c>
      <c r="C8168" s="66">
        <v>1680</v>
      </c>
      <c r="D8168" s="70">
        <v>0</v>
      </c>
      <c r="E8168" s="111">
        <f t="shared" si="131"/>
        <v>138710</v>
      </c>
      <c r="F8168" s="69">
        <v>7.1341352545193915E-2</v>
      </c>
      <c r="G8168" s="69">
        <v>8.4196428571428575E-2</v>
      </c>
    </row>
    <row r="8169" spans="1:7" x14ac:dyDescent="0.3">
      <c r="A8169" s="24">
        <v>43047</v>
      </c>
      <c r="B8169" s="66">
        <v>1465.81348</v>
      </c>
      <c r="C8169" s="66">
        <v>1680</v>
      </c>
      <c r="D8169" s="70">
        <v>0</v>
      </c>
      <c r="E8169" s="111">
        <f t="shared" si="131"/>
        <v>138710</v>
      </c>
      <c r="F8169" s="69">
        <v>7.1341352545193915E-2</v>
      </c>
      <c r="G8169" s="69">
        <v>8.4196428571428575E-2</v>
      </c>
    </row>
    <row r="8170" spans="1:7" x14ac:dyDescent="0.3">
      <c r="A8170" s="24">
        <v>43048</v>
      </c>
      <c r="B8170" s="66">
        <v>1465.81348</v>
      </c>
      <c r="C8170" s="66">
        <v>1680</v>
      </c>
      <c r="D8170" s="70">
        <v>0</v>
      </c>
      <c r="E8170" s="111">
        <f t="shared" si="131"/>
        <v>138710</v>
      </c>
      <c r="F8170" s="69">
        <v>7.1341352545193915E-2</v>
      </c>
      <c r="G8170" s="69">
        <v>8.4196428571428575E-2</v>
      </c>
    </row>
    <row r="8171" spans="1:7" x14ac:dyDescent="0.3">
      <c r="A8171" s="24">
        <v>43049</v>
      </c>
      <c r="B8171" s="66">
        <v>1465.81348</v>
      </c>
      <c r="C8171" s="66">
        <v>1680</v>
      </c>
      <c r="D8171" s="70">
        <v>0</v>
      </c>
      <c r="E8171" s="111">
        <f t="shared" si="131"/>
        <v>138710</v>
      </c>
      <c r="F8171" s="69">
        <v>7.1341352545193915E-2</v>
      </c>
      <c r="G8171" s="69">
        <v>8.4196428571428575E-2</v>
      </c>
    </row>
    <row r="8172" spans="1:7" x14ac:dyDescent="0.3">
      <c r="A8172" s="24">
        <v>43050</v>
      </c>
      <c r="B8172" s="66">
        <v>1465.81348</v>
      </c>
      <c r="C8172" s="66">
        <v>1680</v>
      </c>
      <c r="D8172" s="70">
        <v>0</v>
      </c>
      <c r="E8172" s="111">
        <f t="shared" si="131"/>
        <v>138710</v>
      </c>
      <c r="F8172" s="69">
        <v>7.1341352545193915E-2</v>
      </c>
      <c r="G8172" s="69">
        <v>8.4196428571428575E-2</v>
      </c>
    </row>
    <row r="8173" spans="1:7" x14ac:dyDescent="0.3">
      <c r="A8173" s="24">
        <v>43051</v>
      </c>
      <c r="B8173" s="66">
        <v>1465.81348</v>
      </c>
      <c r="C8173" s="66">
        <v>1680</v>
      </c>
      <c r="D8173" s="70">
        <v>0</v>
      </c>
      <c r="E8173" s="111">
        <f t="shared" si="131"/>
        <v>138710</v>
      </c>
      <c r="F8173" s="69">
        <v>7.1341352545193915E-2</v>
      </c>
      <c r="G8173" s="69">
        <v>8.4196428571428575E-2</v>
      </c>
    </row>
    <row r="8174" spans="1:7" x14ac:dyDescent="0.3">
      <c r="A8174" s="24">
        <v>43052</v>
      </c>
      <c r="B8174" s="66">
        <v>1465.81348</v>
      </c>
      <c r="C8174" s="66">
        <v>1709.5</v>
      </c>
      <c r="D8174" s="70">
        <v>0</v>
      </c>
      <c r="E8174" s="111">
        <f t="shared" si="131"/>
        <v>138710</v>
      </c>
      <c r="F8174" s="69">
        <v>7.1341352545193915E-2</v>
      </c>
      <c r="G8174" s="69">
        <v>8.4196428571428575E-2</v>
      </c>
    </row>
    <row r="8175" spans="1:7" x14ac:dyDescent="0.3">
      <c r="A8175" s="24">
        <v>43053</v>
      </c>
      <c r="B8175" s="66">
        <v>1465.81348</v>
      </c>
      <c r="C8175" s="66">
        <v>1705</v>
      </c>
      <c r="D8175" s="70">
        <v>0</v>
      </c>
      <c r="E8175" s="111">
        <f t="shared" si="131"/>
        <v>138710</v>
      </c>
      <c r="F8175" s="69">
        <v>7.1341352545193915E-2</v>
      </c>
      <c r="G8175" s="69">
        <v>8.4196428571428575E-2</v>
      </c>
    </row>
    <row r="8176" spans="1:7" x14ac:dyDescent="0.3">
      <c r="A8176" s="24">
        <v>43054</v>
      </c>
      <c r="B8176" s="66">
        <v>1465.81348</v>
      </c>
      <c r="C8176" s="66">
        <v>1690</v>
      </c>
      <c r="D8176" s="70">
        <v>0</v>
      </c>
      <c r="E8176" s="111">
        <f t="shared" si="131"/>
        <v>138710</v>
      </c>
      <c r="F8176" s="69">
        <v>7.1341352545193915E-2</v>
      </c>
      <c r="G8176" s="69">
        <v>8.4196428571428575E-2</v>
      </c>
    </row>
    <row r="8177" spans="1:7" x14ac:dyDescent="0.3">
      <c r="A8177" s="24">
        <v>43055</v>
      </c>
      <c r="B8177" s="66">
        <v>1465.81348</v>
      </c>
      <c r="C8177" s="66">
        <v>1690</v>
      </c>
      <c r="D8177" s="70">
        <v>0</v>
      </c>
      <c r="E8177" s="111">
        <f t="shared" si="131"/>
        <v>138710</v>
      </c>
      <c r="F8177" s="69">
        <v>7.1341352545193915E-2</v>
      </c>
      <c r="G8177" s="69">
        <v>8.4196428571428575E-2</v>
      </c>
    </row>
    <row r="8178" spans="1:7" x14ac:dyDescent="0.3">
      <c r="A8178" s="24">
        <v>43056</v>
      </c>
      <c r="B8178" s="66">
        <v>1465.81348</v>
      </c>
      <c r="C8178" s="66">
        <v>1700</v>
      </c>
      <c r="D8178" s="70">
        <v>0</v>
      </c>
      <c r="E8178" s="111">
        <f t="shared" si="131"/>
        <v>138710</v>
      </c>
      <c r="F8178" s="69">
        <v>7.1341352545193915E-2</v>
      </c>
      <c r="G8178" s="69">
        <v>8.4196428571428575E-2</v>
      </c>
    </row>
    <row r="8179" spans="1:7" x14ac:dyDescent="0.3">
      <c r="A8179" s="24">
        <v>43057</v>
      </c>
      <c r="B8179" s="66">
        <v>1465.81348</v>
      </c>
      <c r="C8179" s="66">
        <v>1700</v>
      </c>
      <c r="D8179" s="70">
        <v>0</v>
      </c>
      <c r="E8179" s="111">
        <f t="shared" si="131"/>
        <v>138710</v>
      </c>
      <c r="F8179" s="69">
        <v>7.1341352545193915E-2</v>
      </c>
      <c r="G8179" s="69">
        <v>8.4196428571428575E-2</v>
      </c>
    </row>
    <row r="8180" spans="1:7" x14ac:dyDescent="0.3">
      <c r="A8180" s="24">
        <v>43058</v>
      </c>
      <c r="B8180" s="66">
        <v>1465.81348</v>
      </c>
      <c r="C8180" s="66">
        <v>1700</v>
      </c>
      <c r="D8180" s="70">
        <v>0</v>
      </c>
      <c r="E8180" s="111">
        <f t="shared" si="131"/>
        <v>138710</v>
      </c>
      <c r="F8180" s="69">
        <v>7.1341352545193915E-2</v>
      </c>
      <c r="G8180" s="69">
        <v>8.4196428571428575E-2</v>
      </c>
    </row>
    <row r="8181" spans="1:7" x14ac:dyDescent="0.3">
      <c r="A8181" s="24">
        <v>43059</v>
      </c>
      <c r="B8181" s="66">
        <v>1465.81348</v>
      </c>
      <c r="C8181" s="66">
        <v>1680</v>
      </c>
      <c r="D8181" s="70">
        <v>0</v>
      </c>
      <c r="E8181" s="111">
        <f t="shared" si="131"/>
        <v>138710</v>
      </c>
      <c r="F8181" s="69">
        <v>7.1341352545193915E-2</v>
      </c>
      <c r="G8181" s="69">
        <v>8.4196428571428575E-2</v>
      </c>
    </row>
    <row r="8182" spans="1:7" x14ac:dyDescent="0.3">
      <c r="A8182" s="24">
        <v>43060</v>
      </c>
      <c r="B8182" s="66">
        <v>1465.81348</v>
      </c>
      <c r="C8182" s="66">
        <v>1655</v>
      </c>
      <c r="D8182" s="70">
        <v>0</v>
      </c>
      <c r="E8182" s="111">
        <f t="shared" si="131"/>
        <v>138710</v>
      </c>
      <c r="F8182" s="69">
        <v>7.1341352545193915E-2</v>
      </c>
      <c r="G8182" s="69">
        <v>8.4196428571428575E-2</v>
      </c>
    </row>
    <row r="8183" spans="1:7" x14ac:dyDescent="0.3">
      <c r="A8183" s="24">
        <v>43061</v>
      </c>
      <c r="B8183" s="66">
        <v>1465.81348</v>
      </c>
      <c r="C8183" s="66">
        <v>1630</v>
      </c>
      <c r="D8183" s="70">
        <v>0</v>
      </c>
      <c r="E8183" s="111">
        <f t="shared" si="131"/>
        <v>138710</v>
      </c>
      <c r="F8183" s="69">
        <v>7.1341352545193915E-2</v>
      </c>
      <c r="G8183" s="69">
        <v>8.4196428571428575E-2</v>
      </c>
    </row>
    <row r="8184" spans="1:7" x14ac:dyDescent="0.3">
      <c r="A8184" s="24">
        <v>43062</v>
      </c>
      <c r="B8184" s="66">
        <v>1465.81348</v>
      </c>
      <c r="C8184" s="66">
        <v>1610</v>
      </c>
      <c r="D8184" s="70">
        <v>0</v>
      </c>
      <c r="E8184" s="111">
        <f t="shared" si="131"/>
        <v>138710</v>
      </c>
      <c r="F8184" s="69">
        <v>7.1341352545193915E-2</v>
      </c>
      <c r="G8184" s="69">
        <v>8.4195676824314072E-2</v>
      </c>
    </row>
    <row r="8185" spans="1:7" x14ac:dyDescent="0.3">
      <c r="A8185" s="24">
        <v>43063</v>
      </c>
      <c r="B8185" s="66">
        <v>1465.81348</v>
      </c>
      <c r="C8185" s="66">
        <v>1600</v>
      </c>
      <c r="D8185" s="70">
        <v>0</v>
      </c>
      <c r="E8185" s="111">
        <f t="shared" si="131"/>
        <v>138710</v>
      </c>
      <c r="F8185" s="69">
        <v>7.1341352545193915E-2</v>
      </c>
      <c r="G8185" s="69">
        <v>8.4121320249776976E-2</v>
      </c>
    </row>
    <row r="8186" spans="1:7" x14ac:dyDescent="0.3">
      <c r="A8186" s="24">
        <v>43064</v>
      </c>
      <c r="B8186" s="66">
        <v>1465.81348</v>
      </c>
      <c r="C8186" s="66">
        <v>1600</v>
      </c>
      <c r="D8186" s="70">
        <v>0</v>
      </c>
      <c r="E8186" s="111">
        <f t="shared" si="131"/>
        <v>138710</v>
      </c>
      <c r="F8186" s="69">
        <v>7.1341352545193915E-2</v>
      </c>
      <c r="G8186" s="69">
        <v>8.4121320249776976E-2</v>
      </c>
    </row>
    <row r="8187" spans="1:7" x14ac:dyDescent="0.3">
      <c r="A8187" s="24">
        <v>43065</v>
      </c>
      <c r="B8187" s="66">
        <v>1465.81348</v>
      </c>
      <c r="C8187" s="66">
        <v>1600</v>
      </c>
      <c r="D8187" s="70">
        <v>0</v>
      </c>
      <c r="E8187" s="111">
        <f t="shared" si="131"/>
        <v>138710</v>
      </c>
      <c r="F8187" s="69">
        <v>7.1341352545193915E-2</v>
      </c>
      <c r="G8187" s="69">
        <v>8.4121320249776976E-2</v>
      </c>
    </row>
    <row r="8188" spans="1:7" x14ac:dyDescent="0.3">
      <c r="A8188" s="24">
        <v>43066</v>
      </c>
      <c r="B8188" s="66">
        <v>1465.81348</v>
      </c>
      <c r="C8188" s="66">
        <v>1580</v>
      </c>
      <c r="D8188" s="70">
        <v>0</v>
      </c>
      <c r="E8188" s="111">
        <f t="shared" si="131"/>
        <v>138710</v>
      </c>
      <c r="F8188" s="69">
        <v>7.1341352545193915E-2</v>
      </c>
      <c r="G8188" s="69">
        <v>8.4121320249776976E-2</v>
      </c>
    </row>
    <row r="8189" spans="1:7" x14ac:dyDescent="0.3">
      <c r="A8189" s="24">
        <v>43067</v>
      </c>
      <c r="B8189" s="66">
        <v>1465.81348</v>
      </c>
      <c r="C8189" s="66">
        <v>1579</v>
      </c>
      <c r="D8189" s="70">
        <v>0</v>
      </c>
      <c r="E8189" s="111">
        <f t="shared" si="131"/>
        <v>138710</v>
      </c>
      <c r="F8189" s="69">
        <v>7.1341352545193915E-2</v>
      </c>
      <c r="G8189" s="69">
        <v>8.4046345811051693E-2</v>
      </c>
    </row>
    <row r="8190" spans="1:7" x14ac:dyDescent="0.3">
      <c r="A8190" s="24">
        <v>43068</v>
      </c>
      <c r="B8190" s="66">
        <v>1465.81348</v>
      </c>
      <c r="C8190" s="66">
        <v>1544</v>
      </c>
      <c r="D8190" s="70">
        <v>0</v>
      </c>
      <c r="E8190" s="111">
        <f t="shared" si="131"/>
        <v>138710</v>
      </c>
      <c r="F8190" s="69">
        <v>7.1341352545193915E-2</v>
      </c>
      <c r="G8190" s="69">
        <v>8.3971504897595722E-2</v>
      </c>
    </row>
    <row r="8191" spans="1:7" x14ac:dyDescent="0.3">
      <c r="A8191" s="24">
        <v>43069</v>
      </c>
      <c r="B8191" s="66">
        <v>1465.81348</v>
      </c>
      <c r="C8191" s="66">
        <v>1540</v>
      </c>
      <c r="D8191" s="70">
        <v>0</v>
      </c>
      <c r="E8191" s="111">
        <f t="shared" si="131"/>
        <v>138710</v>
      </c>
      <c r="F8191" s="69">
        <v>7.1341352545193915E-2</v>
      </c>
      <c r="G8191" s="69">
        <v>8.4046345811051693E-2</v>
      </c>
    </row>
    <row r="8192" spans="1:7" x14ac:dyDescent="0.3">
      <c r="A8192" s="24">
        <v>43070</v>
      </c>
      <c r="B8192" s="66">
        <v>1465.81348</v>
      </c>
      <c r="C8192" s="66">
        <v>1539.9</v>
      </c>
      <c r="D8192" s="70">
        <v>0</v>
      </c>
      <c r="E8192" s="111">
        <f t="shared" si="131"/>
        <v>138710</v>
      </c>
      <c r="F8192" s="69">
        <v>7.1341352545193915E-2</v>
      </c>
      <c r="G8192" s="69">
        <v>8.4046345811051693E-2</v>
      </c>
    </row>
    <row r="8193" spans="1:7" x14ac:dyDescent="0.3">
      <c r="A8193" s="24">
        <v>43071</v>
      </c>
      <c r="B8193" s="66">
        <v>1465.81348</v>
      </c>
      <c r="C8193" s="66">
        <v>1539.9</v>
      </c>
      <c r="D8193" s="70">
        <v>0</v>
      </c>
      <c r="E8193" s="111">
        <f t="shared" si="131"/>
        <v>138710</v>
      </c>
      <c r="F8193" s="69">
        <v>7.1341352545193915E-2</v>
      </c>
      <c r="G8193" s="69">
        <v>8.4046345811051693E-2</v>
      </c>
    </row>
    <row r="8194" spans="1:7" x14ac:dyDescent="0.3">
      <c r="A8194" s="24">
        <v>43072</v>
      </c>
      <c r="B8194" s="66">
        <v>1465.81348</v>
      </c>
      <c r="C8194" s="66">
        <v>1539.9</v>
      </c>
      <c r="D8194" s="70">
        <v>0</v>
      </c>
      <c r="E8194" s="111">
        <f t="shared" si="131"/>
        <v>138710</v>
      </c>
      <c r="F8194" s="69">
        <v>7.1341352545193915E-2</v>
      </c>
      <c r="G8194" s="69">
        <v>8.4046345811051693E-2</v>
      </c>
    </row>
    <row r="8195" spans="1:7" x14ac:dyDescent="0.3">
      <c r="A8195" s="24">
        <v>43073</v>
      </c>
      <c r="B8195" s="66">
        <v>1465.81348</v>
      </c>
      <c r="C8195" s="66">
        <v>1550</v>
      </c>
      <c r="D8195" s="70">
        <v>0</v>
      </c>
      <c r="E8195" s="111">
        <f t="shared" si="131"/>
        <v>138710</v>
      </c>
      <c r="F8195" s="69">
        <v>7.1341352545193915E-2</v>
      </c>
      <c r="G8195" s="69">
        <v>8.4121320249776976E-2</v>
      </c>
    </row>
    <row r="8196" spans="1:7" x14ac:dyDescent="0.3">
      <c r="A8196" s="24">
        <v>43074</v>
      </c>
      <c r="B8196" s="66">
        <v>1465.81348</v>
      </c>
      <c r="C8196" s="66">
        <v>1549.9</v>
      </c>
      <c r="D8196" s="70">
        <v>0</v>
      </c>
      <c r="E8196" s="111">
        <f t="shared" si="131"/>
        <v>138710</v>
      </c>
      <c r="F8196" s="69">
        <v>7.1341352545193915E-2</v>
      </c>
      <c r="G8196" s="69">
        <v>8.4196428571428575E-2</v>
      </c>
    </row>
    <row r="8197" spans="1:7" x14ac:dyDescent="0.3">
      <c r="A8197" s="24">
        <v>43075</v>
      </c>
      <c r="B8197" s="66">
        <v>1465.81348</v>
      </c>
      <c r="C8197" s="66">
        <v>1540</v>
      </c>
      <c r="D8197" s="70">
        <v>0</v>
      </c>
      <c r="E8197" s="111">
        <f t="shared" si="131"/>
        <v>138710</v>
      </c>
      <c r="F8197" s="69">
        <v>7.1341352545193915E-2</v>
      </c>
      <c r="G8197" s="69">
        <v>8.345132743362832E-2</v>
      </c>
    </row>
    <row r="8198" spans="1:7" x14ac:dyDescent="0.3">
      <c r="A8198" s="24">
        <v>43076</v>
      </c>
      <c r="B8198" s="66">
        <v>1465.81348</v>
      </c>
      <c r="C8198" s="66">
        <v>1540</v>
      </c>
      <c r="D8198" s="70">
        <v>0</v>
      </c>
      <c r="E8198" s="111">
        <f t="shared" si="131"/>
        <v>138710</v>
      </c>
      <c r="F8198" s="69">
        <v>7.1341352545193915E-2</v>
      </c>
      <c r="G8198" s="69">
        <v>8.345132743362832E-2</v>
      </c>
    </row>
    <row r="8199" spans="1:7" x14ac:dyDescent="0.3">
      <c r="A8199" s="24">
        <v>43077</v>
      </c>
      <c r="B8199" s="66">
        <v>1465.81348</v>
      </c>
      <c r="C8199" s="66">
        <v>1540</v>
      </c>
      <c r="D8199" s="70">
        <v>0</v>
      </c>
      <c r="E8199" s="111">
        <f t="shared" si="131"/>
        <v>138710</v>
      </c>
      <c r="F8199" s="69">
        <v>7.0949146089784157E-2</v>
      </c>
      <c r="G8199" s="69">
        <v>8.345132743362832E-2</v>
      </c>
    </row>
    <row r="8200" spans="1:7" x14ac:dyDescent="0.3">
      <c r="A8200" s="24">
        <v>43078</v>
      </c>
      <c r="B8200" s="66">
        <v>1465.81348</v>
      </c>
      <c r="C8200" s="66">
        <v>1540</v>
      </c>
      <c r="D8200" s="70">
        <v>0</v>
      </c>
      <c r="E8200" s="111">
        <f t="shared" si="131"/>
        <v>138710</v>
      </c>
      <c r="F8200" s="69">
        <v>5.8911114939873797E-2</v>
      </c>
      <c r="G8200" s="69">
        <v>6.929203539823009E-2</v>
      </c>
    </row>
    <row r="8201" spans="1:7" x14ac:dyDescent="0.3">
      <c r="A8201" s="24">
        <v>43079</v>
      </c>
      <c r="B8201" s="66">
        <v>1465.81348</v>
      </c>
      <c r="C8201" s="66">
        <v>1540</v>
      </c>
      <c r="D8201" s="70">
        <v>0</v>
      </c>
      <c r="E8201" s="111">
        <f t="shared" ref="E8201:E8264" si="132">+E8200</f>
        <v>138710</v>
      </c>
      <c r="F8201" s="69">
        <v>5.8911114939873797E-2</v>
      </c>
      <c r="G8201" s="69">
        <v>6.929203539823009E-2</v>
      </c>
    </row>
    <row r="8202" spans="1:7" x14ac:dyDescent="0.3">
      <c r="A8202" s="24">
        <v>43080</v>
      </c>
      <c r="B8202" s="66">
        <v>1465.81348</v>
      </c>
      <c r="C8202" s="66">
        <v>1550</v>
      </c>
      <c r="D8202" s="70">
        <v>0</v>
      </c>
      <c r="E8202" s="111">
        <f t="shared" si="132"/>
        <v>138710</v>
      </c>
      <c r="F8202" s="69">
        <v>5.8911114939873797E-2</v>
      </c>
      <c r="G8202" s="69">
        <v>6.929203539823009E-2</v>
      </c>
    </row>
    <row r="8203" spans="1:7" x14ac:dyDescent="0.3">
      <c r="A8203" s="24">
        <v>43081</v>
      </c>
      <c r="B8203" s="66">
        <v>1465.81348</v>
      </c>
      <c r="C8203" s="66">
        <v>1550</v>
      </c>
      <c r="D8203" s="70">
        <v>0</v>
      </c>
      <c r="E8203" s="111">
        <f t="shared" si="132"/>
        <v>138710</v>
      </c>
      <c r="F8203" s="69">
        <v>5.8911114939873797E-2</v>
      </c>
      <c r="G8203" s="69">
        <v>6.9285903902309529E-2</v>
      </c>
    </row>
    <row r="8204" spans="1:7" x14ac:dyDescent="0.3">
      <c r="A8204" s="24">
        <v>43082</v>
      </c>
      <c r="B8204" s="66">
        <v>1465.81348</v>
      </c>
      <c r="C8204" s="66">
        <v>1548</v>
      </c>
      <c r="D8204" s="70">
        <v>0</v>
      </c>
      <c r="E8204" s="111">
        <f t="shared" si="132"/>
        <v>138710</v>
      </c>
      <c r="F8204" s="69">
        <v>5.8911114939873797E-2</v>
      </c>
      <c r="G8204" s="69">
        <v>6.8684210526315792E-2</v>
      </c>
    </row>
    <row r="8205" spans="1:7" x14ac:dyDescent="0.3">
      <c r="A8205" s="24">
        <v>43083</v>
      </c>
      <c r="B8205" s="66">
        <v>1465.81348</v>
      </c>
      <c r="C8205" s="66">
        <v>1546</v>
      </c>
      <c r="D8205" s="70">
        <v>0</v>
      </c>
      <c r="E8205" s="111">
        <f t="shared" si="132"/>
        <v>138710</v>
      </c>
      <c r="F8205" s="69">
        <v>5.8911114939873797E-2</v>
      </c>
      <c r="G8205" s="69">
        <v>6.7887897399971572E-2</v>
      </c>
    </row>
    <row r="8206" spans="1:7" x14ac:dyDescent="0.3">
      <c r="A8206" s="24">
        <v>43084</v>
      </c>
      <c r="B8206" s="66">
        <v>1465.81348</v>
      </c>
      <c r="C8206" s="66">
        <v>1545</v>
      </c>
      <c r="D8206" s="70">
        <v>0</v>
      </c>
      <c r="E8206" s="111">
        <f t="shared" si="132"/>
        <v>138710</v>
      </c>
      <c r="F8206" s="69">
        <v>5.8911114939873797E-2</v>
      </c>
      <c r="G8206" s="69">
        <v>6.867818612402421E-2</v>
      </c>
    </row>
    <row r="8207" spans="1:7" x14ac:dyDescent="0.3">
      <c r="A8207" s="24">
        <v>43085</v>
      </c>
      <c r="B8207" s="66">
        <v>1465.81348</v>
      </c>
      <c r="C8207" s="66">
        <v>1545</v>
      </c>
      <c r="D8207" s="70">
        <v>0</v>
      </c>
      <c r="E8207" s="111">
        <f t="shared" si="132"/>
        <v>138710</v>
      </c>
      <c r="F8207" s="69">
        <v>5.8911114939873797E-2</v>
      </c>
      <c r="G8207" s="69">
        <v>6.867818612402421E-2</v>
      </c>
    </row>
    <row r="8208" spans="1:7" x14ac:dyDescent="0.3">
      <c r="A8208" s="24">
        <v>43086</v>
      </c>
      <c r="B8208" s="66">
        <v>1465.81348</v>
      </c>
      <c r="C8208" s="66">
        <v>1545</v>
      </c>
      <c r="D8208" s="70">
        <v>0</v>
      </c>
      <c r="E8208" s="111">
        <f t="shared" si="132"/>
        <v>138710</v>
      </c>
      <c r="F8208" s="69">
        <v>5.8911114939873797E-2</v>
      </c>
      <c r="G8208" s="69">
        <v>6.867818612402421E-2</v>
      </c>
    </row>
    <row r="8209" spans="1:7" x14ac:dyDescent="0.3">
      <c r="A8209" s="24">
        <v>43087</v>
      </c>
      <c r="B8209" s="66">
        <v>1465.81348</v>
      </c>
      <c r="C8209" s="66">
        <v>1670</v>
      </c>
      <c r="D8209" s="70">
        <v>0</v>
      </c>
      <c r="E8209" s="111">
        <f t="shared" si="132"/>
        <v>138710</v>
      </c>
      <c r="F8209" s="69">
        <v>5.8911114939873797E-2</v>
      </c>
      <c r="G8209" s="69">
        <v>6.8086956521739128E-2</v>
      </c>
    </row>
    <row r="8210" spans="1:7" x14ac:dyDescent="0.3">
      <c r="A8210" s="24">
        <v>43088</v>
      </c>
      <c r="B8210" s="66">
        <v>1465.81348</v>
      </c>
      <c r="C8210" s="66">
        <v>1680</v>
      </c>
      <c r="D8210" s="70">
        <v>0</v>
      </c>
      <c r="E8210" s="111">
        <f t="shared" si="132"/>
        <v>138710</v>
      </c>
      <c r="F8210" s="69">
        <v>5.8911114939873797E-2</v>
      </c>
      <c r="G8210" s="69">
        <v>6.8092877641534044E-2</v>
      </c>
    </row>
    <row r="8211" spans="1:7" x14ac:dyDescent="0.3">
      <c r="A8211" s="24">
        <v>43089</v>
      </c>
      <c r="B8211" s="66">
        <v>1465.81348</v>
      </c>
      <c r="C8211" s="66">
        <v>1680.2</v>
      </c>
      <c r="D8211" s="70">
        <v>16.5</v>
      </c>
      <c r="E8211" s="111">
        <f t="shared" si="132"/>
        <v>138710</v>
      </c>
      <c r="F8211" s="69">
        <v>7.1325334563218851E-2</v>
      </c>
      <c r="G8211" s="69">
        <v>8.2441951474041208E-2</v>
      </c>
    </row>
    <row r="8212" spans="1:7" x14ac:dyDescent="0.3">
      <c r="A8212" s="24">
        <v>43090</v>
      </c>
      <c r="B8212" s="66">
        <v>1465.81348</v>
      </c>
      <c r="C8212" s="66">
        <v>1680</v>
      </c>
      <c r="D8212" s="70">
        <v>0</v>
      </c>
      <c r="E8212" s="111">
        <f t="shared" si="132"/>
        <v>138710</v>
      </c>
      <c r="F8212" s="69">
        <v>7.1325334563218851E-2</v>
      </c>
      <c r="G8212" s="69">
        <v>8.2506527415143596E-2</v>
      </c>
    </row>
    <row r="8213" spans="1:7" x14ac:dyDescent="0.3">
      <c r="A8213" s="24">
        <v>43091</v>
      </c>
      <c r="B8213" s="66">
        <v>1465.81348</v>
      </c>
      <c r="C8213" s="66">
        <v>1670</v>
      </c>
      <c r="D8213" s="70">
        <v>0</v>
      </c>
      <c r="E8213" s="111">
        <f t="shared" si="132"/>
        <v>138710</v>
      </c>
      <c r="F8213" s="69">
        <v>7.1325334563218851E-2</v>
      </c>
      <c r="G8213" s="69">
        <v>8.2513708764905547E-2</v>
      </c>
    </row>
    <row r="8214" spans="1:7" x14ac:dyDescent="0.3">
      <c r="A8214" s="24">
        <v>43092</v>
      </c>
      <c r="B8214" s="66">
        <v>1465.81348</v>
      </c>
      <c r="C8214" s="66">
        <v>1670</v>
      </c>
      <c r="D8214" s="70">
        <v>0</v>
      </c>
      <c r="E8214" s="111">
        <f t="shared" si="132"/>
        <v>138710</v>
      </c>
      <c r="F8214" s="69">
        <v>7.1325334563218851E-2</v>
      </c>
      <c r="G8214" s="69">
        <v>8.2513708764905547E-2</v>
      </c>
    </row>
    <row r="8215" spans="1:7" x14ac:dyDescent="0.3">
      <c r="A8215" s="24">
        <v>43093</v>
      </c>
      <c r="B8215" s="66">
        <v>1465.81348</v>
      </c>
      <c r="C8215" s="66">
        <v>1670</v>
      </c>
      <c r="D8215" s="70">
        <v>0</v>
      </c>
      <c r="E8215" s="111">
        <f t="shared" si="132"/>
        <v>138710</v>
      </c>
      <c r="F8215" s="69">
        <v>7.1325334563218851E-2</v>
      </c>
      <c r="G8215" s="69">
        <v>8.2513708764905547E-2</v>
      </c>
    </row>
    <row r="8216" spans="1:7" x14ac:dyDescent="0.3">
      <c r="A8216" s="24">
        <v>43094</v>
      </c>
      <c r="B8216" s="66">
        <v>1465.81348</v>
      </c>
      <c r="C8216" s="66">
        <v>1670</v>
      </c>
      <c r="D8216" s="70">
        <v>0</v>
      </c>
      <c r="E8216" s="111">
        <f t="shared" si="132"/>
        <v>138710</v>
      </c>
      <c r="F8216" s="69">
        <v>7.1325334563218851E-2</v>
      </c>
      <c r="G8216" s="69">
        <v>8.2434782608695648E-2</v>
      </c>
    </row>
    <row r="8217" spans="1:7" x14ac:dyDescent="0.3">
      <c r="A8217" s="24">
        <v>43095</v>
      </c>
      <c r="B8217" s="66">
        <v>1465.81348</v>
      </c>
      <c r="C8217" s="66">
        <v>1670</v>
      </c>
      <c r="D8217" s="70">
        <v>0</v>
      </c>
      <c r="E8217" s="111">
        <f t="shared" si="132"/>
        <v>138710</v>
      </c>
      <c r="F8217" s="69">
        <v>7.1325334563218851E-2</v>
      </c>
      <c r="G8217" s="69">
        <v>8.2434782608695648E-2</v>
      </c>
    </row>
    <row r="8218" spans="1:7" x14ac:dyDescent="0.3">
      <c r="A8218" s="24">
        <v>43096</v>
      </c>
      <c r="B8218" s="66">
        <v>1465.81348</v>
      </c>
      <c r="C8218" s="66">
        <v>1670</v>
      </c>
      <c r="D8218" s="70">
        <v>0</v>
      </c>
      <c r="E8218" s="111">
        <f t="shared" si="132"/>
        <v>138710</v>
      </c>
      <c r="F8218" s="69">
        <v>7.1325334563218851E-2</v>
      </c>
      <c r="G8218" s="69">
        <v>8.2434782608695648E-2</v>
      </c>
    </row>
    <row r="8219" spans="1:7" x14ac:dyDescent="0.3">
      <c r="A8219" s="24">
        <v>43097</v>
      </c>
      <c r="B8219" s="66">
        <v>1465.81348</v>
      </c>
      <c r="C8219" s="66">
        <v>1670</v>
      </c>
      <c r="D8219" s="70">
        <v>0</v>
      </c>
      <c r="E8219" s="111">
        <f t="shared" si="132"/>
        <v>138710</v>
      </c>
      <c r="F8219" s="69">
        <v>7.1325334563218851E-2</v>
      </c>
      <c r="G8219" s="69">
        <v>8.2434782608695648E-2</v>
      </c>
    </row>
    <row r="8220" spans="1:7" x14ac:dyDescent="0.3">
      <c r="A8220" s="24">
        <v>43098</v>
      </c>
      <c r="B8220" s="66">
        <v>1465.81348</v>
      </c>
      <c r="C8220" s="66">
        <v>1670.1</v>
      </c>
      <c r="D8220" s="70">
        <v>0</v>
      </c>
      <c r="E8220" s="111">
        <f t="shared" si="132"/>
        <v>138710</v>
      </c>
      <c r="F8220" s="69">
        <v>7.1325334563218851E-2</v>
      </c>
      <c r="G8220" s="69">
        <v>8.2434782608695648E-2</v>
      </c>
    </row>
    <row r="8221" spans="1:7" x14ac:dyDescent="0.3">
      <c r="A8221" s="24">
        <v>43099</v>
      </c>
      <c r="B8221" s="66">
        <v>1465.81348</v>
      </c>
      <c r="C8221" s="66">
        <v>1670.1</v>
      </c>
      <c r="D8221" s="70">
        <v>0</v>
      </c>
      <c r="E8221" s="111">
        <f t="shared" si="132"/>
        <v>138710</v>
      </c>
      <c r="F8221" s="69">
        <v>7.1325334563218851E-2</v>
      </c>
      <c r="G8221" s="69">
        <v>8.2434782608695648E-2</v>
      </c>
    </row>
    <row r="8222" spans="1:7" x14ac:dyDescent="0.3">
      <c r="A8222" s="24">
        <v>43100</v>
      </c>
      <c r="B8222" s="66">
        <v>1465.81348</v>
      </c>
      <c r="C8222" s="66">
        <v>1670.1</v>
      </c>
      <c r="D8222" s="70">
        <v>0</v>
      </c>
      <c r="E8222" s="111">
        <f t="shared" si="132"/>
        <v>138710</v>
      </c>
      <c r="F8222" s="69">
        <v>7.1325334563218851E-2</v>
      </c>
      <c r="G8222" s="69">
        <v>8.2434782608695648E-2</v>
      </c>
    </row>
    <row r="8223" spans="1:7" x14ac:dyDescent="0.3">
      <c r="A8223" s="24">
        <v>43101</v>
      </c>
      <c r="B8223" s="66">
        <v>1465.81348</v>
      </c>
      <c r="C8223" s="66">
        <v>1670.1</v>
      </c>
      <c r="D8223" s="70">
        <v>0</v>
      </c>
      <c r="E8223" s="111">
        <f t="shared" si="132"/>
        <v>138710</v>
      </c>
      <c r="F8223" s="69">
        <v>7.1325334563218851E-2</v>
      </c>
      <c r="G8223" s="69">
        <v>8.2434782608695648E-2</v>
      </c>
    </row>
    <row r="8224" spans="1:7" x14ac:dyDescent="0.3">
      <c r="A8224" s="24">
        <v>43102</v>
      </c>
      <c r="B8224" s="66">
        <v>1465.81348</v>
      </c>
      <c r="C8224" s="66">
        <v>1714.95</v>
      </c>
      <c r="D8224" s="70">
        <v>0</v>
      </c>
      <c r="E8224" s="111">
        <f t="shared" si="132"/>
        <v>138710</v>
      </c>
      <c r="F8224" s="69">
        <v>7.1325334563218851E-2</v>
      </c>
      <c r="G8224" s="69">
        <v>8.2434782608695648E-2</v>
      </c>
    </row>
    <row r="8225" spans="1:7" x14ac:dyDescent="0.3">
      <c r="A8225" s="24">
        <v>43103</v>
      </c>
      <c r="B8225" s="66">
        <v>1465.81348</v>
      </c>
      <c r="C8225" s="66">
        <v>1775</v>
      </c>
      <c r="D8225" s="70">
        <v>0</v>
      </c>
      <c r="E8225" s="111">
        <f t="shared" si="132"/>
        <v>138710</v>
      </c>
      <c r="F8225" s="69">
        <v>7.1325334563218851E-2</v>
      </c>
      <c r="G8225" s="69">
        <v>8.2434782608695648E-2</v>
      </c>
    </row>
    <row r="8226" spans="1:7" x14ac:dyDescent="0.3">
      <c r="A8226" s="24">
        <v>43104</v>
      </c>
      <c r="B8226" s="66">
        <v>1465.81348</v>
      </c>
      <c r="C8226" s="66">
        <v>1775.1</v>
      </c>
      <c r="D8226" s="70">
        <v>0</v>
      </c>
      <c r="E8226" s="111">
        <f t="shared" si="132"/>
        <v>138710</v>
      </c>
      <c r="F8226" s="69">
        <v>7.1325334563218851E-2</v>
      </c>
      <c r="G8226" s="69">
        <v>8.239179558491222E-2</v>
      </c>
    </row>
    <row r="8227" spans="1:7" x14ac:dyDescent="0.3">
      <c r="A8227" s="24">
        <v>43105</v>
      </c>
      <c r="B8227" s="66">
        <v>1465.81348</v>
      </c>
      <c r="C8227" s="66">
        <v>1777.5</v>
      </c>
      <c r="D8227" s="70">
        <v>0</v>
      </c>
      <c r="E8227" s="111">
        <f t="shared" si="132"/>
        <v>138710</v>
      </c>
      <c r="F8227" s="69">
        <v>7.1325334563218851E-2</v>
      </c>
      <c r="G8227" s="69">
        <v>8.239179558491222E-2</v>
      </c>
    </row>
    <row r="8228" spans="1:7" x14ac:dyDescent="0.3">
      <c r="A8228" s="24">
        <v>43106</v>
      </c>
      <c r="B8228" s="66">
        <v>1465.81348</v>
      </c>
      <c r="C8228" s="66">
        <v>1777.5</v>
      </c>
      <c r="D8228" s="70">
        <v>0</v>
      </c>
      <c r="E8228" s="111">
        <f t="shared" si="132"/>
        <v>138710</v>
      </c>
      <c r="F8228" s="69">
        <v>7.1325334563218851E-2</v>
      </c>
      <c r="G8228" s="69">
        <v>8.239179558491222E-2</v>
      </c>
    </row>
    <row r="8229" spans="1:7" x14ac:dyDescent="0.3">
      <c r="A8229" s="24">
        <v>43107</v>
      </c>
      <c r="B8229" s="66">
        <v>1465.81348</v>
      </c>
      <c r="C8229" s="66">
        <v>1777.5</v>
      </c>
      <c r="D8229" s="70">
        <v>0</v>
      </c>
      <c r="E8229" s="111">
        <f t="shared" si="132"/>
        <v>138710</v>
      </c>
      <c r="F8229" s="69">
        <v>7.1325334563218851E-2</v>
      </c>
      <c r="G8229" s="69">
        <v>8.239179558491222E-2</v>
      </c>
    </row>
    <row r="8230" spans="1:7" x14ac:dyDescent="0.3">
      <c r="A8230" s="24">
        <v>43108</v>
      </c>
      <c r="B8230" s="66">
        <v>1465.81348</v>
      </c>
      <c r="C8230" s="66">
        <v>1680</v>
      </c>
      <c r="D8230" s="70">
        <v>0</v>
      </c>
      <c r="E8230" s="111">
        <f t="shared" si="132"/>
        <v>138710</v>
      </c>
      <c r="F8230" s="69">
        <v>7.1325334563218851E-2</v>
      </c>
      <c r="G8230" s="69">
        <v>8.239179558491222E-2</v>
      </c>
    </row>
    <row r="8231" spans="1:7" x14ac:dyDescent="0.3">
      <c r="A8231" s="24">
        <v>43109</v>
      </c>
      <c r="B8231" s="66">
        <v>1465.81348</v>
      </c>
      <c r="C8231" s="66">
        <v>1680</v>
      </c>
      <c r="D8231" s="70">
        <v>0</v>
      </c>
      <c r="E8231" s="111">
        <f t="shared" si="132"/>
        <v>138710</v>
      </c>
      <c r="F8231" s="69">
        <v>7.1325334563218851E-2</v>
      </c>
      <c r="G8231" s="69">
        <v>8.0338983050847454E-2</v>
      </c>
    </row>
    <row r="8232" spans="1:7" x14ac:dyDescent="0.3">
      <c r="A8232" s="24">
        <v>43110</v>
      </c>
      <c r="B8232" s="66">
        <v>1465.81348</v>
      </c>
      <c r="C8232" s="66">
        <v>1660.5</v>
      </c>
      <c r="D8232" s="70">
        <v>0</v>
      </c>
      <c r="E8232" s="111">
        <f t="shared" si="132"/>
        <v>138710</v>
      </c>
      <c r="F8232" s="69">
        <v>7.1325334563218851E-2</v>
      </c>
      <c r="G8232" s="69">
        <v>7.8347107438016525E-2</v>
      </c>
    </row>
    <row r="8233" spans="1:7" x14ac:dyDescent="0.3">
      <c r="A8233" s="24">
        <v>43111</v>
      </c>
      <c r="B8233" s="66">
        <v>1465.81348</v>
      </c>
      <c r="C8233" s="66">
        <v>1647</v>
      </c>
      <c r="D8233" s="70">
        <v>0</v>
      </c>
      <c r="E8233" s="111">
        <f t="shared" si="132"/>
        <v>138710</v>
      </c>
      <c r="F8233" s="69">
        <v>7.1325334563218851E-2</v>
      </c>
      <c r="G8233" s="69">
        <v>7.5059382422802842E-2</v>
      </c>
    </row>
    <row r="8234" spans="1:7" x14ac:dyDescent="0.3">
      <c r="A8234" s="24">
        <v>43112</v>
      </c>
      <c r="B8234" s="66">
        <v>1465.81348</v>
      </c>
      <c r="C8234" s="66">
        <v>1650</v>
      </c>
      <c r="D8234" s="70">
        <v>0</v>
      </c>
      <c r="E8234" s="111">
        <f t="shared" si="132"/>
        <v>138710</v>
      </c>
      <c r="F8234" s="69">
        <v>7.1325334563218851E-2</v>
      </c>
      <c r="G8234" s="69">
        <v>7.5357710651828294E-2</v>
      </c>
    </row>
    <row r="8235" spans="1:7" x14ac:dyDescent="0.3">
      <c r="A8235" s="24">
        <v>43113</v>
      </c>
      <c r="B8235" s="66">
        <v>1465.81348</v>
      </c>
      <c r="C8235" s="66">
        <v>1650</v>
      </c>
      <c r="D8235" s="70">
        <v>0</v>
      </c>
      <c r="E8235" s="111">
        <f t="shared" si="132"/>
        <v>138710</v>
      </c>
      <c r="F8235" s="69">
        <v>7.1325334563218851E-2</v>
      </c>
      <c r="G8235" s="69">
        <v>7.5357710651828294E-2</v>
      </c>
    </row>
    <row r="8236" spans="1:7" x14ac:dyDescent="0.3">
      <c r="A8236" s="24">
        <v>43114</v>
      </c>
      <c r="B8236" s="66">
        <v>1465.81348</v>
      </c>
      <c r="C8236" s="66">
        <v>1650</v>
      </c>
      <c r="D8236" s="70">
        <v>0</v>
      </c>
      <c r="E8236" s="111">
        <f t="shared" si="132"/>
        <v>138710</v>
      </c>
      <c r="F8236" s="69">
        <v>7.1325334563218851E-2</v>
      </c>
      <c r="G8236" s="69">
        <v>7.5357710651828294E-2</v>
      </c>
    </row>
    <row r="8237" spans="1:7" x14ac:dyDescent="0.3">
      <c r="A8237" s="24">
        <v>43115</v>
      </c>
      <c r="B8237" s="66">
        <v>1465.81348</v>
      </c>
      <c r="C8237" s="66">
        <v>1650</v>
      </c>
      <c r="D8237" s="70">
        <v>0</v>
      </c>
      <c r="E8237" s="111">
        <f t="shared" si="132"/>
        <v>138710</v>
      </c>
      <c r="F8237" s="69">
        <v>7.1325334563218851E-2</v>
      </c>
      <c r="G8237" s="69">
        <v>7.5543868037293807E-2</v>
      </c>
    </row>
    <row r="8238" spans="1:7" x14ac:dyDescent="0.3">
      <c r="A8238" s="24">
        <v>43116</v>
      </c>
      <c r="B8238" s="66">
        <v>1465.81348</v>
      </c>
      <c r="C8238" s="66">
        <v>1650</v>
      </c>
      <c r="D8238" s="70">
        <v>0</v>
      </c>
      <c r="E8238" s="111">
        <f t="shared" si="132"/>
        <v>138710</v>
      </c>
      <c r="F8238" s="69">
        <v>7.1325334563218851E-2</v>
      </c>
      <c r="G8238" s="69">
        <v>7.5598086124401914E-2</v>
      </c>
    </row>
    <row r="8239" spans="1:7" x14ac:dyDescent="0.3">
      <c r="A8239" s="24">
        <v>43117</v>
      </c>
      <c r="B8239" s="66">
        <v>1465.81348</v>
      </c>
      <c r="C8239" s="66">
        <v>1650</v>
      </c>
      <c r="D8239" s="70">
        <v>0</v>
      </c>
      <c r="E8239" s="111">
        <f t="shared" si="132"/>
        <v>138710</v>
      </c>
      <c r="F8239" s="69">
        <v>7.1325334563218851E-2</v>
      </c>
      <c r="G8239" s="69">
        <v>7.5664458456381187E-2</v>
      </c>
    </row>
    <row r="8240" spans="1:7" x14ac:dyDescent="0.3">
      <c r="A8240" s="24">
        <v>43118</v>
      </c>
      <c r="B8240" s="66">
        <v>1465.81348</v>
      </c>
      <c r="C8240" s="66">
        <v>1680</v>
      </c>
      <c r="D8240" s="70">
        <v>0</v>
      </c>
      <c r="E8240" s="111">
        <f t="shared" si="132"/>
        <v>138710</v>
      </c>
      <c r="F8240" s="69">
        <v>7.1325334563218851E-2</v>
      </c>
      <c r="G8240" s="69">
        <v>7.7073170731707316E-2</v>
      </c>
    </row>
    <row r="8241" spans="1:7" x14ac:dyDescent="0.3">
      <c r="A8241" s="24">
        <v>43119</v>
      </c>
      <c r="B8241" s="66">
        <v>1465.81348</v>
      </c>
      <c r="C8241" s="66">
        <v>1680</v>
      </c>
      <c r="D8241" s="70">
        <v>0</v>
      </c>
      <c r="E8241" s="111">
        <f t="shared" si="132"/>
        <v>138710</v>
      </c>
      <c r="F8241" s="69">
        <v>7.1325334563218851E-2</v>
      </c>
      <c r="G8241" s="69">
        <v>7.7073170731707316E-2</v>
      </c>
    </row>
    <row r="8242" spans="1:7" x14ac:dyDescent="0.3">
      <c r="A8242" s="24">
        <v>43120</v>
      </c>
      <c r="B8242" s="66">
        <v>1465.81348</v>
      </c>
      <c r="C8242" s="66">
        <v>1680</v>
      </c>
      <c r="D8242" s="70">
        <v>0</v>
      </c>
      <c r="E8242" s="111">
        <f t="shared" si="132"/>
        <v>138710</v>
      </c>
      <c r="F8242" s="69">
        <v>7.1325334563218851E-2</v>
      </c>
      <c r="G8242" s="69">
        <v>7.7073170731707316E-2</v>
      </c>
    </row>
    <row r="8243" spans="1:7" x14ac:dyDescent="0.3">
      <c r="A8243" s="24">
        <v>43121</v>
      </c>
      <c r="B8243" s="66">
        <v>1465.81348</v>
      </c>
      <c r="C8243" s="66">
        <v>1680</v>
      </c>
      <c r="D8243" s="70">
        <v>0</v>
      </c>
      <c r="E8243" s="111">
        <f t="shared" si="132"/>
        <v>138710</v>
      </c>
      <c r="F8243" s="69">
        <v>7.1325334563218851E-2</v>
      </c>
      <c r="G8243" s="69">
        <v>7.7073170731707316E-2</v>
      </c>
    </row>
    <row r="8244" spans="1:7" x14ac:dyDescent="0.3">
      <c r="A8244" s="24">
        <v>43122</v>
      </c>
      <c r="B8244" s="66">
        <v>1465.81348</v>
      </c>
      <c r="C8244" s="66">
        <v>1690</v>
      </c>
      <c r="D8244" s="70">
        <v>0</v>
      </c>
      <c r="E8244" s="111">
        <f t="shared" si="132"/>
        <v>138710</v>
      </c>
      <c r="F8244" s="69">
        <v>7.1325334563218851E-2</v>
      </c>
      <c r="G8244" s="69">
        <v>7.7073170731707316E-2</v>
      </c>
    </row>
    <row r="8245" spans="1:7" x14ac:dyDescent="0.3">
      <c r="A8245" s="24">
        <v>43123</v>
      </c>
      <c r="B8245" s="66">
        <v>1465.81348</v>
      </c>
      <c r="C8245" s="66">
        <v>1690</v>
      </c>
      <c r="D8245" s="70">
        <v>0</v>
      </c>
      <c r="E8245" s="111">
        <f t="shared" si="132"/>
        <v>138710</v>
      </c>
      <c r="F8245" s="69">
        <v>7.1325334563218851E-2</v>
      </c>
      <c r="G8245" s="69">
        <v>7.7073170731707316E-2</v>
      </c>
    </row>
    <row r="8246" spans="1:7" x14ac:dyDescent="0.3">
      <c r="A8246" s="24">
        <v>43124</v>
      </c>
      <c r="B8246" s="66">
        <v>1465.81348</v>
      </c>
      <c r="C8246" s="66">
        <v>1690</v>
      </c>
      <c r="D8246" s="70">
        <v>0</v>
      </c>
      <c r="E8246" s="111">
        <f t="shared" si="132"/>
        <v>138710</v>
      </c>
      <c r="F8246" s="69">
        <v>7.1325334563218851E-2</v>
      </c>
      <c r="G8246" s="69">
        <v>7.7073170731707316E-2</v>
      </c>
    </row>
    <row r="8247" spans="1:7" x14ac:dyDescent="0.3">
      <c r="A8247" s="24">
        <v>43125</v>
      </c>
      <c r="B8247" s="66">
        <v>1465.81348</v>
      </c>
      <c r="C8247" s="66">
        <v>1733</v>
      </c>
      <c r="D8247" s="70">
        <v>0</v>
      </c>
      <c r="E8247" s="111">
        <f t="shared" si="132"/>
        <v>138710</v>
      </c>
      <c r="F8247" s="69">
        <v>7.1325334563218851E-2</v>
      </c>
      <c r="G8247" s="69">
        <v>7.7073170731707316E-2</v>
      </c>
    </row>
    <row r="8248" spans="1:7" x14ac:dyDescent="0.3">
      <c r="A8248" s="24">
        <v>43126</v>
      </c>
      <c r="B8248" s="66">
        <v>1465.81348</v>
      </c>
      <c r="C8248" s="66">
        <v>1780</v>
      </c>
      <c r="D8248" s="70">
        <v>0</v>
      </c>
      <c r="E8248" s="111">
        <f t="shared" si="132"/>
        <v>138710</v>
      </c>
      <c r="F8248" s="69">
        <v>7.1325334563218851E-2</v>
      </c>
      <c r="G8248" s="69">
        <v>7.6739509838523234E-2</v>
      </c>
    </row>
    <row r="8249" spans="1:7" x14ac:dyDescent="0.3">
      <c r="A8249" s="24">
        <v>43127</v>
      </c>
      <c r="B8249" s="66">
        <v>1465.81348</v>
      </c>
      <c r="C8249" s="66">
        <v>1780</v>
      </c>
      <c r="D8249" s="70">
        <v>0</v>
      </c>
      <c r="E8249" s="111">
        <f t="shared" si="132"/>
        <v>138710</v>
      </c>
      <c r="F8249" s="69">
        <v>7.1325334563218851E-2</v>
      </c>
      <c r="G8249" s="69">
        <v>7.6739509838523234E-2</v>
      </c>
    </row>
    <row r="8250" spans="1:7" x14ac:dyDescent="0.3">
      <c r="A8250" s="24">
        <v>43128</v>
      </c>
      <c r="B8250" s="66">
        <v>1465.81348</v>
      </c>
      <c r="C8250" s="66">
        <v>1780</v>
      </c>
      <c r="D8250" s="70">
        <v>0</v>
      </c>
      <c r="E8250" s="111">
        <f t="shared" si="132"/>
        <v>138710</v>
      </c>
      <c r="F8250" s="69">
        <v>7.1325334563218851E-2</v>
      </c>
      <c r="G8250" s="69">
        <v>7.6739509838523234E-2</v>
      </c>
    </row>
    <row r="8251" spans="1:7" x14ac:dyDescent="0.3">
      <c r="A8251" s="24">
        <v>43129</v>
      </c>
      <c r="B8251" s="66">
        <v>1465.81348</v>
      </c>
      <c r="C8251" s="66">
        <v>1780</v>
      </c>
      <c r="D8251" s="70">
        <v>0</v>
      </c>
      <c r="E8251" s="111">
        <f t="shared" si="132"/>
        <v>138710</v>
      </c>
      <c r="F8251" s="69">
        <v>7.1325334563218851E-2</v>
      </c>
      <c r="G8251" s="69">
        <v>7.7073170731707316E-2</v>
      </c>
    </row>
    <row r="8252" spans="1:7" x14ac:dyDescent="0.3">
      <c r="A8252" s="24">
        <v>43130</v>
      </c>
      <c r="B8252" s="66">
        <v>1465.81348</v>
      </c>
      <c r="C8252" s="66">
        <v>1780</v>
      </c>
      <c r="D8252" s="70">
        <v>0</v>
      </c>
      <c r="E8252" s="111">
        <f t="shared" si="132"/>
        <v>138710</v>
      </c>
      <c r="F8252" s="69">
        <v>7.1325334563218851E-2</v>
      </c>
      <c r="G8252" s="69">
        <v>7.7073170731707316E-2</v>
      </c>
    </row>
    <row r="8253" spans="1:7" x14ac:dyDescent="0.3">
      <c r="A8253" s="24">
        <v>43131</v>
      </c>
      <c r="B8253" s="66">
        <v>1465.81348</v>
      </c>
      <c r="C8253" s="66">
        <v>1780</v>
      </c>
      <c r="D8253" s="70">
        <v>0</v>
      </c>
      <c r="E8253" s="111">
        <f t="shared" si="132"/>
        <v>138710</v>
      </c>
      <c r="F8253" s="69">
        <v>7.1325334563218851E-2</v>
      </c>
      <c r="G8253" s="69">
        <v>7.7073170731707316E-2</v>
      </c>
    </row>
    <row r="8254" spans="1:7" x14ac:dyDescent="0.3">
      <c r="A8254" s="24">
        <v>43132</v>
      </c>
      <c r="B8254" s="66">
        <v>1465.81348</v>
      </c>
      <c r="C8254" s="66">
        <v>1754.9</v>
      </c>
      <c r="D8254" s="70">
        <v>0</v>
      </c>
      <c r="E8254" s="111">
        <f t="shared" si="132"/>
        <v>138710</v>
      </c>
      <c r="F8254" s="69">
        <v>7.1325334563218851E-2</v>
      </c>
      <c r="G8254" s="69">
        <v>7.5833933285337177E-2</v>
      </c>
    </row>
    <row r="8255" spans="1:7" x14ac:dyDescent="0.3">
      <c r="A8255" s="24">
        <v>43133</v>
      </c>
      <c r="B8255" s="66">
        <v>1465.81348</v>
      </c>
      <c r="C8255" s="66">
        <v>1750</v>
      </c>
      <c r="D8255" s="70">
        <v>0</v>
      </c>
      <c r="E8255" s="111">
        <f t="shared" si="132"/>
        <v>138710</v>
      </c>
      <c r="F8255" s="69">
        <v>7.1325334563218851E-2</v>
      </c>
      <c r="G8255" s="69">
        <v>7.3488372093023252E-2</v>
      </c>
    </row>
    <row r="8256" spans="1:7" x14ac:dyDescent="0.3">
      <c r="A8256" s="24">
        <v>43134</v>
      </c>
      <c r="B8256" s="66">
        <v>1465.81348</v>
      </c>
      <c r="C8256" s="66">
        <v>1750</v>
      </c>
      <c r="D8256" s="70">
        <v>0</v>
      </c>
      <c r="E8256" s="111">
        <f t="shared" si="132"/>
        <v>138710</v>
      </c>
      <c r="F8256" s="69">
        <v>7.1325334563218851E-2</v>
      </c>
      <c r="G8256" s="69">
        <v>7.3488372093023252E-2</v>
      </c>
    </row>
    <row r="8257" spans="1:7" x14ac:dyDescent="0.3">
      <c r="A8257" s="24">
        <v>43135</v>
      </c>
      <c r="B8257" s="66">
        <v>1465.81348</v>
      </c>
      <c r="C8257" s="66">
        <v>1750</v>
      </c>
      <c r="D8257" s="70">
        <v>0</v>
      </c>
      <c r="E8257" s="111">
        <f t="shared" si="132"/>
        <v>138710</v>
      </c>
      <c r="F8257" s="69">
        <v>7.1325334563218851E-2</v>
      </c>
      <c r="G8257" s="69">
        <v>7.3488372093023252E-2</v>
      </c>
    </row>
    <row r="8258" spans="1:7" x14ac:dyDescent="0.3">
      <c r="A8258" s="24">
        <v>43136</v>
      </c>
      <c r="B8258" s="66">
        <v>1465.81348</v>
      </c>
      <c r="C8258" s="66">
        <v>1760</v>
      </c>
      <c r="D8258" s="70">
        <v>0</v>
      </c>
      <c r="E8258" s="111">
        <f t="shared" si="132"/>
        <v>138710</v>
      </c>
      <c r="F8258" s="69">
        <v>7.1325334563218851E-2</v>
      </c>
      <c r="G8258" s="69">
        <v>7.1812741458980381E-2</v>
      </c>
    </row>
    <row r="8259" spans="1:7" x14ac:dyDescent="0.3">
      <c r="A8259" s="24">
        <v>43137</v>
      </c>
      <c r="B8259" s="66">
        <v>1465.81348</v>
      </c>
      <c r="C8259" s="66">
        <v>1750</v>
      </c>
      <c r="D8259" s="70">
        <v>0</v>
      </c>
      <c r="E8259" s="111">
        <f t="shared" si="132"/>
        <v>138710</v>
      </c>
      <c r="F8259" s="69">
        <v>7.1325334563218851E-2</v>
      </c>
      <c r="G8259" s="69">
        <v>7.1547169811320754E-2</v>
      </c>
    </row>
    <row r="8260" spans="1:7" x14ac:dyDescent="0.3">
      <c r="A8260" s="24">
        <v>43138</v>
      </c>
      <c r="B8260" s="66">
        <v>1465.81348</v>
      </c>
      <c r="C8260" s="66">
        <v>1770</v>
      </c>
      <c r="D8260" s="70">
        <v>0</v>
      </c>
      <c r="E8260" s="111">
        <f t="shared" si="132"/>
        <v>138710</v>
      </c>
      <c r="F8260" s="69">
        <v>7.1325334563218851E-2</v>
      </c>
      <c r="G8260" s="69">
        <v>7.1547169811320754E-2</v>
      </c>
    </row>
    <row r="8261" spans="1:7" x14ac:dyDescent="0.3">
      <c r="A8261" s="24">
        <v>43139</v>
      </c>
      <c r="B8261" s="66">
        <v>1465.81348</v>
      </c>
      <c r="C8261" s="66">
        <v>1750</v>
      </c>
      <c r="D8261" s="70">
        <v>0</v>
      </c>
      <c r="E8261" s="111">
        <f t="shared" si="132"/>
        <v>138710</v>
      </c>
      <c r="F8261" s="69">
        <v>7.1325334563218851E-2</v>
      </c>
      <c r="G8261" s="69">
        <v>7.2366412213740461E-2</v>
      </c>
    </row>
    <row r="8262" spans="1:7" x14ac:dyDescent="0.3">
      <c r="A8262" s="24">
        <v>43140</v>
      </c>
      <c r="B8262" s="66">
        <v>1465.81348</v>
      </c>
      <c r="C8262" s="66">
        <v>1750</v>
      </c>
      <c r="D8262" s="70">
        <v>0</v>
      </c>
      <c r="E8262" s="111">
        <f t="shared" si="132"/>
        <v>138710</v>
      </c>
      <c r="F8262" s="69">
        <v>7.1325334563218851E-2</v>
      </c>
      <c r="G8262" s="69">
        <v>7.2366412213740461E-2</v>
      </c>
    </row>
    <row r="8263" spans="1:7" x14ac:dyDescent="0.3">
      <c r="A8263" s="24">
        <v>43141</v>
      </c>
      <c r="B8263" s="66">
        <v>1465.81348</v>
      </c>
      <c r="C8263" s="66">
        <v>1750</v>
      </c>
      <c r="D8263" s="70">
        <v>0</v>
      </c>
      <c r="E8263" s="111">
        <f t="shared" si="132"/>
        <v>138710</v>
      </c>
      <c r="F8263" s="69">
        <v>7.1325334563218851E-2</v>
      </c>
      <c r="G8263" s="69">
        <v>7.2366412213740461E-2</v>
      </c>
    </row>
    <row r="8264" spans="1:7" x14ac:dyDescent="0.3">
      <c r="A8264" s="24">
        <v>43142</v>
      </c>
      <c r="B8264" s="66">
        <v>1465.81348</v>
      </c>
      <c r="C8264" s="66">
        <v>1750</v>
      </c>
      <c r="D8264" s="70">
        <v>0</v>
      </c>
      <c r="E8264" s="111">
        <f t="shared" si="132"/>
        <v>138710</v>
      </c>
      <c r="F8264" s="69">
        <v>7.1325334563218851E-2</v>
      </c>
      <c r="G8264" s="69">
        <v>7.2366412213740461E-2</v>
      </c>
    </row>
    <row r="8265" spans="1:7" x14ac:dyDescent="0.3">
      <c r="A8265" s="24">
        <v>43143</v>
      </c>
      <c r="B8265" s="66">
        <v>1465.81348</v>
      </c>
      <c r="C8265" s="66">
        <v>1760</v>
      </c>
      <c r="D8265" s="70">
        <v>0</v>
      </c>
      <c r="E8265" s="111">
        <f t="shared" ref="E8265:E8328" si="133">+E8264</f>
        <v>138710</v>
      </c>
      <c r="F8265" s="69">
        <v>7.1325334563218851E-2</v>
      </c>
      <c r="G8265" s="69">
        <v>7.2366412213740461E-2</v>
      </c>
    </row>
    <row r="8266" spans="1:7" x14ac:dyDescent="0.3">
      <c r="A8266" s="24">
        <v>43144</v>
      </c>
      <c r="B8266" s="66">
        <v>1465.81348</v>
      </c>
      <c r="C8266" s="66">
        <v>1760</v>
      </c>
      <c r="D8266" s="70">
        <v>0</v>
      </c>
      <c r="E8266" s="111">
        <f t="shared" si="133"/>
        <v>138710</v>
      </c>
      <c r="F8266" s="69">
        <v>7.1325334563218851E-2</v>
      </c>
      <c r="G8266" s="69">
        <v>7.2366412213740461E-2</v>
      </c>
    </row>
    <row r="8267" spans="1:7" x14ac:dyDescent="0.3">
      <c r="A8267" s="24">
        <v>43145</v>
      </c>
      <c r="B8267" s="66">
        <v>1465.81348</v>
      </c>
      <c r="C8267" s="66">
        <v>1760</v>
      </c>
      <c r="D8267" s="70">
        <v>0</v>
      </c>
      <c r="E8267" s="111">
        <f t="shared" si="133"/>
        <v>138710</v>
      </c>
      <c r="F8267" s="69">
        <v>7.1325334563218851E-2</v>
      </c>
      <c r="G8267" s="69">
        <v>7.1818181818181823E-2</v>
      </c>
    </row>
    <row r="8268" spans="1:7" x14ac:dyDescent="0.3">
      <c r="A8268" s="24">
        <v>43146</v>
      </c>
      <c r="B8268" s="66">
        <v>1465.81348</v>
      </c>
      <c r="C8268" s="66">
        <v>1750</v>
      </c>
      <c r="D8268" s="70">
        <v>0</v>
      </c>
      <c r="E8268" s="111">
        <f t="shared" si="133"/>
        <v>138710</v>
      </c>
      <c r="F8268" s="69">
        <v>7.1325334563218851E-2</v>
      </c>
      <c r="G8268" s="69">
        <v>7.1541770432420201E-2</v>
      </c>
    </row>
    <row r="8269" spans="1:7" x14ac:dyDescent="0.3">
      <c r="A8269" s="24">
        <v>43147</v>
      </c>
      <c r="B8269" s="66">
        <v>1465.81348</v>
      </c>
      <c r="C8269" s="66">
        <v>1750</v>
      </c>
      <c r="D8269" s="70">
        <v>0</v>
      </c>
      <c r="E8269" s="111">
        <f t="shared" si="133"/>
        <v>138710</v>
      </c>
      <c r="F8269" s="69">
        <v>7.1325334563218851E-2</v>
      </c>
      <c r="G8269" s="69">
        <v>7.1547169811320754E-2</v>
      </c>
    </row>
    <row r="8270" spans="1:7" x14ac:dyDescent="0.3">
      <c r="A8270" s="24">
        <v>43148</v>
      </c>
      <c r="B8270" s="66">
        <v>1465.81348</v>
      </c>
      <c r="C8270" s="66">
        <v>1750</v>
      </c>
      <c r="D8270" s="70">
        <v>0</v>
      </c>
      <c r="E8270" s="111">
        <f t="shared" si="133"/>
        <v>138710</v>
      </c>
      <c r="F8270" s="69">
        <v>7.1325334563218851E-2</v>
      </c>
      <c r="G8270" s="69">
        <v>7.1547169811320754E-2</v>
      </c>
    </row>
    <row r="8271" spans="1:7" x14ac:dyDescent="0.3">
      <c r="A8271" s="24">
        <v>43149</v>
      </c>
      <c r="B8271" s="66">
        <v>1465.81348</v>
      </c>
      <c r="C8271" s="66">
        <v>1750</v>
      </c>
      <c r="D8271" s="70">
        <v>0</v>
      </c>
      <c r="E8271" s="111">
        <f t="shared" si="133"/>
        <v>138710</v>
      </c>
      <c r="F8271" s="69">
        <v>7.1325334563218851E-2</v>
      </c>
      <c r="G8271" s="69">
        <v>7.1547169811320754E-2</v>
      </c>
    </row>
    <row r="8272" spans="1:7" x14ac:dyDescent="0.3">
      <c r="A8272" s="24">
        <v>43150</v>
      </c>
      <c r="B8272" s="66">
        <v>1465.81348</v>
      </c>
      <c r="C8272" s="66">
        <v>1760</v>
      </c>
      <c r="D8272" s="70">
        <v>0</v>
      </c>
      <c r="E8272" s="111">
        <f t="shared" si="133"/>
        <v>138710</v>
      </c>
      <c r="F8272" s="69">
        <v>7.1325334563218851E-2</v>
      </c>
      <c r="G8272" s="69">
        <v>7.1547169811320754E-2</v>
      </c>
    </row>
    <row r="8273" spans="1:7" x14ac:dyDescent="0.3">
      <c r="A8273" s="24">
        <v>43151</v>
      </c>
      <c r="B8273" s="66">
        <v>1465.81348</v>
      </c>
      <c r="C8273" s="66">
        <v>1760</v>
      </c>
      <c r="D8273" s="70">
        <v>0</v>
      </c>
      <c r="E8273" s="111">
        <f t="shared" si="133"/>
        <v>138710</v>
      </c>
      <c r="F8273" s="69">
        <v>7.1325334563218851E-2</v>
      </c>
      <c r="G8273" s="69">
        <v>7.2091254752851705E-2</v>
      </c>
    </row>
    <row r="8274" spans="1:7" x14ac:dyDescent="0.3">
      <c r="A8274" s="24">
        <v>43152</v>
      </c>
      <c r="B8274" s="66">
        <v>1465.81348</v>
      </c>
      <c r="C8274" s="66">
        <v>1761.5</v>
      </c>
      <c r="D8274" s="70">
        <v>0</v>
      </c>
      <c r="E8274" s="111">
        <f t="shared" si="133"/>
        <v>138710</v>
      </c>
      <c r="F8274" s="69">
        <v>7.1325334563218851E-2</v>
      </c>
      <c r="G8274" s="69">
        <v>7.2091254752851705E-2</v>
      </c>
    </row>
    <row r="8275" spans="1:7" x14ac:dyDescent="0.3">
      <c r="A8275" s="24">
        <v>43153</v>
      </c>
      <c r="B8275" s="66">
        <v>1465.81348</v>
      </c>
      <c r="C8275" s="66">
        <v>1761.5</v>
      </c>
      <c r="D8275" s="70">
        <v>0</v>
      </c>
      <c r="E8275" s="111">
        <f t="shared" si="133"/>
        <v>138710</v>
      </c>
      <c r="F8275" s="69">
        <v>7.1325334563218851E-2</v>
      </c>
      <c r="G8275" s="69">
        <v>7.2091254752851705E-2</v>
      </c>
    </row>
    <row r="8276" spans="1:7" x14ac:dyDescent="0.3">
      <c r="A8276" s="24">
        <v>43154</v>
      </c>
      <c r="B8276" s="66">
        <v>1465.81348</v>
      </c>
      <c r="C8276" s="66">
        <v>1775</v>
      </c>
      <c r="D8276" s="70">
        <v>0</v>
      </c>
      <c r="E8276" s="111">
        <f t="shared" si="133"/>
        <v>138710</v>
      </c>
      <c r="F8276" s="69">
        <v>7.1325334563218851E-2</v>
      </c>
      <c r="G8276" s="69">
        <v>7.2366412213740461E-2</v>
      </c>
    </row>
    <row r="8277" spans="1:7" x14ac:dyDescent="0.3">
      <c r="A8277" s="24">
        <v>43155</v>
      </c>
      <c r="B8277" s="66">
        <v>1465.81348</v>
      </c>
      <c r="C8277" s="66">
        <v>1775</v>
      </c>
      <c r="D8277" s="70">
        <v>0</v>
      </c>
      <c r="E8277" s="111">
        <f t="shared" si="133"/>
        <v>138710</v>
      </c>
      <c r="F8277" s="69">
        <v>7.1325334563218851E-2</v>
      </c>
      <c r="G8277" s="69">
        <v>7.2366412213740461E-2</v>
      </c>
    </row>
    <row r="8278" spans="1:7" x14ac:dyDescent="0.3">
      <c r="A8278" s="24">
        <v>43156</v>
      </c>
      <c r="B8278" s="66">
        <v>1465.81348</v>
      </c>
      <c r="C8278" s="66">
        <v>1775</v>
      </c>
      <c r="D8278" s="70">
        <v>0</v>
      </c>
      <c r="E8278" s="111">
        <f t="shared" si="133"/>
        <v>138710</v>
      </c>
      <c r="F8278" s="69">
        <v>7.1325334563218851E-2</v>
      </c>
      <c r="G8278" s="69">
        <v>7.2366412213740461E-2</v>
      </c>
    </row>
    <row r="8279" spans="1:7" x14ac:dyDescent="0.3">
      <c r="A8279" s="24">
        <v>43157</v>
      </c>
      <c r="B8279" s="66">
        <v>1465.81348</v>
      </c>
      <c r="C8279" s="66">
        <v>1775</v>
      </c>
      <c r="D8279" s="70">
        <v>0</v>
      </c>
      <c r="E8279" s="111">
        <f t="shared" si="133"/>
        <v>138710</v>
      </c>
      <c r="F8279" s="69">
        <v>7.1325334563218851E-2</v>
      </c>
      <c r="G8279" s="69">
        <v>7.2366412213740461E-2</v>
      </c>
    </row>
    <row r="8280" spans="1:7" x14ac:dyDescent="0.3">
      <c r="A8280" s="24">
        <v>43158</v>
      </c>
      <c r="B8280" s="66">
        <v>1465.81348</v>
      </c>
      <c r="C8280" s="66">
        <v>1750</v>
      </c>
      <c r="D8280" s="70">
        <v>0</v>
      </c>
      <c r="E8280" s="111">
        <f t="shared" si="133"/>
        <v>138710</v>
      </c>
      <c r="F8280" s="69">
        <v>6.773954288670489E-2</v>
      </c>
      <c r="G8280" s="69">
        <v>7.2366412213740461E-2</v>
      </c>
    </row>
    <row r="8281" spans="1:7" x14ac:dyDescent="0.3">
      <c r="A8281" s="24">
        <v>43159</v>
      </c>
      <c r="B8281" s="66">
        <v>1467.8249000000001</v>
      </c>
      <c r="C8281" s="66">
        <v>1750</v>
      </c>
      <c r="D8281" s="70">
        <v>0</v>
      </c>
      <c r="E8281" s="111">
        <f t="shared" si="133"/>
        <v>138710</v>
      </c>
      <c r="F8281" s="69">
        <v>6.773954288670489E-2</v>
      </c>
      <c r="G8281" s="69">
        <v>7.2360888481795282E-2</v>
      </c>
    </row>
    <row r="8282" spans="1:7" x14ac:dyDescent="0.3">
      <c r="A8282" s="24">
        <v>43160</v>
      </c>
      <c r="B8282" s="66">
        <v>1467.8249000000001</v>
      </c>
      <c r="C8282" s="66">
        <v>1750</v>
      </c>
      <c r="D8282" s="70">
        <v>0</v>
      </c>
      <c r="E8282" s="111">
        <f t="shared" si="133"/>
        <v>138710</v>
      </c>
      <c r="F8282" s="69">
        <v>6.773954288670489E-2</v>
      </c>
      <c r="G8282" s="69">
        <v>7.1547169811320754E-2</v>
      </c>
    </row>
    <row r="8283" spans="1:7" x14ac:dyDescent="0.3">
      <c r="A8283" s="24">
        <v>43161</v>
      </c>
      <c r="B8283" s="66">
        <v>1467.8249000000001</v>
      </c>
      <c r="C8283" s="66">
        <v>1775</v>
      </c>
      <c r="D8283" s="70">
        <v>0</v>
      </c>
      <c r="E8283" s="111">
        <f t="shared" si="133"/>
        <v>138710</v>
      </c>
      <c r="F8283" s="69">
        <v>6.773954288670489E-2</v>
      </c>
      <c r="G8283" s="69">
        <v>7.1278195488721802E-2</v>
      </c>
    </row>
    <row r="8284" spans="1:7" x14ac:dyDescent="0.3">
      <c r="A8284" s="24">
        <v>43162</v>
      </c>
      <c r="B8284" s="66">
        <v>1467.8249000000001</v>
      </c>
      <c r="C8284" s="66">
        <v>1775</v>
      </c>
      <c r="D8284" s="70">
        <v>0</v>
      </c>
      <c r="E8284" s="111">
        <f t="shared" si="133"/>
        <v>138710</v>
      </c>
      <c r="F8284" s="69">
        <v>6.773954288670489E-2</v>
      </c>
      <c r="G8284" s="69">
        <v>7.1278195488721802E-2</v>
      </c>
    </row>
    <row r="8285" spans="1:7" x14ac:dyDescent="0.3">
      <c r="A8285" s="24">
        <v>43163</v>
      </c>
      <c r="B8285" s="66">
        <v>1467.8249000000001</v>
      </c>
      <c r="C8285" s="66">
        <v>1775</v>
      </c>
      <c r="D8285" s="70">
        <v>0</v>
      </c>
      <c r="E8285" s="111">
        <f t="shared" si="133"/>
        <v>138710</v>
      </c>
      <c r="F8285" s="69">
        <v>6.773954288670489E-2</v>
      </c>
      <c r="G8285" s="69">
        <v>7.1278195488721802E-2</v>
      </c>
    </row>
    <row r="8286" spans="1:7" x14ac:dyDescent="0.3">
      <c r="A8286" s="24">
        <v>43164</v>
      </c>
      <c r="B8286" s="66">
        <v>1467.8249000000001</v>
      </c>
      <c r="C8286" s="66">
        <v>1775</v>
      </c>
      <c r="D8286" s="70">
        <v>0</v>
      </c>
      <c r="E8286" s="111">
        <f t="shared" si="133"/>
        <v>138710</v>
      </c>
      <c r="F8286" s="69">
        <v>6.773954288670489E-2</v>
      </c>
      <c r="G8286" s="69">
        <v>7.1278195488721802E-2</v>
      </c>
    </row>
    <row r="8287" spans="1:7" x14ac:dyDescent="0.3">
      <c r="A8287" s="24">
        <v>43165</v>
      </c>
      <c r="B8287" s="66">
        <v>1467.8249000000001</v>
      </c>
      <c r="C8287" s="66">
        <v>1774.9</v>
      </c>
      <c r="D8287" s="70">
        <v>0</v>
      </c>
      <c r="E8287" s="111">
        <f t="shared" si="133"/>
        <v>138710</v>
      </c>
      <c r="F8287" s="69">
        <v>6.773954288670489E-2</v>
      </c>
      <c r="G8287" s="69">
        <v>7.1278195488721802E-2</v>
      </c>
    </row>
    <row r="8288" spans="1:7" x14ac:dyDescent="0.3">
      <c r="A8288" s="24">
        <v>43166</v>
      </c>
      <c r="B8288" s="66">
        <v>1467.8249000000001</v>
      </c>
      <c r="C8288" s="66">
        <v>1780</v>
      </c>
      <c r="D8288" s="70">
        <v>0</v>
      </c>
      <c r="E8288" s="111">
        <f t="shared" si="133"/>
        <v>138710</v>
      </c>
      <c r="F8288" s="69">
        <v>6.773954288670489E-2</v>
      </c>
      <c r="G8288" s="69">
        <v>7.1278195488721802E-2</v>
      </c>
    </row>
    <row r="8289" spans="1:7" x14ac:dyDescent="0.3">
      <c r="A8289" s="24">
        <v>43167</v>
      </c>
      <c r="B8289" s="66">
        <v>1467.8249000000001</v>
      </c>
      <c r="C8289" s="66">
        <v>1751</v>
      </c>
      <c r="D8289" s="70">
        <v>0</v>
      </c>
      <c r="E8289" s="111">
        <f t="shared" si="133"/>
        <v>138710</v>
      </c>
      <c r="F8289" s="69">
        <v>6.773954288670489E-2</v>
      </c>
      <c r="G8289" s="69">
        <v>7.1011235955056179E-2</v>
      </c>
    </row>
    <row r="8290" spans="1:7" x14ac:dyDescent="0.3">
      <c r="A8290" s="24">
        <v>43168</v>
      </c>
      <c r="B8290" s="66">
        <v>1467.8249000000001</v>
      </c>
      <c r="C8290" s="66">
        <v>1765</v>
      </c>
      <c r="D8290" s="70">
        <v>0</v>
      </c>
      <c r="E8290" s="111">
        <f t="shared" si="133"/>
        <v>138710</v>
      </c>
      <c r="F8290" s="69">
        <v>6.773954288670489E-2</v>
      </c>
      <c r="G8290" s="69">
        <v>7.1011235955056179E-2</v>
      </c>
    </row>
    <row r="8291" spans="1:7" x14ac:dyDescent="0.3">
      <c r="A8291" s="24">
        <v>43169</v>
      </c>
      <c r="B8291" s="66">
        <v>1467.8249000000001</v>
      </c>
      <c r="C8291" s="66">
        <v>1765</v>
      </c>
      <c r="D8291" s="70">
        <v>0</v>
      </c>
      <c r="E8291" s="111">
        <f t="shared" si="133"/>
        <v>138710</v>
      </c>
      <c r="F8291" s="69">
        <v>6.773954288670489E-2</v>
      </c>
      <c r="G8291" s="69">
        <v>7.1011235955056179E-2</v>
      </c>
    </row>
    <row r="8292" spans="1:7" x14ac:dyDescent="0.3">
      <c r="A8292" s="24">
        <v>43170</v>
      </c>
      <c r="B8292" s="66">
        <v>1467.8249000000001</v>
      </c>
      <c r="C8292" s="66">
        <v>1765</v>
      </c>
      <c r="D8292" s="70">
        <v>0</v>
      </c>
      <c r="E8292" s="111">
        <f t="shared" si="133"/>
        <v>138710</v>
      </c>
      <c r="F8292" s="69">
        <v>6.773954288670489E-2</v>
      </c>
      <c r="G8292" s="69">
        <v>7.1011235955056179E-2</v>
      </c>
    </row>
    <row r="8293" spans="1:7" x14ac:dyDescent="0.3">
      <c r="A8293" s="24">
        <v>43171</v>
      </c>
      <c r="B8293" s="66">
        <v>1467.8249000000001</v>
      </c>
      <c r="C8293" s="66">
        <v>1769.9</v>
      </c>
      <c r="D8293" s="70">
        <v>0</v>
      </c>
      <c r="E8293" s="111">
        <f t="shared" si="133"/>
        <v>138710</v>
      </c>
      <c r="F8293" s="69">
        <v>6.773954288670489E-2</v>
      </c>
      <c r="G8293" s="69">
        <v>7.0852017937219736E-2</v>
      </c>
    </row>
    <row r="8294" spans="1:7" x14ac:dyDescent="0.3">
      <c r="A8294" s="24">
        <v>43172</v>
      </c>
      <c r="B8294" s="66">
        <v>1467.8249000000001</v>
      </c>
      <c r="C8294" s="66">
        <v>1770</v>
      </c>
      <c r="D8294" s="70">
        <v>0</v>
      </c>
      <c r="E8294" s="111">
        <f t="shared" si="133"/>
        <v>138710</v>
      </c>
      <c r="F8294" s="69">
        <v>6.773954288670489E-2</v>
      </c>
      <c r="G8294" s="69">
        <v>7.0852017937219736E-2</v>
      </c>
    </row>
    <row r="8295" spans="1:7" x14ac:dyDescent="0.3">
      <c r="A8295" s="24">
        <v>43173</v>
      </c>
      <c r="B8295" s="66">
        <v>1467.8249000000001</v>
      </c>
      <c r="C8295" s="66">
        <v>1775</v>
      </c>
      <c r="D8295" s="70">
        <v>0</v>
      </c>
      <c r="E8295" s="111">
        <f t="shared" si="133"/>
        <v>138710</v>
      </c>
      <c r="F8295" s="69">
        <v>6.773954288670489E-2</v>
      </c>
      <c r="G8295" s="69">
        <v>7.0857313700575519E-2</v>
      </c>
    </row>
    <row r="8296" spans="1:7" x14ac:dyDescent="0.3">
      <c r="A8296" s="24">
        <v>43174</v>
      </c>
      <c r="B8296" s="66">
        <v>1467.8249000000001</v>
      </c>
      <c r="C8296" s="66">
        <v>1785</v>
      </c>
      <c r="D8296" s="70">
        <v>0</v>
      </c>
      <c r="E8296" s="111">
        <f t="shared" si="133"/>
        <v>138710</v>
      </c>
      <c r="F8296" s="69">
        <v>6.773954288670489E-2</v>
      </c>
      <c r="G8296" s="69">
        <v>7.0857313700575519E-2</v>
      </c>
    </row>
    <row r="8297" spans="1:7" x14ac:dyDescent="0.3">
      <c r="A8297" s="24">
        <v>43175</v>
      </c>
      <c r="B8297" s="66">
        <v>1467.8249000000001</v>
      </c>
      <c r="C8297" s="66">
        <v>1791</v>
      </c>
      <c r="D8297" s="70">
        <v>0</v>
      </c>
      <c r="E8297" s="111">
        <f t="shared" si="133"/>
        <v>138710</v>
      </c>
      <c r="F8297" s="69">
        <v>6.773954288670489E-2</v>
      </c>
      <c r="G8297" s="69">
        <v>7.0852017937219736E-2</v>
      </c>
    </row>
    <row r="8298" spans="1:7" x14ac:dyDescent="0.3">
      <c r="A8298" s="24">
        <v>43176</v>
      </c>
      <c r="B8298" s="66">
        <v>1467.8249000000001</v>
      </c>
      <c r="C8298" s="66">
        <v>1791</v>
      </c>
      <c r="D8298" s="70">
        <v>0</v>
      </c>
      <c r="E8298" s="111">
        <f t="shared" si="133"/>
        <v>138710</v>
      </c>
      <c r="F8298" s="69">
        <v>6.773954288670489E-2</v>
      </c>
      <c r="G8298" s="69">
        <v>7.0852017937219736E-2</v>
      </c>
    </row>
    <row r="8299" spans="1:7" x14ac:dyDescent="0.3">
      <c r="A8299" s="24">
        <v>43177</v>
      </c>
      <c r="B8299" s="66">
        <v>1467.8249000000001</v>
      </c>
      <c r="C8299" s="66">
        <v>1791</v>
      </c>
      <c r="D8299" s="70">
        <v>0</v>
      </c>
      <c r="E8299" s="111">
        <f t="shared" si="133"/>
        <v>138710</v>
      </c>
      <c r="F8299" s="69">
        <v>6.773954288670489E-2</v>
      </c>
      <c r="G8299" s="69">
        <v>7.0852017937219736E-2</v>
      </c>
    </row>
    <row r="8300" spans="1:7" x14ac:dyDescent="0.3">
      <c r="A8300" s="24">
        <v>43178</v>
      </c>
      <c r="B8300" s="66">
        <v>1467.8249000000001</v>
      </c>
      <c r="C8300" s="66">
        <v>1799</v>
      </c>
      <c r="D8300" s="70">
        <v>0</v>
      </c>
      <c r="E8300" s="111">
        <f t="shared" si="133"/>
        <v>138710</v>
      </c>
      <c r="F8300" s="69">
        <v>6.773954288670489E-2</v>
      </c>
      <c r="G8300" s="69">
        <v>7.0857313700575519E-2</v>
      </c>
    </row>
    <row r="8301" spans="1:7" x14ac:dyDescent="0.3">
      <c r="A8301" s="24">
        <v>43179</v>
      </c>
      <c r="B8301" s="66">
        <v>1467.8249000000001</v>
      </c>
      <c r="C8301" s="66">
        <v>1799.1</v>
      </c>
      <c r="D8301" s="70">
        <v>0</v>
      </c>
      <c r="E8301" s="111">
        <f t="shared" si="133"/>
        <v>138710</v>
      </c>
      <c r="F8301" s="69">
        <v>6.773954288670489E-2</v>
      </c>
      <c r="G8301" s="69">
        <v>7.1278195488721802E-2</v>
      </c>
    </row>
    <row r="8302" spans="1:7" x14ac:dyDescent="0.3">
      <c r="A8302" s="24">
        <v>43180</v>
      </c>
      <c r="B8302" s="66">
        <v>1467.8249000000001</v>
      </c>
      <c r="C8302" s="66">
        <v>1800.2</v>
      </c>
      <c r="D8302" s="70">
        <v>0</v>
      </c>
      <c r="E8302" s="111">
        <f t="shared" si="133"/>
        <v>138710</v>
      </c>
      <c r="F8302" s="69">
        <v>6.773954288670489E-2</v>
      </c>
      <c r="G8302" s="69">
        <v>7.1278195488721802E-2</v>
      </c>
    </row>
    <row r="8303" spans="1:7" x14ac:dyDescent="0.3">
      <c r="A8303" s="24">
        <v>43181</v>
      </c>
      <c r="B8303" s="66">
        <v>1467.8249000000001</v>
      </c>
      <c r="C8303" s="66">
        <v>1801.7</v>
      </c>
      <c r="D8303" s="70">
        <v>0</v>
      </c>
      <c r="E8303" s="111">
        <f t="shared" si="133"/>
        <v>138710</v>
      </c>
      <c r="F8303" s="69">
        <v>6.773954288670489E-2</v>
      </c>
      <c r="G8303" s="69">
        <v>7.0852017937219736E-2</v>
      </c>
    </row>
    <row r="8304" spans="1:7" x14ac:dyDescent="0.3">
      <c r="A8304" s="24">
        <v>43182</v>
      </c>
      <c r="B8304" s="66">
        <v>1467.8249000000001</v>
      </c>
      <c r="C8304" s="66">
        <v>1811.1</v>
      </c>
      <c r="D8304" s="70">
        <v>0</v>
      </c>
      <c r="E8304" s="111">
        <f t="shared" si="133"/>
        <v>138710</v>
      </c>
      <c r="F8304" s="69">
        <v>6.773954288670489E-2</v>
      </c>
      <c r="G8304" s="69">
        <v>7.1272836628824901E-2</v>
      </c>
    </row>
    <row r="8305" spans="1:7" x14ac:dyDescent="0.3">
      <c r="A8305" s="24">
        <v>43183</v>
      </c>
      <c r="B8305" s="66">
        <v>1467.8249000000001</v>
      </c>
      <c r="C8305" s="66">
        <v>1811.1</v>
      </c>
      <c r="D8305" s="70">
        <v>0</v>
      </c>
      <c r="E8305" s="111">
        <f t="shared" si="133"/>
        <v>138710</v>
      </c>
      <c r="F8305" s="69">
        <v>6.773954288670489E-2</v>
      </c>
      <c r="G8305" s="69">
        <v>7.1272836628824901E-2</v>
      </c>
    </row>
    <row r="8306" spans="1:7" x14ac:dyDescent="0.3">
      <c r="A8306" s="24">
        <v>43184</v>
      </c>
      <c r="B8306" s="66">
        <v>1467.8249000000001</v>
      </c>
      <c r="C8306" s="66">
        <v>1811.1</v>
      </c>
      <c r="D8306" s="70">
        <v>0</v>
      </c>
      <c r="E8306" s="111">
        <f t="shared" si="133"/>
        <v>138710</v>
      </c>
      <c r="F8306" s="69">
        <v>6.773954288670489E-2</v>
      </c>
      <c r="G8306" s="69">
        <v>7.1272836628824901E-2</v>
      </c>
    </row>
    <row r="8307" spans="1:7" x14ac:dyDescent="0.3">
      <c r="A8307" s="24">
        <v>43185</v>
      </c>
      <c r="B8307" s="66">
        <v>1467.8249000000001</v>
      </c>
      <c r="C8307" s="66">
        <v>1815</v>
      </c>
      <c r="D8307" s="70">
        <v>0</v>
      </c>
      <c r="E8307" s="111">
        <f t="shared" si="133"/>
        <v>138710</v>
      </c>
      <c r="F8307" s="69">
        <v>6.773954288670489E-2</v>
      </c>
      <c r="G8307" s="69">
        <v>7.1224643125469569E-2</v>
      </c>
    </row>
    <row r="8308" spans="1:7" x14ac:dyDescent="0.3">
      <c r="A8308" s="24">
        <v>43186</v>
      </c>
      <c r="B8308" s="66">
        <v>1467.8249000000001</v>
      </c>
      <c r="C8308" s="66">
        <v>1825.0099999999998</v>
      </c>
      <c r="D8308" s="70">
        <v>0</v>
      </c>
      <c r="E8308" s="111">
        <f t="shared" si="133"/>
        <v>138710</v>
      </c>
      <c r="F8308" s="69">
        <v>6.773954288670489E-2</v>
      </c>
      <c r="G8308" s="69">
        <v>7.1011235955056179E-2</v>
      </c>
    </row>
    <row r="8309" spans="1:7" x14ac:dyDescent="0.3">
      <c r="A8309" s="24">
        <v>43187</v>
      </c>
      <c r="B8309" s="66">
        <v>1467.8249000000001</v>
      </c>
      <c r="C8309" s="66">
        <v>1827.5</v>
      </c>
      <c r="D8309" s="70">
        <v>13</v>
      </c>
      <c r="E8309" s="111">
        <f t="shared" si="133"/>
        <v>138710</v>
      </c>
      <c r="F8309" s="69">
        <v>6.9883199307170241E-2</v>
      </c>
      <c r="G8309" s="69">
        <v>7.3258426966292131E-2</v>
      </c>
    </row>
    <row r="8310" spans="1:7" x14ac:dyDescent="0.3">
      <c r="A8310" s="24">
        <v>43188</v>
      </c>
      <c r="B8310" s="66">
        <v>1467.8249000000001</v>
      </c>
      <c r="C8310" s="66">
        <v>1827.5</v>
      </c>
      <c r="D8310" s="70">
        <v>0</v>
      </c>
      <c r="E8310" s="111">
        <f t="shared" si="133"/>
        <v>138710</v>
      </c>
      <c r="F8310" s="69">
        <v>6.9883199307170241E-2</v>
      </c>
      <c r="G8310" s="69">
        <v>7.3258426966292131E-2</v>
      </c>
    </row>
    <row r="8311" spans="1:7" x14ac:dyDescent="0.3">
      <c r="A8311" s="24">
        <v>43189</v>
      </c>
      <c r="B8311" s="66">
        <v>1467.8249000000001</v>
      </c>
      <c r="C8311" s="66">
        <v>1827.5</v>
      </c>
      <c r="D8311" s="70">
        <v>0</v>
      </c>
      <c r="E8311" s="111">
        <f t="shared" si="133"/>
        <v>138710</v>
      </c>
      <c r="F8311" s="69">
        <v>6.9883199307170241E-2</v>
      </c>
      <c r="G8311" s="69">
        <v>7.3230999625608389E-2</v>
      </c>
    </row>
    <row r="8312" spans="1:7" x14ac:dyDescent="0.3">
      <c r="A8312" s="24">
        <v>43190</v>
      </c>
      <c r="B8312" s="66">
        <v>1467.8249000000001</v>
      </c>
      <c r="C8312" s="66">
        <v>1827.5</v>
      </c>
      <c r="D8312" s="70">
        <v>0</v>
      </c>
      <c r="E8312" s="111">
        <f t="shared" si="133"/>
        <v>138710</v>
      </c>
      <c r="F8312" s="69">
        <v>6.9883199307170241E-2</v>
      </c>
      <c r="G8312" s="69">
        <v>7.3230999625608389E-2</v>
      </c>
    </row>
    <row r="8313" spans="1:7" x14ac:dyDescent="0.3">
      <c r="A8313" s="24">
        <v>43191</v>
      </c>
      <c r="B8313" s="66">
        <v>1467.8249000000001</v>
      </c>
      <c r="C8313" s="66">
        <v>1827.5</v>
      </c>
      <c r="D8313" s="70">
        <v>0</v>
      </c>
      <c r="E8313" s="111">
        <f t="shared" si="133"/>
        <v>138710</v>
      </c>
      <c r="F8313" s="69">
        <v>6.9883199307170241E-2</v>
      </c>
      <c r="G8313" s="69">
        <v>7.3230999625608389E-2</v>
      </c>
    </row>
    <row r="8314" spans="1:7" x14ac:dyDescent="0.3">
      <c r="A8314" s="24">
        <v>43192</v>
      </c>
      <c r="B8314" s="66">
        <v>1467.8249000000001</v>
      </c>
      <c r="C8314" s="66">
        <v>1840</v>
      </c>
      <c r="D8314" s="70">
        <v>0</v>
      </c>
      <c r="E8314" s="111">
        <f t="shared" si="133"/>
        <v>138710</v>
      </c>
      <c r="F8314" s="69">
        <v>6.9883199307170241E-2</v>
      </c>
      <c r="G8314" s="69">
        <v>7.3203592814371249E-2</v>
      </c>
    </row>
    <row r="8315" spans="1:7" x14ac:dyDescent="0.3">
      <c r="A8315" s="24">
        <v>43193</v>
      </c>
      <c r="B8315" s="66">
        <v>1467.8249000000001</v>
      </c>
      <c r="C8315" s="66">
        <v>1870.1</v>
      </c>
      <c r="D8315" s="70">
        <v>0</v>
      </c>
      <c r="E8315" s="111">
        <f t="shared" si="133"/>
        <v>138710</v>
      </c>
      <c r="F8315" s="69">
        <v>6.9883199307170241E-2</v>
      </c>
      <c r="G8315" s="69">
        <v>7.3203592814371249E-2</v>
      </c>
    </row>
    <row r="8316" spans="1:7" x14ac:dyDescent="0.3">
      <c r="A8316" s="24">
        <v>43194</v>
      </c>
      <c r="B8316" s="66">
        <v>1467.8249000000001</v>
      </c>
      <c r="C8316" s="66">
        <v>1925</v>
      </c>
      <c r="D8316" s="70">
        <v>0</v>
      </c>
      <c r="E8316" s="111">
        <f t="shared" si="133"/>
        <v>138710</v>
      </c>
      <c r="F8316" s="69">
        <v>6.9883199307170241E-2</v>
      </c>
      <c r="G8316" s="69">
        <v>7.2985074626865667E-2</v>
      </c>
    </row>
    <row r="8317" spans="1:7" x14ac:dyDescent="0.3">
      <c r="A8317" s="24">
        <v>43195</v>
      </c>
      <c r="B8317" s="66">
        <v>1467.8249000000001</v>
      </c>
      <c r="C8317" s="66">
        <v>1865</v>
      </c>
      <c r="D8317" s="70">
        <v>0</v>
      </c>
      <c r="E8317" s="111">
        <f t="shared" si="133"/>
        <v>138710</v>
      </c>
      <c r="F8317" s="69">
        <v>6.9883199307170241E-2</v>
      </c>
      <c r="G8317" s="69">
        <v>7.2985074626865667E-2</v>
      </c>
    </row>
    <row r="8318" spans="1:7" x14ac:dyDescent="0.3">
      <c r="A8318" s="24">
        <v>43196</v>
      </c>
      <c r="B8318" s="66">
        <v>1467.8249000000001</v>
      </c>
      <c r="C8318" s="66">
        <v>1880</v>
      </c>
      <c r="D8318" s="70">
        <v>0</v>
      </c>
      <c r="E8318" s="111">
        <f t="shared" si="133"/>
        <v>138710</v>
      </c>
      <c r="F8318" s="69">
        <v>6.9883199307170241E-2</v>
      </c>
      <c r="G8318" s="69">
        <v>7.2444444444444436E-2</v>
      </c>
    </row>
    <row r="8319" spans="1:7" x14ac:dyDescent="0.3">
      <c r="A8319" s="24">
        <v>43197</v>
      </c>
      <c r="B8319" s="66">
        <v>1467.8249000000001</v>
      </c>
      <c r="C8319" s="66">
        <v>1880</v>
      </c>
      <c r="D8319" s="70">
        <v>0</v>
      </c>
      <c r="E8319" s="111">
        <f t="shared" si="133"/>
        <v>138710</v>
      </c>
      <c r="F8319" s="69">
        <v>6.9883199307170241E-2</v>
      </c>
      <c r="G8319" s="69">
        <v>7.2444444444444436E-2</v>
      </c>
    </row>
    <row r="8320" spans="1:7" x14ac:dyDescent="0.3">
      <c r="A8320" s="24">
        <v>43198</v>
      </c>
      <c r="B8320" s="66">
        <v>1467.8249000000001</v>
      </c>
      <c r="C8320" s="66">
        <v>1880</v>
      </c>
      <c r="D8320" s="70">
        <v>0</v>
      </c>
      <c r="E8320" s="111">
        <f t="shared" si="133"/>
        <v>138710</v>
      </c>
      <c r="F8320" s="69">
        <v>6.9883199307170241E-2</v>
      </c>
      <c r="G8320" s="69">
        <v>7.2444444444444436E-2</v>
      </c>
    </row>
    <row r="8321" spans="1:7" x14ac:dyDescent="0.3">
      <c r="A8321" s="24">
        <v>43199</v>
      </c>
      <c r="B8321" s="66">
        <v>1467.8249000000001</v>
      </c>
      <c r="C8321" s="66">
        <v>1880</v>
      </c>
      <c r="D8321" s="70">
        <v>0</v>
      </c>
      <c r="E8321" s="111">
        <f t="shared" si="133"/>
        <v>138710</v>
      </c>
      <c r="F8321" s="69">
        <v>6.9883199307170241E-2</v>
      </c>
      <c r="G8321" s="69">
        <v>7.2444444444444436E-2</v>
      </c>
    </row>
    <row r="8322" spans="1:7" x14ac:dyDescent="0.3">
      <c r="A8322" s="24">
        <v>43200</v>
      </c>
      <c r="B8322" s="66">
        <v>1467.8249000000001</v>
      </c>
      <c r="C8322" s="66">
        <v>1878</v>
      </c>
      <c r="D8322" s="70">
        <v>0</v>
      </c>
      <c r="E8322" s="111">
        <f t="shared" si="133"/>
        <v>138710</v>
      </c>
      <c r="F8322" s="69">
        <v>6.9883199307170241E-2</v>
      </c>
      <c r="G8322" s="69">
        <v>7.1911764705882356E-2</v>
      </c>
    </row>
    <row r="8323" spans="1:7" x14ac:dyDescent="0.3">
      <c r="A8323" s="24">
        <v>43201</v>
      </c>
      <c r="B8323" s="66">
        <v>1467.8249000000001</v>
      </c>
      <c r="C8323" s="66">
        <v>1878</v>
      </c>
      <c r="D8323" s="70">
        <v>0</v>
      </c>
      <c r="E8323" s="111">
        <f t="shared" si="133"/>
        <v>138710</v>
      </c>
      <c r="F8323" s="69">
        <v>6.9883199307170241E-2</v>
      </c>
      <c r="G8323" s="69">
        <v>7.1386861313868608E-2</v>
      </c>
    </row>
    <row r="8324" spans="1:7" x14ac:dyDescent="0.3">
      <c r="A8324" s="24">
        <v>43202</v>
      </c>
      <c r="B8324" s="66">
        <v>1467.8249000000001</v>
      </c>
      <c r="C8324" s="66">
        <v>1877.5</v>
      </c>
      <c r="D8324" s="70">
        <v>0</v>
      </c>
      <c r="E8324" s="111">
        <f t="shared" si="133"/>
        <v>138710</v>
      </c>
      <c r="F8324" s="69">
        <v>6.9883199307170241E-2</v>
      </c>
      <c r="G8324" s="69">
        <v>7.1386861313868608E-2</v>
      </c>
    </row>
    <row r="8325" spans="1:7" x14ac:dyDescent="0.3">
      <c r="A8325" s="24">
        <v>43203</v>
      </c>
      <c r="B8325" s="66">
        <v>1467.8249000000001</v>
      </c>
      <c r="C8325" s="66">
        <v>1870</v>
      </c>
      <c r="D8325" s="70">
        <v>0</v>
      </c>
      <c r="E8325" s="111">
        <f t="shared" si="133"/>
        <v>138710</v>
      </c>
      <c r="F8325" s="69">
        <v>6.9883199307170241E-2</v>
      </c>
      <c r="G8325" s="69">
        <v>7.1386861313868608E-2</v>
      </c>
    </row>
    <row r="8326" spans="1:7" x14ac:dyDescent="0.3">
      <c r="A8326" s="24">
        <v>43204</v>
      </c>
      <c r="B8326" s="66">
        <v>1467.8249000000001</v>
      </c>
      <c r="C8326" s="66">
        <v>1870</v>
      </c>
      <c r="D8326" s="70">
        <v>0</v>
      </c>
      <c r="E8326" s="111">
        <f t="shared" si="133"/>
        <v>138710</v>
      </c>
      <c r="F8326" s="69">
        <v>6.9883199307170241E-2</v>
      </c>
      <c r="G8326" s="69">
        <v>7.1386861313868608E-2</v>
      </c>
    </row>
    <row r="8327" spans="1:7" x14ac:dyDescent="0.3">
      <c r="A8327" s="24">
        <v>43205</v>
      </c>
      <c r="B8327" s="66">
        <v>1467.8249000000001</v>
      </c>
      <c r="C8327" s="66">
        <v>1870</v>
      </c>
      <c r="D8327" s="70">
        <v>0</v>
      </c>
      <c r="E8327" s="111">
        <f t="shared" si="133"/>
        <v>138710</v>
      </c>
      <c r="F8327" s="69">
        <v>6.9883199307170241E-2</v>
      </c>
      <c r="G8327" s="69">
        <v>7.1386861313868608E-2</v>
      </c>
    </row>
    <row r="8328" spans="1:7" x14ac:dyDescent="0.3">
      <c r="A8328" s="24">
        <v>43206</v>
      </c>
      <c r="B8328" s="66">
        <v>1467.8249000000001</v>
      </c>
      <c r="C8328" s="66">
        <v>1868.9</v>
      </c>
      <c r="D8328" s="70">
        <v>0</v>
      </c>
      <c r="E8328" s="111">
        <f t="shared" si="133"/>
        <v>138710</v>
      </c>
      <c r="F8328" s="69">
        <v>6.9883199307170241E-2</v>
      </c>
      <c r="G8328" s="69">
        <v>7.0874701065294574E-2</v>
      </c>
    </row>
    <row r="8329" spans="1:7" x14ac:dyDescent="0.3">
      <c r="A8329" s="24">
        <v>43207</v>
      </c>
      <c r="B8329" s="66">
        <v>1467.8249000000001</v>
      </c>
      <c r="C8329" s="66">
        <v>1850</v>
      </c>
      <c r="D8329" s="70">
        <v>0</v>
      </c>
      <c r="E8329" s="111">
        <f t="shared" ref="E8329:E8392" si="134">+E8328</f>
        <v>138710</v>
      </c>
      <c r="F8329" s="69">
        <v>6.9883199307170241E-2</v>
      </c>
      <c r="G8329" s="69">
        <v>7.1386861313868608E-2</v>
      </c>
    </row>
    <row r="8330" spans="1:7" x14ac:dyDescent="0.3">
      <c r="A8330" s="24">
        <v>43208</v>
      </c>
      <c r="B8330" s="66">
        <v>1467.8249000000001</v>
      </c>
      <c r="C8330" s="66">
        <v>1849.9</v>
      </c>
      <c r="D8330" s="70">
        <v>0</v>
      </c>
      <c r="E8330" s="111">
        <f t="shared" si="134"/>
        <v>138710</v>
      </c>
      <c r="F8330" s="69">
        <v>6.9883199307170241E-2</v>
      </c>
      <c r="G8330" s="69">
        <v>7.1386861313868608E-2</v>
      </c>
    </row>
    <row r="8331" spans="1:7" x14ac:dyDescent="0.3">
      <c r="A8331" s="24">
        <v>43209</v>
      </c>
      <c r="B8331" s="66">
        <v>1467.8249000000001</v>
      </c>
      <c r="C8331" s="66">
        <v>1840</v>
      </c>
      <c r="D8331" s="70">
        <v>0</v>
      </c>
      <c r="E8331" s="111">
        <f t="shared" si="134"/>
        <v>138710</v>
      </c>
      <c r="F8331" s="69">
        <v>6.9883199307170241E-2</v>
      </c>
      <c r="G8331" s="69">
        <v>7.112727272727272E-2</v>
      </c>
    </row>
    <row r="8332" spans="1:7" x14ac:dyDescent="0.3">
      <c r="A8332" s="24">
        <v>43210</v>
      </c>
      <c r="B8332" s="66">
        <v>1467.8249000000001</v>
      </c>
      <c r="C8332" s="66">
        <v>1840</v>
      </c>
      <c r="D8332" s="70">
        <v>0</v>
      </c>
      <c r="E8332" s="111">
        <f t="shared" si="134"/>
        <v>138710</v>
      </c>
      <c r="F8332" s="69">
        <v>6.9883199307170241E-2</v>
      </c>
      <c r="G8332" s="69">
        <v>7.0869565217391309E-2</v>
      </c>
    </row>
    <row r="8333" spans="1:7" x14ac:dyDescent="0.3">
      <c r="A8333" s="24">
        <v>43211</v>
      </c>
      <c r="B8333" s="66">
        <v>1467.8249000000001</v>
      </c>
      <c r="C8333" s="66">
        <v>1840</v>
      </c>
      <c r="D8333" s="70">
        <v>0</v>
      </c>
      <c r="E8333" s="111">
        <f t="shared" si="134"/>
        <v>138710</v>
      </c>
      <c r="F8333" s="69">
        <v>6.9883199307170241E-2</v>
      </c>
      <c r="G8333" s="69">
        <v>7.0869565217391309E-2</v>
      </c>
    </row>
    <row r="8334" spans="1:7" x14ac:dyDescent="0.3">
      <c r="A8334" s="24">
        <v>43212</v>
      </c>
      <c r="B8334" s="66">
        <v>1467.8249000000001</v>
      </c>
      <c r="C8334" s="66">
        <v>1840</v>
      </c>
      <c r="D8334" s="70">
        <v>0</v>
      </c>
      <c r="E8334" s="111">
        <f t="shared" si="134"/>
        <v>138710</v>
      </c>
      <c r="F8334" s="69">
        <v>6.9883199307170241E-2</v>
      </c>
      <c r="G8334" s="69">
        <v>7.0869565217391309E-2</v>
      </c>
    </row>
    <row r="8335" spans="1:7" x14ac:dyDescent="0.3">
      <c r="A8335" s="24">
        <v>43213</v>
      </c>
      <c r="B8335" s="66">
        <v>1467.8249000000001</v>
      </c>
      <c r="C8335" s="66">
        <v>1830</v>
      </c>
      <c r="D8335" s="70">
        <v>0</v>
      </c>
      <c r="E8335" s="111">
        <f t="shared" si="134"/>
        <v>138710</v>
      </c>
      <c r="F8335" s="69">
        <v>6.9883199307170241E-2</v>
      </c>
      <c r="G8335" s="69">
        <v>7.112727272727272E-2</v>
      </c>
    </row>
    <row r="8336" spans="1:7" x14ac:dyDescent="0.3">
      <c r="A8336" s="24">
        <v>43214</v>
      </c>
      <c r="B8336" s="66">
        <v>1467.8249000000001</v>
      </c>
      <c r="C8336" s="66">
        <v>1829.9</v>
      </c>
      <c r="D8336" s="70">
        <v>0</v>
      </c>
      <c r="E8336" s="111">
        <f t="shared" si="134"/>
        <v>138710</v>
      </c>
      <c r="F8336" s="69">
        <v>6.9883199307170241E-2</v>
      </c>
      <c r="G8336" s="69">
        <v>7.112727272727272E-2</v>
      </c>
    </row>
    <row r="8337" spans="1:7" x14ac:dyDescent="0.3">
      <c r="A8337" s="24">
        <v>43215</v>
      </c>
      <c r="B8337" s="66">
        <v>1467.8249000000001</v>
      </c>
      <c r="C8337" s="66">
        <v>1830</v>
      </c>
      <c r="D8337" s="70">
        <v>0</v>
      </c>
      <c r="E8337" s="111">
        <f t="shared" si="134"/>
        <v>138710</v>
      </c>
      <c r="F8337" s="69">
        <v>6.9883199307170241E-2</v>
      </c>
      <c r="G8337" s="69">
        <v>7.112727272727272E-2</v>
      </c>
    </row>
    <row r="8338" spans="1:7" x14ac:dyDescent="0.3">
      <c r="A8338" s="24">
        <v>43216</v>
      </c>
      <c r="B8338" s="66">
        <v>1467.8249000000001</v>
      </c>
      <c r="C8338" s="66">
        <v>1830</v>
      </c>
      <c r="D8338" s="70">
        <v>0</v>
      </c>
      <c r="E8338" s="111">
        <f t="shared" si="134"/>
        <v>138710</v>
      </c>
      <c r="F8338" s="69">
        <v>6.9883199307170241E-2</v>
      </c>
      <c r="G8338" s="69">
        <v>7.112727272727272E-2</v>
      </c>
    </row>
    <row r="8339" spans="1:7" x14ac:dyDescent="0.3">
      <c r="A8339" s="24">
        <v>43217</v>
      </c>
      <c r="B8339" s="66">
        <v>1467.8249000000001</v>
      </c>
      <c r="C8339" s="66">
        <v>1830</v>
      </c>
      <c r="D8339" s="70">
        <v>0</v>
      </c>
      <c r="E8339" s="111">
        <f t="shared" si="134"/>
        <v>138710</v>
      </c>
      <c r="F8339" s="69">
        <v>6.9024136893749824E-2</v>
      </c>
      <c r="G8339" s="69">
        <v>7.1648351648351649E-2</v>
      </c>
    </row>
    <row r="8340" spans="1:7" x14ac:dyDescent="0.3">
      <c r="A8340" s="24">
        <v>43218</v>
      </c>
      <c r="B8340" s="66">
        <v>1467.8249000000001</v>
      </c>
      <c r="C8340" s="66">
        <v>1830</v>
      </c>
      <c r="D8340" s="70">
        <v>0</v>
      </c>
      <c r="E8340" s="111">
        <f t="shared" si="134"/>
        <v>138710</v>
      </c>
      <c r="F8340" s="69">
        <v>3.9523023170245294E-2</v>
      </c>
      <c r="G8340" s="69">
        <v>4.1025641025641026E-2</v>
      </c>
    </row>
    <row r="8341" spans="1:7" x14ac:dyDescent="0.3">
      <c r="A8341" s="24">
        <v>43219</v>
      </c>
      <c r="B8341" s="66">
        <v>1467.8249000000001</v>
      </c>
      <c r="C8341" s="66">
        <v>1830</v>
      </c>
      <c r="D8341" s="70">
        <v>0</v>
      </c>
      <c r="E8341" s="111">
        <f t="shared" si="134"/>
        <v>138710</v>
      </c>
      <c r="F8341" s="69">
        <v>3.9523023170245294E-2</v>
      </c>
      <c r="G8341" s="69">
        <v>4.1025641025641026E-2</v>
      </c>
    </row>
    <row r="8342" spans="1:7" x14ac:dyDescent="0.3">
      <c r="A8342" s="24">
        <v>43220</v>
      </c>
      <c r="B8342" s="66">
        <v>1489.45577</v>
      </c>
      <c r="C8342" s="66">
        <v>1830</v>
      </c>
      <c r="D8342" s="70">
        <v>0</v>
      </c>
      <c r="E8342" s="111">
        <f t="shared" si="134"/>
        <v>138710</v>
      </c>
      <c r="F8342" s="69">
        <v>3.9523023170245294E-2</v>
      </c>
      <c r="G8342" s="69">
        <v>4.1025641025641026E-2</v>
      </c>
    </row>
    <row r="8343" spans="1:7" x14ac:dyDescent="0.3">
      <c r="A8343" s="24">
        <v>43221</v>
      </c>
      <c r="B8343" s="66">
        <v>1489.45577</v>
      </c>
      <c r="C8343" s="66">
        <v>1830</v>
      </c>
      <c r="D8343" s="70">
        <v>0</v>
      </c>
      <c r="E8343" s="111">
        <f t="shared" si="134"/>
        <v>138710</v>
      </c>
      <c r="F8343" s="69">
        <v>3.9523023170245294E-2</v>
      </c>
      <c r="G8343" s="69">
        <v>4.1025641025641026E-2</v>
      </c>
    </row>
    <row r="8344" spans="1:7" x14ac:dyDescent="0.3">
      <c r="A8344" s="24">
        <v>43222</v>
      </c>
      <c r="B8344" s="66">
        <v>1489.45577</v>
      </c>
      <c r="C8344" s="66">
        <v>1830</v>
      </c>
      <c r="D8344" s="70">
        <v>0</v>
      </c>
      <c r="E8344" s="111">
        <f t="shared" si="134"/>
        <v>138710</v>
      </c>
      <c r="F8344" s="69">
        <v>3.9523023170245294E-2</v>
      </c>
      <c r="G8344" s="69">
        <v>4.072727272727273E-2</v>
      </c>
    </row>
    <row r="8345" spans="1:7" x14ac:dyDescent="0.3">
      <c r="A8345" s="24">
        <v>43223</v>
      </c>
      <c r="B8345" s="66">
        <v>1489.45577</v>
      </c>
      <c r="C8345" s="66">
        <v>1830</v>
      </c>
      <c r="D8345" s="70">
        <v>0</v>
      </c>
      <c r="E8345" s="111">
        <f t="shared" si="134"/>
        <v>138710</v>
      </c>
      <c r="F8345" s="69">
        <v>3.9523023170245294E-2</v>
      </c>
      <c r="G8345" s="69">
        <v>4.072727272727273E-2</v>
      </c>
    </row>
    <row r="8346" spans="1:7" x14ac:dyDescent="0.3">
      <c r="A8346" s="24">
        <v>43224</v>
      </c>
      <c r="B8346" s="66">
        <v>1489.45577</v>
      </c>
      <c r="C8346" s="66">
        <v>1829.9</v>
      </c>
      <c r="D8346" s="70">
        <v>0</v>
      </c>
      <c r="E8346" s="111">
        <f t="shared" si="134"/>
        <v>138710</v>
      </c>
      <c r="F8346" s="69">
        <v>3.9523023170245294E-2</v>
      </c>
      <c r="G8346" s="69">
        <v>4.072727272727273E-2</v>
      </c>
    </row>
    <row r="8347" spans="1:7" x14ac:dyDescent="0.3">
      <c r="A8347" s="24">
        <v>43225</v>
      </c>
      <c r="B8347" s="66">
        <v>1489.45577</v>
      </c>
      <c r="C8347" s="66">
        <v>1829.9</v>
      </c>
      <c r="D8347" s="70">
        <v>0</v>
      </c>
      <c r="E8347" s="111">
        <f t="shared" si="134"/>
        <v>138710</v>
      </c>
      <c r="F8347" s="69">
        <v>3.9523023170245294E-2</v>
      </c>
      <c r="G8347" s="69">
        <v>4.072727272727273E-2</v>
      </c>
    </row>
    <row r="8348" spans="1:7" x14ac:dyDescent="0.3">
      <c r="A8348" s="24">
        <v>43226</v>
      </c>
      <c r="B8348" s="66">
        <v>1489.45577</v>
      </c>
      <c r="C8348" s="66">
        <v>1829.9</v>
      </c>
      <c r="D8348" s="70">
        <v>0</v>
      </c>
      <c r="E8348" s="111">
        <f t="shared" si="134"/>
        <v>138710</v>
      </c>
      <c r="F8348" s="69">
        <v>3.9523023170245294E-2</v>
      </c>
      <c r="G8348" s="69">
        <v>4.072727272727273E-2</v>
      </c>
    </row>
    <row r="8349" spans="1:7" x14ac:dyDescent="0.3">
      <c r="A8349" s="24">
        <v>43227</v>
      </c>
      <c r="B8349" s="66">
        <v>1489.45577</v>
      </c>
      <c r="C8349" s="66">
        <v>1809.4</v>
      </c>
      <c r="D8349" s="70">
        <v>0</v>
      </c>
      <c r="E8349" s="111">
        <f t="shared" si="134"/>
        <v>138710</v>
      </c>
      <c r="F8349" s="69">
        <v>3.9523023170245294E-2</v>
      </c>
      <c r="G8349" s="69">
        <v>4.0875912408759124E-2</v>
      </c>
    </row>
    <row r="8350" spans="1:7" x14ac:dyDescent="0.3">
      <c r="A8350" s="24">
        <v>43228</v>
      </c>
      <c r="B8350" s="66">
        <v>1489.45577</v>
      </c>
      <c r="C8350" s="66">
        <v>1810</v>
      </c>
      <c r="D8350" s="70">
        <v>0</v>
      </c>
      <c r="E8350" s="111">
        <f t="shared" si="134"/>
        <v>138710</v>
      </c>
      <c r="F8350" s="69">
        <v>3.9523023170245294E-2</v>
      </c>
      <c r="G8350" s="69">
        <v>4.060913705583756E-2</v>
      </c>
    </row>
    <row r="8351" spans="1:7" x14ac:dyDescent="0.3">
      <c r="A8351" s="24">
        <v>43229</v>
      </c>
      <c r="B8351" s="66">
        <v>1489.45577</v>
      </c>
      <c r="C8351" s="66">
        <v>1809.9</v>
      </c>
      <c r="D8351" s="70">
        <v>0</v>
      </c>
      <c r="E8351" s="111">
        <f t="shared" si="134"/>
        <v>138710</v>
      </c>
      <c r="F8351" s="69">
        <v>3.9523023170245294E-2</v>
      </c>
      <c r="G8351" s="69">
        <v>4.0638606676342524E-2</v>
      </c>
    </row>
    <row r="8352" spans="1:7" x14ac:dyDescent="0.3">
      <c r="A8352" s="24">
        <v>43230</v>
      </c>
      <c r="B8352" s="66">
        <v>1489.45577</v>
      </c>
      <c r="C8352" s="66">
        <v>1809</v>
      </c>
      <c r="D8352" s="70">
        <v>44.5</v>
      </c>
      <c r="E8352" s="111">
        <f t="shared" si="134"/>
        <v>138710</v>
      </c>
      <c r="F8352" s="69">
        <v>7.0929711225172359E-2</v>
      </c>
      <c r="G8352" s="69">
        <v>7.2931785195936141E-2</v>
      </c>
    </row>
    <row r="8353" spans="1:7" x14ac:dyDescent="0.3">
      <c r="A8353" s="24">
        <v>43231</v>
      </c>
      <c r="B8353" s="66">
        <v>1489.45577</v>
      </c>
      <c r="C8353" s="66">
        <v>1808.9</v>
      </c>
      <c r="D8353" s="70">
        <v>0</v>
      </c>
      <c r="E8353" s="111">
        <f t="shared" si="134"/>
        <v>138710</v>
      </c>
      <c r="F8353" s="69">
        <v>7.0929711225172359E-2</v>
      </c>
      <c r="G8353" s="69">
        <v>7.2826086956521735E-2</v>
      </c>
    </row>
    <row r="8354" spans="1:7" x14ac:dyDescent="0.3">
      <c r="A8354" s="24">
        <v>43232</v>
      </c>
      <c r="B8354" s="66">
        <v>1489.45577</v>
      </c>
      <c r="C8354" s="66">
        <v>1808.9</v>
      </c>
      <c r="D8354" s="70">
        <v>0</v>
      </c>
      <c r="E8354" s="111">
        <f t="shared" si="134"/>
        <v>138710</v>
      </c>
      <c r="F8354" s="69">
        <v>7.0929711225172359E-2</v>
      </c>
      <c r="G8354" s="69">
        <v>7.2826086956521735E-2</v>
      </c>
    </row>
    <row r="8355" spans="1:7" x14ac:dyDescent="0.3">
      <c r="A8355" s="24">
        <v>43233</v>
      </c>
      <c r="B8355" s="66">
        <v>1489.45577</v>
      </c>
      <c r="C8355" s="66">
        <v>1808.9</v>
      </c>
      <c r="D8355" s="70">
        <v>0</v>
      </c>
      <c r="E8355" s="111">
        <f t="shared" si="134"/>
        <v>138710</v>
      </c>
      <c r="F8355" s="69">
        <v>7.0929711225172359E-2</v>
      </c>
      <c r="G8355" s="69">
        <v>7.2826086956521735E-2</v>
      </c>
    </row>
    <row r="8356" spans="1:7" x14ac:dyDescent="0.3">
      <c r="A8356" s="24">
        <v>43234</v>
      </c>
      <c r="B8356" s="66">
        <v>1489.45577</v>
      </c>
      <c r="C8356" s="66">
        <v>1806.9</v>
      </c>
      <c r="D8356" s="70">
        <v>0</v>
      </c>
      <c r="E8356" s="111">
        <f t="shared" si="134"/>
        <v>138710</v>
      </c>
      <c r="F8356" s="69">
        <v>7.0929711225172359E-2</v>
      </c>
      <c r="G8356" s="69">
        <v>7.287895060112444E-2</v>
      </c>
    </row>
    <row r="8357" spans="1:7" x14ac:dyDescent="0.3">
      <c r="A8357" s="24">
        <v>43235</v>
      </c>
      <c r="B8357" s="66">
        <v>1489.45577</v>
      </c>
      <c r="C8357" s="66">
        <v>1804.9900000000002</v>
      </c>
      <c r="D8357" s="70">
        <v>0</v>
      </c>
      <c r="E8357" s="111">
        <f t="shared" si="134"/>
        <v>138710</v>
      </c>
      <c r="F8357" s="69">
        <v>7.0929711225172359E-2</v>
      </c>
      <c r="G8357" s="69">
        <v>7.2878897751994201E-2</v>
      </c>
    </row>
    <row r="8358" spans="1:7" x14ac:dyDescent="0.3">
      <c r="A8358" s="24">
        <v>43236</v>
      </c>
      <c r="B8358" s="66">
        <v>1489.45577</v>
      </c>
      <c r="C8358" s="66">
        <v>1804.5</v>
      </c>
      <c r="D8358" s="70">
        <v>0</v>
      </c>
      <c r="E8358" s="111">
        <f t="shared" si="134"/>
        <v>138710</v>
      </c>
      <c r="F8358" s="69">
        <v>7.0929711225172359E-2</v>
      </c>
      <c r="G8358" s="69">
        <v>7.2563176895306863E-2</v>
      </c>
    </row>
    <row r="8359" spans="1:7" x14ac:dyDescent="0.3">
      <c r="A8359" s="24">
        <v>43237</v>
      </c>
      <c r="B8359" s="66">
        <v>1489.45577</v>
      </c>
      <c r="C8359" s="66">
        <v>1806.9</v>
      </c>
      <c r="D8359" s="70">
        <v>0</v>
      </c>
      <c r="E8359" s="111">
        <f t="shared" si="134"/>
        <v>138710</v>
      </c>
      <c r="F8359" s="69">
        <v>7.0929711225172359E-2</v>
      </c>
      <c r="G8359" s="69">
        <v>7.261560693641618E-2</v>
      </c>
    </row>
    <row r="8360" spans="1:7" x14ac:dyDescent="0.3">
      <c r="A8360" s="24">
        <v>43238</v>
      </c>
      <c r="B8360" s="66">
        <v>1489.45577</v>
      </c>
      <c r="C8360" s="66">
        <v>1810</v>
      </c>
      <c r="D8360" s="70">
        <v>0</v>
      </c>
      <c r="E8360" s="111">
        <f t="shared" si="134"/>
        <v>138710</v>
      </c>
      <c r="F8360" s="69">
        <v>7.0929711225172359E-2</v>
      </c>
      <c r="G8360" s="69">
        <v>7.2826086956521735E-2</v>
      </c>
    </row>
    <row r="8361" spans="1:7" x14ac:dyDescent="0.3">
      <c r="A8361" s="24">
        <v>43239</v>
      </c>
      <c r="B8361" s="66">
        <v>1489.45577</v>
      </c>
      <c r="C8361" s="66">
        <v>1810</v>
      </c>
      <c r="D8361" s="70">
        <v>0</v>
      </c>
      <c r="E8361" s="111">
        <f t="shared" si="134"/>
        <v>138710</v>
      </c>
      <c r="F8361" s="69">
        <v>7.0929711225172359E-2</v>
      </c>
      <c r="G8361" s="69">
        <v>7.2826086956521735E-2</v>
      </c>
    </row>
    <row r="8362" spans="1:7" x14ac:dyDescent="0.3">
      <c r="A8362" s="24">
        <v>43240</v>
      </c>
      <c r="B8362" s="66">
        <v>1489.45577</v>
      </c>
      <c r="C8362" s="66">
        <v>1810</v>
      </c>
      <c r="D8362" s="70">
        <v>0</v>
      </c>
      <c r="E8362" s="111">
        <f t="shared" si="134"/>
        <v>138710</v>
      </c>
      <c r="F8362" s="69">
        <v>7.0929711225172359E-2</v>
      </c>
      <c r="G8362" s="69">
        <v>7.2826086956521735E-2</v>
      </c>
    </row>
    <row r="8363" spans="1:7" x14ac:dyDescent="0.3">
      <c r="A8363" s="24">
        <v>43241</v>
      </c>
      <c r="B8363" s="66">
        <v>1489.45577</v>
      </c>
      <c r="C8363" s="66">
        <v>1810</v>
      </c>
      <c r="D8363" s="70">
        <v>0</v>
      </c>
      <c r="E8363" s="111">
        <f t="shared" si="134"/>
        <v>138710</v>
      </c>
      <c r="F8363" s="69">
        <v>7.0929711225172359E-2</v>
      </c>
      <c r="G8363" s="69">
        <v>7.3090909090909095E-2</v>
      </c>
    </row>
    <row r="8364" spans="1:7" x14ac:dyDescent="0.3">
      <c r="A8364" s="24">
        <v>43242</v>
      </c>
      <c r="B8364" s="66">
        <v>1489.45577</v>
      </c>
      <c r="C8364" s="66">
        <v>1810</v>
      </c>
      <c r="D8364" s="70">
        <v>0</v>
      </c>
      <c r="E8364" s="111">
        <f t="shared" si="134"/>
        <v>138710</v>
      </c>
      <c r="F8364" s="69">
        <v>7.0929711225172359E-2</v>
      </c>
      <c r="G8364" s="69">
        <v>7.2826086956521735E-2</v>
      </c>
    </row>
    <row r="8365" spans="1:7" x14ac:dyDescent="0.3">
      <c r="A8365" s="24">
        <v>43243</v>
      </c>
      <c r="B8365" s="66">
        <v>1489.45577</v>
      </c>
      <c r="C8365" s="66">
        <v>1850</v>
      </c>
      <c r="D8365" s="70">
        <v>0</v>
      </c>
      <c r="E8365" s="111">
        <f t="shared" si="134"/>
        <v>138710</v>
      </c>
      <c r="F8365" s="69">
        <v>7.0929711225172359E-2</v>
      </c>
      <c r="G8365" s="69">
        <v>7.2720694645441383E-2</v>
      </c>
    </row>
    <row r="8366" spans="1:7" x14ac:dyDescent="0.3">
      <c r="A8366" s="24">
        <v>43244</v>
      </c>
      <c r="B8366" s="66">
        <v>1489.45577</v>
      </c>
      <c r="C8366" s="66">
        <v>1848</v>
      </c>
      <c r="D8366" s="70">
        <v>0</v>
      </c>
      <c r="E8366" s="111">
        <f t="shared" si="134"/>
        <v>138710</v>
      </c>
      <c r="F8366" s="69">
        <v>7.0929711225172359E-2</v>
      </c>
      <c r="G8366" s="69">
        <v>7.2715433036683319E-2</v>
      </c>
    </row>
    <row r="8367" spans="1:7" x14ac:dyDescent="0.3">
      <c r="A8367" s="24">
        <v>43245</v>
      </c>
      <c r="B8367" s="66">
        <v>1489.45577</v>
      </c>
      <c r="C8367" s="66">
        <v>1840</v>
      </c>
      <c r="D8367" s="70">
        <v>0</v>
      </c>
      <c r="E8367" s="111">
        <f t="shared" si="134"/>
        <v>138710</v>
      </c>
      <c r="F8367" s="69">
        <v>7.0929711225172359E-2</v>
      </c>
      <c r="G8367" s="69">
        <v>7.2715433036683319E-2</v>
      </c>
    </row>
    <row r="8368" spans="1:7" x14ac:dyDescent="0.3">
      <c r="A8368" s="24">
        <v>43246</v>
      </c>
      <c r="B8368" s="66">
        <v>1489.45577</v>
      </c>
      <c r="C8368" s="66">
        <v>1840</v>
      </c>
      <c r="D8368" s="70">
        <v>0</v>
      </c>
      <c r="E8368" s="111">
        <f t="shared" si="134"/>
        <v>138710</v>
      </c>
      <c r="F8368" s="69">
        <v>7.0929711225172359E-2</v>
      </c>
      <c r="G8368" s="69">
        <v>7.2715433036683319E-2</v>
      </c>
    </row>
    <row r="8369" spans="1:7" x14ac:dyDescent="0.3">
      <c r="A8369" s="24">
        <v>43247</v>
      </c>
      <c r="B8369" s="66">
        <v>1489.45577</v>
      </c>
      <c r="C8369" s="66">
        <v>1840</v>
      </c>
      <c r="D8369" s="70">
        <v>0</v>
      </c>
      <c r="E8369" s="111">
        <f t="shared" si="134"/>
        <v>138710</v>
      </c>
      <c r="F8369" s="69">
        <v>7.0929711225172359E-2</v>
      </c>
      <c r="G8369" s="69">
        <v>7.2715433036683319E-2</v>
      </c>
    </row>
    <row r="8370" spans="1:7" x14ac:dyDescent="0.3">
      <c r="A8370" s="24">
        <v>43248</v>
      </c>
      <c r="B8370" s="66">
        <v>1489.45577</v>
      </c>
      <c r="C8370" s="66">
        <v>1840</v>
      </c>
      <c r="D8370" s="70">
        <v>0</v>
      </c>
      <c r="E8370" s="111">
        <f t="shared" si="134"/>
        <v>138710</v>
      </c>
      <c r="F8370" s="69">
        <v>7.0929711225172359E-2</v>
      </c>
      <c r="G8370" s="69">
        <v>7.2715433036683319E-2</v>
      </c>
    </row>
    <row r="8371" spans="1:7" x14ac:dyDescent="0.3">
      <c r="A8371" s="24">
        <v>43249</v>
      </c>
      <c r="B8371" s="66">
        <v>1489.45577</v>
      </c>
      <c r="C8371" s="66">
        <v>1837.9</v>
      </c>
      <c r="D8371" s="70">
        <v>0</v>
      </c>
      <c r="E8371" s="111">
        <f t="shared" si="134"/>
        <v>138710</v>
      </c>
      <c r="F8371" s="69">
        <v>7.0929711225172359E-2</v>
      </c>
      <c r="G8371" s="69">
        <v>7.203784674933697E-2</v>
      </c>
    </row>
    <row r="8372" spans="1:7" x14ac:dyDescent="0.3">
      <c r="A8372" s="24">
        <v>43250</v>
      </c>
      <c r="B8372" s="66">
        <v>1489.45577</v>
      </c>
      <c r="C8372" s="66">
        <v>1805.2</v>
      </c>
      <c r="D8372" s="70">
        <v>0</v>
      </c>
      <c r="E8372" s="111">
        <f t="shared" si="134"/>
        <v>138710</v>
      </c>
      <c r="F8372" s="69">
        <v>7.0929711225172359E-2</v>
      </c>
      <c r="G8372" s="69">
        <v>7.0034843205574918E-2</v>
      </c>
    </row>
    <row r="8373" spans="1:7" x14ac:dyDescent="0.3">
      <c r="A8373" s="24">
        <v>43251</v>
      </c>
      <c r="B8373" s="66">
        <v>1489.45577</v>
      </c>
      <c r="C8373" s="66">
        <v>1834.5</v>
      </c>
      <c r="D8373" s="70">
        <v>0</v>
      </c>
      <c r="E8373" s="111">
        <f t="shared" si="134"/>
        <v>138710</v>
      </c>
      <c r="F8373" s="69">
        <v>7.0929711225172359E-2</v>
      </c>
      <c r="G8373" s="69">
        <v>6.9310344827586204E-2</v>
      </c>
    </row>
    <row r="8374" spans="1:7" x14ac:dyDescent="0.3">
      <c r="A8374" s="24">
        <v>43252</v>
      </c>
      <c r="B8374" s="66">
        <v>1489.45577</v>
      </c>
      <c r="C8374" s="66">
        <v>1830</v>
      </c>
      <c r="D8374" s="70">
        <v>0</v>
      </c>
      <c r="E8374" s="111">
        <f t="shared" si="134"/>
        <v>138710</v>
      </c>
      <c r="F8374" s="69">
        <v>7.0929711225172359E-2</v>
      </c>
      <c r="G8374" s="69">
        <v>6.9310344827586204E-2</v>
      </c>
    </row>
    <row r="8375" spans="1:7" x14ac:dyDescent="0.3">
      <c r="A8375" s="24">
        <v>43253</v>
      </c>
      <c r="B8375" s="66">
        <v>1489.45577</v>
      </c>
      <c r="C8375" s="66">
        <v>1830</v>
      </c>
      <c r="D8375" s="70">
        <v>0</v>
      </c>
      <c r="E8375" s="111">
        <f t="shared" si="134"/>
        <v>138710</v>
      </c>
      <c r="F8375" s="69">
        <v>7.0929711225172359E-2</v>
      </c>
      <c r="G8375" s="69">
        <v>6.9310344827586204E-2</v>
      </c>
    </row>
    <row r="8376" spans="1:7" x14ac:dyDescent="0.3">
      <c r="A8376" s="24">
        <v>43254</v>
      </c>
      <c r="B8376" s="66">
        <v>1489.45577</v>
      </c>
      <c r="C8376" s="66">
        <v>1830</v>
      </c>
      <c r="D8376" s="70">
        <v>0</v>
      </c>
      <c r="E8376" s="111">
        <f t="shared" si="134"/>
        <v>138710</v>
      </c>
      <c r="F8376" s="69">
        <v>7.0929711225172359E-2</v>
      </c>
      <c r="G8376" s="69">
        <v>6.9310344827586204E-2</v>
      </c>
    </row>
    <row r="8377" spans="1:7" x14ac:dyDescent="0.3">
      <c r="A8377" s="24">
        <v>43255</v>
      </c>
      <c r="B8377" s="66">
        <v>1489.45577</v>
      </c>
      <c r="C8377" s="66">
        <v>1835</v>
      </c>
      <c r="D8377" s="70">
        <v>0</v>
      </c>
      <c r="E8377" s="111">
        <f t="shared" si="134"/>
        <v>138710</v>
      </c>
      <c r="F8377" s="69">
        <v>7.0929711225172359E-2</v>
      </c>
      <c r="G8377" s="69">
        <v>6.884033152955682E-2</v>
      </c>
    </row>
    <row r="8378" spans="1:7" x14ac:dyDescent="0.3">
      <c r="A8378" s="24">
        <v>43256</v>
      </c>
      <c r="B8378" s="66">
        <v>1489.45577</v>
      </c>
      <c r="C8378" s="66">
        <v>1834.5</v>
      </c>
      <c r="D8378" s="70">
        <v>0</v>
      </c>
      <c r="E8378" s="111">
        <f t="shared" si="134"/>
        <v>138710</v>
      </c>
      <c r="F8378" s="69">
        <v>7.0929711225172359E-2</v>
      </c>
      <c r="G8378" s="69">
        <v>6.8835616438356159E-2</v>
      </c>
    </row>
    <row r="8379" spans="1:7" x14ac:dyDescent="0.3">
      <c r="A8379" s="24">
        <v>43257</v>
      </c>
      <c r="B8379" s="66">
        <v>1489.45577</v>
      </c>
      <c r="C8379" s="66">
        <v>1835</v>
      </c>
      <c r="D8379" s="70">
        <v>0</v>
      </c>
      <c r="E8379" s="111">
        <f t="shared" si="134"/>
        <v>138710</v>
      </c>
      <c r="F8379" s="69">
        <v>7.0929711225172359E-2</v>
      </c>
      <c r="G8379" s="69">
        <v>6.7905405405405406E-2</v>
      </c>
    </row>
    <row r="8380" spans="1:7" x14ac:dyDescent="0.3">
      <c r="A8380" s="24">
        <v>43258</v>
      </c>
      <c r="B8380" s="66">
        <v>1489.45577</v>
      </c>
      <c r="C8380" s="66">
        <v>1834.8</v>
      </c>
      <c r="D8380" s="70">
        <v>0</v>
      </c>
      <c r="E8380" s="111">
        <f t="shared" si="134"/>
        <v>138710</v>
      </c>
      <c r="F8380" s="69">
        <v>7.0929711225172359E-2</v>
      </c>
      <c r="G8380" s="69">
        <v>6.7909993918508008E-2</v>
      </c>
    </row>
    <row r="8381" spans="1:7" x14ac:dyDescent="0.3">
      <c r="A8381" s="24">
        <v>43259</v>
      </c>
      <c r="B8381" s="66">
        <v>1489.45577</v>
      </c>
      <c r="C8381" s="66">
        <v>1835</v>
      </c>
      <c r="D8381" s="70">
        <v>0</v>
      </c>
      <c r="E8381" s="111">
        <f t="shared" si="134"/>
        <v>138710</v>
      </c>
      <c r="F8381" s="69">
        <v>7.0929711225172359E-2</v>
      </c>
      <c r="G8381" s="69">
        <v>6.7928354173707337E-2</v>
      </c>
    </row>
    <row r="8382" spans="1:7" x14ac:dyDescent="0.3">
      <c r="A8382" s="24">
        <v>43260</v>
      </c>
      <c r="B8382" s="66">
        <v>1489.45577</v>
      </c>
      <c r="C8382" s="66">
        <v>1835</v>
      </c>
      <c r="D8382" s="70">
        <v>0</v>
      </c>
      <c r="E8382" s="111">
        <f t="shared" si="134"/>
        <v>138710</v>
      </c>
      <c r="F8382" s="69">
        <v>7.0929711225172359E-2</v>
      </c>
      <c r="G8382" s="69">
        <v>6.7928354173707337E-2</v>
      </c>
    </row>
    <row r="8383" spans="1:7" x14ac:dyDescent="0.3">
      <c r="A8383" s="24">
        <v>43261</v>
      </c>
      <c r="B8383" s="66">
        <v>1489.45577</v>
      </c>
      <c r="C8383" s="66">
        <v>1835</v>
      </c>
      <c r="D8383" s="70">
        <v>0</v>
      </c>
      <c r="E8383" s="111">
        <f t="shared" si="134"/>
        <v>138710</v>
      </c>
      <c r="F8383" s="69">
        <v>7.0929711225172359E-2</v>
      </c>
      <c r="G8383" s="69">
        <v>6.7928354173707337E-2</v>
      </c>
    </row>
    <row r="8384" spans="1:7" x14ac:dyDescent="0.3">
      <c r="A8384" s="24">
        <v>43262</v>
      </c>
      <c r="B8384" s="66">
        <v>1489.45577</v>
      </c>
      <c r="C8384" s="66">
        <v>1835</v>
      </c>
      <c r="D8384" s="70">
        <v>0</v>
      </c>
      <c r="E8384" s="111">
        <f t="shared" si="134"/>
        <v>138710</v>
      </c>
      <c r="F8384" s="69">
        <v>7.0929711225172359E-2</v>
      </c>
      <c r="G8384" s="69">
        <v>6.7905405405405406E-2</v>
      </c>
    </row>
    <row r="8385" spans="1:7" x14ac:dyDescent="0.3">
      <c r="A8385" s="24">
        <v>43263</v>
      </c>
      <c r="B8385" s="66">
        <v>1489.45577</v>
      </c>
      <c r="C8385" s="66">
        <v>1835</v>
      </c>
      <c r="D8385" s="70">
        <v>0</v>
      </c>
      <c r="E8385" s="111">
        <f t="shared" si="134"/>
        <v>138710</v>
      </c>
      <c r="F8385" s="69">
        <v>7.0929711225172359E-2</v>
      </c>
      <c r="G8385" s="69">
        <v>6.8140212895789545E-2</v>
      </c>
    </row>
    <row r="8386" spans="1:7" x14ac:dyDescent="0.3">
      <c r="A8386" s="24">
        <v>43264</v>
      </c>
      <c r="B8386" s="66">
        <v>1489.45577</v>
      </c>
      <c r="C8386" s="66">
        <v>1835</v>
      </c>
      <c r="D8386" s="70">
        <v>0</v>
      </c>
      <c r="E8386" s="111">
        <f t="shared" si="134"/>
        <v>138710</v>
      </c>
      <c r="F8386" s="69">
        <v>7.0929711225172359E-2</v>
      </c>
      <c r="G8386" s="69">
        <v>6.8600682593856654E-2</v>
      </c>
    </row>
    <row r="8387" spans="1:7" x14ac:dyDescent="0.3">
      <c r="A8387" s="24">
        <v>43265</v>
      </c>
      <c r="B8387" s="66">
        <v>1489.45577</v>
      </c>
      <c r="C8387" s="66">
        <v>1835</v>
      </c>
      <c r="D8387" s="70">
        <v>0</v>
      </c>
      <c r="E8387" s="111">
        <f t="shared" si="134"/>
        <v>138710</v>
      </c>
      <c r="F8387" s="69">
        <v>7.0929711225172359E-2</v>
      </c>
      <c r="G8387" s="69">
        <v>6.8135593220338977E-2</v>
      </c>
    </row>
    <row r="8388" spans="1:7" x14ac:dyDescent="0.3">
      <c r="A8388" s="24">
        <v>43266</v>
      </c>
      <c r="B8388" s="66">
        <v>1489.45577</v>
      </c>
      <c r="C8388" s="66">
        <v>1834.98</v>
      </c>
      <c r="D8388" s="70">
        <v>0</v>
      </c>
      <c r="E8388" s="111">
        <f t="shared" si="134"/>
        <v>138710</v>
      </c>
      <c r="F8388" s="69">
        <v>7.0929711225172359E-2</v>
      </c>
      <c r="G8388" s="69">
        <v>6.7909993918508008E-2</v>
      </c>
    </row>
    <row r="8389" spans="1:7" x14ac:dyDescent="0.3">
      <c r="A8389" s="24">
        <v>43267</v>
      </c>
      <c r="B8389" s="66">
        <v>1489.45577</v>
      </c>
      <c r="C8389" s="66">
        <v>1834.98</v>
      </c>
      <c r="D8389" s="70">
        <v>0</v>
      </c>
      <c r="E8389" s="111">
        <f t="shared" si="134"/>
        <v>138710</v>
      </c>
      <c r="F8389" s="69">
        <v>7.0929711225172359E-2</v>
      </c>
      <c r="G8389" s="69">
        <v>6.7909993918508008E-2</v>
      </c>
    </row>
    <row r="8390" spans="1:7" x14ac:dyDescent="0.3">
      <c r="A8390" s="24">
        <v>43268</v>
      </c>
      <c r="B8390" s="66">
        <v>1489.45577</v>
      </c>
      <c r="C8390" s="66">
        <v>1834.98</v>
      </c>
      <c r="D8390" s="70">
        <v>0</v>
      </c>
      <c r="E8390" s="111">
        <f t="shared" si="134"/>
        <v>138710</v>
      </c>
      <c r="F8390" s="69">
        <v>7.0929711225172359E-2</v>
      </c>
      <c r="G8390" s="69">
        <v>6.7909993918508008E-2</v>
      </c>
    </row>
    <row r="8391" spans="1:7" x14ac:dyDescent="0.3">
      <c r="A8391" s="24">
        <v>43269</v>
      </c>
      <c r="B8391" s="66">
        <v>1489.45577</v>
      </c>
      <c r="C8391" s="66">
        <v>1840</v>
      </c>
      <c r="D8391" s="70">
        <v>0</v>
      </c>
      <c r="E8391" s="111">
        <f t="shared" si="134"/>
        <v>138710</v>
      </c>
      <c r="F8391" s="69">
        <v>7.0929711225172359E-2</v>
      </c>
      <c r="G8391" s="69">
        <v>6.8043331076506439E-2</v>
      </c>
    </row>
    <row r="8392" spans="1:7" x14ac:dyDescent="0.3">
      <c r="A8392" s="24">
        <v>43270</v>
      </c>
      <c r="B8392" s="66">
        <v>1489.45577</v>
      </c>
      <c r="C8392" s="66">
        <v>1845</v>
      </c>
      <c r="D8392" s="70">
        <v>0</v>
      </c>
      <c r="E8392" s="111">
        <f t="shared" si="134"/>
        <v>138710</v>
      </c>
      <c r="F8392" s="69">
        <v>7.0929711225172359E-2</v>
      </c>
      <c r="G8392" s="69">
        <v>6.8117120780805201E-2</v>
      </c>
    </row>
    <row r="8393" spans="1:7" x14ac:dyDescent="0.3">
      <c r="A8393" s="24">
        <v>43271</v>
      </c>
      <c r="B8393" s="66">
        <v>1489.45577</v>
      </c>
      <c r="C8393" s="66">
        <v>1860.0099999999998</v>
      </c>
      <c r="D8393" s="70">
        <v>0</v>
      </c>
      <c r="E8393" s="111">
        <f t="shared" ref="E8393:E8456" si="135">+E8392</f>
        <v>138710</v>
      </c>
      <c r="F8393" s="69">
        <v>7.0929711225172359E-2</v>
      </c>
      <c r="G8393" s="69">
        <v>6.8488483031211661E-2</v>
      </c>
    </row>
    <row r="8394" spans="1:7" x14ac:dyDescent="0.3">
      <c r="A8394" s="24">
        <v>43272</v>
      </c>
      <c r="B8394" s="66">
        <v>1489.45577</v>
      </c>
      <c r="C8394" s="66">
        <v>1860</v>
      </c>
      <c r="D8394" s="70">
        <v>0</v>
      </c>
      <c r="E8394" s="111">
        <f t="shared" si="135"/>
        <v>138710</v>
      </c>
      <c r="F8394" s="69">
        <v>7.0929711225172359E-2</v>
      </c>
      <c r="G8394" s="69">
        <v>6.8371998095108508E-2</v>
      </c>
    </row>
    <row r="8395" spans="1:7" x14ac:dyDescent="0.3">
      <c r="A8395" s="24">
        <v>43273</v>
      </c>
      <c r="B8395" s="66">
        <v>1489.45577</v>
      </c>
      <c r="C8395" s="66">
        <v>1855</v>
      </c>
      <c r="D8395" s="70">
        <v>0</v>
      </c>
      <c r="E8395" s="111">
        <f t="shared" si="135"/>
        <v>138710</v>
      </c>
      <c r="F8395" s="69">
        <v>7.0929711225172359E-2</v>
      </c>
      <c r="G8395" s="69">
        <v>6.8376649884338003E-2</v>
      </c>
    </row>
    <row r="8396" spans="1:7" x14ac:dyDescent="0.3">
      <c r="A8396" s="24">
        <v>43274</v>
      </c>
      <c r="B8396" s="66">
        <v>1489.45577</v>
      </c>
      <c r="C8396" s="66">
        <v>1855</v>
      </c>
      <c r="D8396" s="70">
        <v>0</v>
      </c>
      <c r="E8396" s="111">
        <f t="shared" si="135"/>
        <v>138710</v>
      </c>
      <c r="F8396" s="69">
        <v>6.3872028516199997E-2</v>
      </c>
      <c r="G8396" s="69">
        <v>6.1573003129677506E-2</v>
      </c>
    </row>
    <row r="8397" spans="1:7" x14ac:dyDescent="0.3">
      <c r="A8397" s="24">
        <v>43275</v>
      </c>
      <c r="B8397" s="66">
        <v>1489.45577</v>
      </c>
      <c r="C8397" s="66">
        <v>1855</v>
      </c>
      <c r="D8397" s="70">
        <v>0</v>
      </c>
      <c r="E8397" s="111">
        <f t="shared" si="135"/>
        <v>138710</v>
      </c>
      <c r="F8397" s="69">
        <v>6.3872028516199997E-2</v>
      </c>
      <c r="G8397" s="69">
        <v>6.1573003129677506E-2</v>
      </c>
    </row>
    <row r="8398" spans="1:7" x14ac:dyDescent="0.3">
      <c r="A8398" s="24">
        <v>43276</v>
      </c>
      <c r="B8398" s="66">
        <v>1489.45577</v>
      </c>
      <c r="C8398" s="66">
        <v>1850</v>
      </c>
      <c r="D8398" s="70">
        <v>13</v>
      </c>
      <c r="E8398" s="111">
        <f t="shared" si="135"/>
        <v>138710</v>
      </c>
      <c r="F8398" s="69">
        <v>7.3047016037864079E-2</v>
      </c>
      <c r="G8398" s="69">
        <v>7.0417743910736158E-2</v>
      </c>
    </row>
    <row r="8399" spans="1:7" x14ac:dyDescent="0.3">
      <c r="A8399" s="24">
        <v>43277</v>
      </c>
      <c r="B8399" s="66">
        <v>1489.45577</v>
      </c>
      <c r="C8399" s="66">
        <v>1850</v>
      </c>
      <c r="D8399" s="70">
        <v>0</v>
      </c>
      <c r="E8399" s="111">
        <f t="shared" si="135"/>
        <v>138710</v>
      </c>
      <c r="F8399" s="69">
        <v>7.3047016037864079E-2</v>
      </c>
      <c r="G8399" s="69">
        <v>7.040816326530612E-2</v>
      </c>
    </row>
    <row r="8400" spans="1:7" x14ac:dyDescent="0.3">
      <c r="A8400" s="24">
        <v>43278</v>
      </c>
      <c r="B8400" s="66">
        <v>1489.45577</v>
      </c>
      <c r="C8400" s="66">
        <v>1855</v>
      </c>
      <c r="D8400" s="70">
        <v>0</v>
      </c>
      <c r="E8400" s="111">
        <f t="shared" si="135"/>
        <v>138710</v>
      </c>
      <c r="F8400" s="69">
        <v>7.3047016037864079E-2</v>
      </c>
      <c r="G8400" s="69">
        <v>7.040816326530612E-2</v>
      </c>
    </row>
    <row r="8401" spans="1:7" x14ac:dyDescent="0.3">
      <c r="A8401" s="24">
        <v>43279</v>
      </c>
      <c r="B8401" s="66">
        <v>1489.45577</v>
      </c>
      <c r="C8401" s="66">
        <v>1850</v>
      </c>
      <c r="D8401" s="70">
        <v>0</v>
      </c>
      <c r="E8401" s="111">
        <f t="shared" si="135"/>
        <v>138710</v>
      </c>
      <c r="F8401" s="69">
        <v>7.3047016037864079E-2</v>
      </c>
      <c r="G8401" s="69">
        <v>7.0360299116247457E-2</v>
      </c>
    </row>
    <row r="8402" spans="1:7" x14ac:dyDescent="0.3">
      <c r="A8402" s="24">
        <v>43280</v>
      </c>
      <c r="B8402" s="66">
        <v>1489.45577</v>
      </c>
      <c r="C8402" s="66">
        <v>1860</v>
      </c>
      <c r="D8402" s="70">
        <v>0</v>
      </c>
      <c r="E8402" s="111">
        <f t="shared" si="135"/>
        <v>138710</v>
      </c>
      <c r="F8402" s="69">
        <v>7.3047016037864079E-2</v>
      </c>
      <c r="G8402" s="69">
        <v>6.9932432432432426E-2</v>
      </c>
    </row>
    <row r="8403" spans="1:7" x14ac:dyDescent="0.3">
      <c r="A8403" s="24">
        <v>43281</v>
      </c>
      <c r="B8403" s="66">
        <v>1489.45577</v>
      </c>
      <c r="C8403" s="66">
        <v>1860</v>
      </c>
      <c r="D8403" s="70">
        <v>0</v>
      </c>
      <c r="E8403" s="111">
        <f t="shared" si="135"/>
        <v>138710</v>
      </c>
      <c r="F8403" s="69">
        <v>7.3047016037864079E-2</v>
      </c>
      <c r="G8403" s="69">
        <v>6.9932432432432426E-2</v>
      </c>
    </row>
    <row r="8404" spans="1:7" x14ac:dyDescent="0.3">
      <c r="A8404" s="24">
        <v>43282</v>
      </c>
      <c r="B8404" s="66">
        <v>1489.45577</v>
      </c>
      <c r="C8404" s="66">
        <v>1860</v>
      </c>
      <c r="D8404" s="70">
        <v>0</v>
      </c>
      <c r="E8404" s="111">
        <f t="shared" si="135"/>
        <v>138710</v>
      </c>
      <c r="F8404" s="69">
        <v>7.3047016037864079E-2</v>
      </c>
      <c r="G8404" s="69">
        <v>6.9932432432432426E-2</v>
      </c>
    </row>
    <row r="8405" spans="1:7" x14ac:dyDescent="0.3">
      <c r="A8405" s="24">
        <v>43283</v>
      </c>
      <c r="B8405" s="66">
        <v>1489.45577</v>
      </c>
      <c r="C8405" s="66">
        <v>1860</v>
      </c>
      <c r="D8405" s="70">
        <v>0</v>
      </c>
      <c r="E8405" s="111">
        <f t="shared" si="135"/>
        <v>138710</v>
      </c>
      <c r="F8405" s="69">
        <v>7.3047016037864079E-2</v>
      </c>
      <c r="G8405" s="69">
        <v>6.7207792207792202E-2</v>
      </c>
    </row>
    <row r="8406" spans="1:7" x14ac:dyDescent="0.3">
      <c r="A8406" s="24">
        <v>43284</v>
      </c>
      <c r="B8406" s="66">
        <v>1489.45577</v>
      </c>
      <c r="C8406" s="66">
        <v>1860</v>
      </c>
      <c r="D8406" s="70">
        <v>0</v>
      </c>
      <c r="E8406" s="111">
        <f t="shared" si="135"/>
        <v>138710</v>
      </c>
      <c r="F8406" s="69">
        <v>7.3047016037864079E-2</v>
      </c>
      <c r="G8406" s="69">
        <v>6.5506329113924053E-2</v>
      </c>
    </row>
    <row r="8407" spans="1:7" x14ac:dyDescent="0.3">
      <c r="A8407" s="24">
        <v>43285</v>
      </c>
      <c r="B8407" s="66">
        <v>1489.45577</v>
      </c>
      <c r="C8407" s="66">
        <v>1865</v>
      </c>
      <c r="D8407" s="70">
        <v>0</v>
      </c>
      <c r="E8407" s="111">
        <f t="shared" si="135"/>
        <v>138710</v>
      </c>
      <c r="F8407" s="69">
        <v>7.3047016037864079E-2</v>
      </c>
      <c r="G8407" s="69">
        <v>6.6559485530546622E-2</v>
      </c>
    </row>
    <row r="8408" spans="1:7" x14ac:dyDescent="0.3">
      <c r="A8408" s="24">
        <v>43286</v>
      </c>
      <c r="B8408" s="66">
        <v>1489.45577</v>
      </c>
      <c r="C8408" s="66">
        <v>1869.9</v>
      </c>
      <c r="D8408" s="70">
        <v>0</v>
      </c>
      <c r="E8408" s="111">
        <f t="shared" si="135"/>
        <v>138710</v>
      </c>
      <c r="F8408" s="69">
        <v>7.3047016037864079E-2</v>
      </c>
      <c r="G8408" s="69">
        <v>6.6774193548387095E-2</v>
      </c>
    </row>
    <row r="8409" spans="1:7" x14ac:dyDescent="0.3">
      <c r="A8409" s="24">
        <v>43287</v>
      </c>
      <c r="B8409" s="66">
        <v>1489.45577</v>
      </c>
      <c r="C8409" s="66">
        <v>1880</v>
      </c>
      <c r="D8409" s="70">
        <v>0</v>
      </c>
      <c r="E8409" s="111">
        <f t="shared" si="135"/>
        <v>138710</v>
      </c>
      <c r="F8409" s="69">
        <v>7.3047016037864079E-2</v>
      </c>
      <c r="G8409" s="69">
        <v>6.6990291262135918E-2</v>
      </c>
    </row>
    <row r="8410" spans="1:7" x14ac:dyDescent="0.3">
      <c r="A8410" s="24">
        <v>43288</v>
      </c>
      <c r="B8410" s="66">
        <v>1489.45577</v>
      </c>
      <c r="C8410" s="66">
        <v>1880</v>
      </c>
      <c r="D8410" s="70">
        <v>0</v>
      </c>
      <c r="E8410" s="111">
        <f t="shared" si="135"/>
        <v>138710</v>
      </c>
      <c r="F8410" s="69">
        <v>7.3047016037864079E-2</v>
      </c>
      <c r="G8410" s="69">
        <v>6.6990291262135918E-2</v>
      </c>
    </row>
    <row r="8411" spans="1:7" x14ac:dyDescent="0.3">
      <c r="A8411" s="24">
        <v>43289</v>
      </c>
      <c r="B8411" s="66">
        <v>1489.45577</v>
      </c>
      <c r="C8411" s="66">
        <v>1880</v>
      </c>
      <c r="D8411" s="70">
        <v>0</v>
      </c>
      <c r="E8411" s="111">
        <f t="shared" si="135"/>
        <v>138710</v>
      </c>
      <c r="F8411" s="69">
        <v>7.3047016037864079E-2</v>
      </c>
      <c r="G8411" s="69">
        <v>6.6990291262135918E-2</v>
      </c>
    </row>
    <row r="8412" spans="1:7" x14ac:dyDescent="0.3">
      <c r="A8412" s="24">
        <v>43290</v>
      </c>
      <c r="B8412" s="66">
        <v>1489.45577</v>
      </c>
      <c r="C8412" s="66">
        <v>1900</v>
      </c>
      <c r="D8412" s="70">
        <v>0</v>
      </c>
      <c r="E8412" s="111">
        <f t="shared" si="135"/>
        <v>138710</v>
      </c>
      <c r="F8412" s="69">
        <v>7.3047016037864079E-2</v>
      </c>
      <c r="G8412" s="69">
        <v>6.6990291262135918E-2</v>
      </c>
    </row>
    <row r="8413" spans="1:7" x14ac:dyDescent="0.3">
      <c r="A8413" s="24">
        <v>43291</v>
      </c>
      <c r="B8413" s="66">
        <v>1489.45577</v>
      </c>
      <c r="C8413" s="66">
        <v>1900.1</v>
      </c>
      <c r="D8413" s="70">
        <v>0</v>
      </c>
      <c r="E8413" s="111">
        <f t="shared" si="135"/>
        <v>138710</v>
      </c>
      <c r="F8413" s="69">
        <v>7.3047016037864079E-2</v>
      </c>
      <c r="G8413" s="69">
        <v>6.6778501838828302E-2</v>
      </c>
    </row>
    <row r="8414" spans="1:7" x14ac:dyDescent="0.3">
      <c r="A8414" s="24">
        <v>43292</v>
      </c>
      <c r="B8414" s="66">
        <v>1489.45577</v>
      </c>
      <c r="C8414" s="66">
        <v>1910</v>
      </c>
      <c r="D8414" s="70">
        <v>0</v>
      </c>
      <c r="E8414" s="111">
        <f t="shared" si="135"/>
        <v>138710</v>
      </c>
      <c r="F8414" s="69">
        <v>7.3047016037864079E-2</v>
      </c>
      <c r="G8414" s="69">
        <v>6.6774193548387095E-2</v>
      </c>
    </row>
    <row r="8415" spans="1:7" x14ac:dyDescent="0.3">
      <c r="A8415" s="24">
        <v>43293</v>
      </c>
      <c r="B8415" s="66">
        <v>1489.45577</v>
      </c>
      <c r="C8415" s="66">
        <v>1950</v>
      </c>
      <c r="D8415" s="70">
        <v>0</v>
      </c>
      <c r="E8415" s="111">
        <f t="shared" si="135"/>
        <v>138710</v>
      </c>
      <c r="F8415" s="69">
        <v>7.3047016037864079E-2</v>
      </c>
      <c r="G8415" s="69">
        <v>6.6778501838828302E-2</v>
      </c>
    </row>
    <row r="8416" spans="1:7" x14ac:dyDescent="0.3">
      <c r="A8416" s="24">
        <v>43294</v>
      </c>
      <c r="B8416" s="66">
        <v>1489.45577</v>
      </c>
      <c r="C8416" s="66">
        <v>1950</v>
      </c>
      <c r="D8416" s="70">
        <v>0</v>
      </c>
      <c r="E8416" s="111">
        <f t="shared" si="135"/>
        <v>138710</v>
      </c>
      <c r="F8416" s="69">
        <v>7.3047016037864079E-2</v>
      </c>
      <c r="G8416" s="69">
        <v>6.6774193548387095E-2</v>
      </c>
    </row>
    <row r="8417" spans="1:7" x14ac:dyDescent="0.3">
      <c r="A8417" s="24">
        <v>43295</v>
      </c>
      <c r="B8417" s="66">
        <v>1489.45577</v>
      </c>
      <c r="C8417" s="66">
        <v>1950</v>
      </c>
      <c r="D8417" s="70">
        <v>0</v>
      </c>
      <c r="E8417" s="111">
        <f t="shared" si="135"/>
        <v>138710</v>
      </c>
      <c r="F8417" s="69">
        <v>7.3047016037864079E-2</v>
      </c>
      <c r="G8417" s="69">
        <v>6.6774193548387095E-2</v>
      </c>
    </row>
    <row r="8418" spans="1:7" x14ac:dyDescent="0.3">
      <c r="A8418" s="24">
        <v>43296</v>
      </c>
      <c r="B8418" s="66">
        <v>1489.45577</v>
      </c>
      <c r="C8418" s="66">
        <v>1950</v>
      </c>
      <c r="D8418" s="70">
        <v>0</v>
      </c>
      <c r="E8418" s="111">
        <f t="shared" si="135"/>
        <v>138710</v>
      </c>
      <c r="F8418" s="69">
        <v>7.3047016037864079E-2</v>
      </c>
      <c r="G8418" s="69">
        <v>6.6774193548387095E-2</v>
      </c>
    </row>
    <row r="8419" spans="1:7" x14ac:dyDescent="0.3">
      <c r="A8419" s="24">
        <v>43297</v>
      </c>
      <c r="B8419" s="66">
        <v>1489.45577</v>
      </c>
      <c r="C8419" s="66">
        <v>1950</v>
      </c>
      <c r="D8419" s="70">
        <v>0</v>
      </c>
      <c r="E8419" s="111">
        <f t="shared" si="135"/>
        <v>138710</v>
      </c>
      <c r="F8419" s="69">
        <v>7.3047016037864079E-2</v>
      </c>
      <c r="G8419" s="69">
        <v>6.6817301484828923E-2</v>
      </c>
    </row>
    <row r="8420" spans="1:7" x14ac:dyDescent="0.3">
      <c r="A8420" s="24">
        <v>43298</v>
      </c>
      <c r="B8420" s="66">
        <v>1489.45577</v>
      </c>
      <c r="C8420" s="66">
        <v>1953</v>
      </c>
      <c r="D8420" s="70">
        <v>0</v>
      </c>
      <c r="E8420" s="111">
        <f t="shared" si="135"/>
        <v>138710</v>
      </c>
      <c r="F8420" s="69">
        <v>7.3047016037864079E-2</v>
      </c>
      <c r="G8420" s="69">
        <v>6.7207792207792202E-2</v>
      </c>
    </row>
    <row r="8421" spans="1:7" x14ac:dyDescent="0.3">
      <c r="A8421" s="24">
        <v>43299</v>
      </c>
      <c r="B8421" s="66">
        <v>1489.45577</v>
      </c>
      <c r="C8421" s="66">
        <v>1950</v>
      </c>
      <c r="D8421" s="70">
        <v>0</v>
      </c>
      <c r="E8421" s="111">
        <f t="shared" si="135"/>
        <v>138710</v>
      </c>
      <c r="F8421" s="69">
        <v>7.3047016037864079E-2</v>
      </c>
      <c r="G8421" s="69">
        <v>6.6778501838828302E-2</v>
      </c>
    </row>
    <row r="8422" spans="1:7" x14ac:dyDescent="0.3">
      <c r="A8422" s="24">
        <v>43300</v>
      </c>
      <c r="B8422" s="66">
        <v>1489.45577</v>
      </c>
      <c r="C8422" s="66">
        <v>1950</v>
      </c>
      <c r="D8422" s="70">
        <v>0</v>
      </c>
      <c r="E8422" s="111">
        <f t="shared" si="135"/>
        <v>138710</v>
      </c>
      <c r="F8422" s="69">
        <v>7.3047016037864079E-2</v>
      </c>
      <c r="G8422" s="69">
        <v>6.6787120087758917E-2</v>
      </c>
    </row>
    <row r="8423" spans="1:7" x14ac:dyDescent="0.3">
      <c r="A8423" s="24">
        <v>43301</v>
      </c>
      <c r="B8423" s="66">
        <v>1489.45577</v>
      </c>
      <c r="C8423" s="66">
        <v>1960</v>
      </c>
      <c r="D8423" s="70">
        <v>0</v>
      </c>
      <c r="E8423" s="111">
        <f t="shared" si="135"/>
        <v>138710</v>
      </c>
      <c r="F8423" s="69">
        <v>7.3047016037864079E-2</v>
      </c>
      <c r="G8423" s="69">
        <v>6.6795740561471445E-2</v>
      </c>
    </row>
    <row r="8424" spans="1:7" x14ac:dyDescent="0.3">
      <c r="A8424" s="24">
        <v>43302</v>
      </c>
      <c r="B8424" s="66">
        <v>1489.45577</v>
      </c>
      <c r="C8424" s="66">
        <v>1960</v>
      </c>
      <c r="D8424" s="70">
        <v>0</v>
      </c>
      <c r="E8424" s="111">
        <f t="shared" si="135"/>
        <v>138710</v>
      </c>
      <c r="F8424" s="69">
        <v>7.3047016037864079E-2</v>
      </c>
      <c r="G8424" s="69">
        <v>6.6795740561471445E-2</v>
      </c>
    </row>
    <row r="8425" spans="1:7" x14ac:dyDescent="0.3">
      <c r="A8425" s="24">
        <v>43303</v>
      </c>
      <c r="B8425" s="66">
        <v>1489.45577</v>
      </c>
      <c r="C8425" s="66">
        <v>1960</v>
      </c>
      <c r="D8425" s="70">
        <v>0</v>
      </c>
      <c r="E8425" s="111">
        <f t="shared" si="135"/>
        <v>138710</v>
      </c>
      <c r="F8425" s="69">
        <v>7.3047016037864079E-2</v>
      </c>
      <c r="G8425" s="69">
        <v>6.6795740561471445E-2</v>
      </c>
    </row>
    <row r="8426" spans="1:7" x14ac:dyDescent="0.3">
      <c r="A8426" s="24">
        <v>43304</v>
      </c>
      <c r="B8426" s="66">
        <v>1489.45577</v>
      </c>
      <c r="C8426" s="66">
        <v>1959.9900000000002</v>
      </c>
      <c r="D8426" s="70">
        <v>0</v>
      </c>
      <c r="E8426" s="111">
        <f t="shared" si="135"/>
        <v>138710</v>
      </c>
      <c r="F8426" s="69">
        <v>7.3047016037864079E-2</v>
      </c>
      <c r="G8426" s="69">
        <v>6.6817301484828923E-2</v>
      </c>
    </row>
    <row r="8427" spans="1:7" x14ac:dyDescent="0.3">
      <c r="A8427" s="24">
        <v>43305</v>
      </c>
      <c r="B8427" s="66">
        <v>1489.45577</v>
      </c>
      <c r="C8427" s="66">
        <v>1960</v>
      </c>
      <c r="D8427" s="70">
        <v>0</v>
      </c>
      <c r="E8427" s="111">
        <f t="shared" si="135"/>
        <v>138710</v>
      </c>
      <c r="F8427" s="69">
        <v>7.3047016037864079E-2</v>
      </c>
      <c r="G8427" s="69">
        <v>6.6774193548387095E-2</v>
      </c>
    </row>
    <row r="8428" spans="1:7" x14ac:dyDescent="0.3">
      <c r="A8428" s="24">
        <v>43306</v>
      </c>
      <c r="B8428" s="66">
        <v>1489.45577</v>
      </c>
      <c r="C8428" s="66">
        <v>1959.9900000000002</v>
      </c>
      <c r="D8428" s="70">
        <v>0</v>
      </c>
      <c r="E8428" s="111">
        <f t="shared" si="135"/>
        <v>138710</v>
      </c>
      <c r="F8428" s="69">
        <v>7.3047016037864079E-2</v>
      </c>
      <c r="G8428" s="69">
        <v>6.6774193548387095E-2</v>
      </c>
    </row>
    <row r="8429" spans="1:7" x14ac:dyDescent="0.3">
      <c r="A8429" s="24">
        <v>43307</v>
      </c>
      <c r="B8429" s="66">
        <v>1489.45577</v>
      </c>
      <c r="C8429" s="66">
        <v>1960</v>
      </c>
      <c r="D8429" s="70">
        <v>0</v>
      </c>
      <c r="E8429" s="111">
        <f t="shared" si="135"/>
        <v>138710</v>
      </c>
      <c r="F8429" s="69">
        <v>7.3047016037864079E-2</v>
      </c>
      <c r="G8429" s="69">
        <v>6.6774193548387095E-2</v>
      </c>
    </row>
    <row r="8430" spans="1:7" x14ac:dyDescent="0.3">
      <c r="A8430" s="24">
        <v>43308</v>
      </c>
      <c r="B8430" s="66">
        <v>1489.45577</v>
      </c>
      <c r="C8430" s="66">
        <v>1960</v>
      </c>
      <c r="D8430" s="70">
        <v>0</v>
      </c>
      <c r="E8430" s="111">
        <f t="shared" si="135"/>
        <v>138710</v>
      </c>
      <c r="F8430" s="69">
        <v>7.3047016037864079E-2</v>
      </c>
      <c r="G8430" s="69">
        <v>6.6817301484828923E-2</v>
      </c>
    </row>
    <row r="8431" spans="1:7" x14ac:dyDescent="0.3">
      <c r="A8431" s="24">
        <v>43309</v>
      </c>
      <c r="B8431" s="66">
        <v>1489.45577</v>
      </c>
      <c r="C8431" s="66">
        <v>1960</v>
      </c>
      <c r="D8431" s="70">
        <v>0</v>
      </c>
      <c r="E8431" s="111">
        <f t="shared" si="135"/>
        <v>138710</v>
      </c>
      <c r="F8431" s="69">
        <v>7.3047016037864079E-2</v>
      </c>
      <c r="G8431" s="69">
        <v>6.6817301484828923E-2</v>
      </c>
    </row>
    <row r="8432" spans="1:7" x14ac:dyDescent="0.3">
      <c r="A8432" s="24">
        <v>43310</v>
      </c>
      <c r="B8432" s="66">
        <v>1489.45577</v>
      </c>
      <c r="C8432" s="66">
        <v>1960</v>
      </c>
      <c r="D8432" s="70">
        <v>0</v>
      </c>
      <c r="E8432" s="111">
        <f t="shared" si="135"/>
        <v>138710</v>
      </c>
      <c r="F8432" s="69">
        <v>7.3047016037864079E-2</v>
      </c>
      <c r="G8432" s="69">
        <v>6.6817301484828923E-2</v>
      </c>
    </row>
    <row r="8433" spans="1:7" x14ac:dyDescent="0.3">
      <c r="A8433" s="24">
        <v>43311</v>
      </c>
      <c r="B8433" s="66">
        <v>1489.45577</v>
      </c>
      <c r="C8433" s="66">
        <v>1960</v>
      </c>
      <c r="D8433" s="70">
        <v>0</v>
      </c>
      <c r="E8433" s="111">
        <f t="shared" si="135"/>
        <v>138710</v>
      </c>
      <c r="F8433" s="69">
        <v>7.3047016037864079E-2</v>
      </c>
      <c r="G8433" s="69">
        <v>6.6817301484828923E-2</v>
      </c>
    </row>
    <row r="8434" spans="1:7" x14ac:dyDescent="0.3">
      <c r="A8434" s="24">
        <v>43312</v>
      </c>
      <c r="B8434" s="66">
        <v>1489.45577</v>
      </c>
      <c r="C8434" s="66">
        <v>1970</v>
      </c>
      <c r="D8434" s="70">
        <v>0</v>
      </c>
      <c r="E8434" s="111">
        <f t="shared" si="135"/>
        <v>138710</v>
      </c>
      <c r="F8434" s="69">
        <v>7.3047016037864079E-2</v>
      </c>
      <c r="G8434" s="69">
        <v>6.6860465116279064E-2</v>
      </c>
    </row>
    <row r="8435" spans="1:7" x14ac:dyDescent="0.3">
      <c r="A8435" s="24">
        <v>43313</v>
      </c>
      <c r="B8435" s="66">
        <v>1489.45577</v>
      </c>
      <c r="C8435" s="66">
        <v>1965</v>
      </c>
      <c r="D8435" s="70">
        <v>0</v>
      </c>
      <c r="E8435" s="111">
        <f t="shared" si="135"/>
        <v>138710</v>
      </c>
      <c r="F8435" s="69">
        <v>7.3047016037864079E-2</v>
      </c>
      <c r="G8435" s="69">
        <v>6.6864784546805348E-2</v>
      </c>
    </row>
    <row r="8436" spans="1:7" x14ac:dyDescent="0.3">
      <c r="A8436" s="24">
        <v>43314</v>
      </c>
      <c r="B8436" s="66">
        <v>1489.45577</v>
      </c>
      <c r="C8436" s="66">
        <v>1970.0099999999998</v>
      </c>
      <c r="D8436" s="70">
        <v>0</v>
      </c>
      <c r="E8436" s="111">
        <f t="shared" si="135"/>
        <v>138710</v>
      </c>
      <c r="F8436" s="69">
        <v>7.3047016037864079E-2</v>
      </c>
      <c r="G8436" s="69">
        <v>6.6994627483979538E-2</v>
      </c>
    </row>
    <row r="8437" spans="1:7" x14ac:dyDescent="0.3">
      <c r="A8437" s="24">
        <v>43315</v>
      </c>
      <c r="B8437" s="66">
        <v>1489.45577</v>
      </c>
      <c r="C8437" s="66">
        <v>1980</v>
      </c>
      <c r="D8437" s="70">
        <v>0</v>
      </c>
      <c r="E8437" s="111">
        <f t="shared" si="135"/>
        <v>138710</v>
      </c>
      <c r="F8437" s="69">
        <v>7.3047016037864079E-2</v>
      </c>
      <c r="G8437" s="69">
        <v>6.6990724859060574E-2</v>
      </c>
    </row>
    <row r="8438" spans="1:7" x14ac:dyDescent="0.3">
      <c r="A8438" s="24">
        <v>43316</v>
      </c>
      <c r="B8438" s="66">
        <v>1489.45577</v>
      </c>
      <c r="C8438" s="66">
        <v>1980</v>
      </c>
      <c r="D8438" s="70">
        <v>0</v>
      </c>
      <c r="E8438" s="111">
        <f t="shared" si="135"/>
        <v>138710</v>
      </c>
      <c r="F8438" s="69">
        <v>7.3047016037864079E-2</v>
      </c>
      <c r="G8438" s="69">
        <v>6.6990724859060574E-2</v>
      </c>
    </row>
    <row r="8439" spans="1:7" x14ac:dyDescent="0.3">
      <c r="A8439" s="24">
        <v>43317</v>
      </c>
      <c r="B8439" s="66">
        <v>1489.45577</v>
      </c>
      <c r="C8439" s="66">
        <v>1980</v>
      </c>
      <c r="D8439" s="70">
        <v>0</v>
      </c>
      <c r="E8439" s="111">
        <f t="shared" si="135"/>
        <v>138710</v>
      </c>
      <c r="F8439" s="69">
        <v>7.3047016037864079E-2</v>
      </c>
      <c r="G8439" s="69">
        <v>6.6990724859060574E-2</v>
      </c>
    </row>
    <row r="8440" spans="1:7" x14ac:dyDescent="0.3">
      <c r="A8440" s="24">
        <v>43318</v>
      </c>
      <c r="B8440" s="66">
        <v>1489.45577</v>
      </c>
      <c r="C8440" s="66">
        <v>1990</v>
      </c>
      <c r="D8440" s="70">
        <v>0</v>
      </c>
      <c r="E8440" s="111">
        <f t="shared" si="135"/>
        <v>138710</v>
      </c>
      <c r="F8440" s="69">
        <v>7.3047016037864079E-2</v>
      </c>
      <c r="G8440" s="69">
        <v>6.7207792207792202E-2</v>
      </c>
    </row>
    <row r="8441" spans="1:7" x14ac:dyDescent="0.3">
      <c r="A8441" s="24">
        <v>43319</v>
      </c>
      <c r="B8441" s="66">
        <v>1489.45577</v>
      </c>
      <c r="C8441" s="66">
        <v>1989.9900000000002</v>
      </c>
      <c r="D8441" s="70">
        <v>0</v>
      </c>
      <c r="E8441" s="111">
        <f t="shared" si="135"/>
        <v>138710</v>
      </c>
      <c r="F8441" s="69">
        <v>7.3047016037864079E-2</v>
      </c>
      <c r="G8441" s="69">
        <v>6.7295188556566965E-2</v>
      </c>
    </row>
    <row r="8442" spans="1:7" x14ac:dyDescent="0.3">
      <c r="A8442" s="24">
        <v>43320</v>
      </c>
      <c r="B8442" s="66">
        <v>1489.45577</v>
      </c>
      <c r="C8442" s="66">
        <v>1995</v>
      </c>
      <c r="D8442" s="70">
        <v>0</v>
      </c>
      <c r="E8442" s="111">
        <f t="shared" si="135"/>
        <v>138710</v>
      </c>
      <c r="F8442" s="69">
        <v>7.3047016037864079E-2</v>
      </c>
      <c r="G8442" s="69">
        <v>6.7352118175310727E-2</v>
      </c>
    </row>
    <row r="8443" spans="1:7" x14ac:dyDescent="0.3">
      <c r="A8443" s="24">
        <v>43321</v>
      </c>
      <c r="B8443" s="66">
        <v>1489.45577</v>
      </c>
      <c r="C8443" s="66">
        <v>1996</v>
      </c>
      <c r="D8443" s="70">
        <v>0</v>
      </c>
      <c r="E8443" s="111">
        <f t="shared" si="135"/>
        <v>138710</v>
      </c>
      <c r="F8443" s="69">
        <v>7.3047016037864079E-2</v>
      </c>
      <c r="G8443" s="69">
        <v>6.9000000000000006E-2</v>
      </c>
    </row>
    <row r="8444" spans="1:7" x14ac:dyDescent="0.3">
      <c r="A8444" s="24">
        <v>43322</v>
      </c>
      <c r="B8444" s="66">
        <v>1489.45577</v>
      </c>
      <c r="C8444" s="66">
        <v>1975</v>
      </c>
      <c r="D8444" s="70">
        <v>0</v>
      </c>
      <c r="E8444" s="111">
        <f t="shared" si="135"/>
        <v>138710</v>
      </c>
      <c r="F8444" s="69">
        <v>7.2816871056940041E-2</v>
      </c>
      <c r="G8444" s="69">
        <v>6.9984447900466554E-2</v>
      </c>
    </row>
    <row r="8445" spans="1:7" x14ac:dyDescent="0.3">
      <c r="A8445" s="24">
        <v>43323</v>
      </c>
      <c r="B8445" s="66">
        <v>1489.45577</v>
      </c>
      <c r="C8445" s="66">
        <v>1975</v>
      </c>
      <c r="D8445" s="70">
        <v>0</v>
      </c>
      <c r="E8445" s="111">
        <f t="shared" si="135"/>
        <v>138710</v>
      </c>
      <c r="F8445" s="69">
        <v>7.2816871056940041E-2</v>
      </c>
      <c r="G8445" s="69">
        <v>6.9984447900466554E-2</v>
      </c>
    </row>
    <row r="8446" spans="1:7" x14ac:dyDescent="0.3">
      <c r="A8446" s="24">
        <v>43324</v>
      </c>
      <c r="B8446" s="66">
        <v>1489.45577</v>
      </c>
      <c r="C8446" s="66">
        <v>1975</v>
      </c>
      <c r="D8446" s="70">
        <v>0</v>
      </c>
      <c r="E8446" s="111">
        <f t="shared" si="135"/>
        <v>138710</v>
      </c>
      <c r="F8446" s="69">
        <v>7.2816871056940041E-2</v>
      </c>
      <c r="G8446" s="69">
        <v>6.9984447900466554E-2</v>
      </c>
    </row>
    <row r="8447" spans="1:7" x14ac:dyDescent="0.3">
      <c r="A8447" s="24">
        <v>43325</v>
      </c>
      <c r="B8447" s="66">
        <v>1482.8262099999999</v>
      </c>
      <c r="C8447" s="66">
        <v>1990</v>
      </c>
      <c r="D8447" s="70">
        <v>0</v>
      </c>
      <c r="E8447" s="111">
        <f t="shared" si="135"/>
        <v>138710</v>
      </c>
      <c r="F8447" s="69">
        <v>7.2816871056940041E-2</v>
      </c>
      <c r="G8447" s="69">
        <v>7.040816326530612E-2</v>
      </c>
    </row>
    <row r="8448" spans="1:7" x14ac:dyDescent="0.3">
      <c r="A8448" s="24">
        <v>43326</v>
      </c>
      <c r="B8448" s="66">
        <v>1482.8262099999999</v>
      </c>
      <c r="C8448" s="66">
        <v>1996</v>
      </c>
      <c r="D8448" s="70">
        <v>0</v>
      </c>
      <c r="E8448" s="111">
        <f t="shared" si="135"/>
        <v>138710</v>
      </c>
      <c r="F8448" s="69">
        <v>7.2816871056940041E-2</v>
      </c>
      <c r="G8448" s="69">
        <v>7.040816326530612E-2</v>
      </c>
    </row>
    <row r="8449" spans="1:7" x14ac:dyDescent="0.3">
      <c r="A8449" s="24">
        <v>43327</v>
      </c>
      <c r="B8449" s="66">
        <v>1482.8262099999999</v>
      </c>
      <c r="C8449" s="66">
        <v>1996</v>
      </c>
      <c r="D8449" s="70">
        <v>0</v>
      </c>
      <c r="E8449" s="111">
        <f t="shared" si="135"/>
        <v>138710</v>
      </c>
      <c r="F8449" s="69">
        <v>7.2816871056940041E-2</v>
      </c>
      <c r="G8449" s="69">
        <v>7.0648464163822519E-2</v>
      </c>
    </row>
    <row r="8450" spans="1:7" x14ac:dyDescent="0.3">
      <c r="A8450" s="24">
        <v>43328</v>
      </c>
      <c r="B8450" s="66">
        <v>1482.8262099999999</v>
      </c>
      <c r="C8450" s="66">
        <v>1993.9</v>
      </c>
      <c r="D8450" s="70">
        <v>0</v>
      </c>
      <c r="E8450" s="111">
        <f t="shared" si="135"/>
        <v>138710</v>
      </c>
      <c r="F8450" s="69">
        <v>7.2816871056940041E-2</v>
      </c>
      <c r="G8450" s="69">
        <v>7.0769230769230765E-2</v>
      </c>
    </row>
    <row r="8451" spans="1:7" x14ac:dyDescent="0.3">
      <c r="A8451" s="24">
        <v>43329</v>
      </c>
      <c r="B8451" s="66">
        <v>1482.8262099999999</v>
      </c>
      <c r="C8451" s="66">
        <v>1993.6</v>
      </c>
      <c r="D8451" s="70">
        <v>0</v>
      </c>
      <c r="E8451" s="111">
        <f t="shared" si="135"/>
        <v>138710</v>
      </c>
      <c r="F8451" s="69">
        <v>7.2816871056940041E-2</v>
      </c>
      <c r="G8451" s="69">
        <v>7.0648464163822519E-2</v>
      </c>
    </row>
    <row r="8452" spans="1:7" x14ac:dyDescent="0.3">
      <c r="A8452" s="24">
        <v>43330</v>
      </c>
      <c r="B8452" s="66">
        <v>1482.8262099999999</v>
      </c>
      <c r="C8452" s="66">
        <v>1993.6</v>
      </c>
      <c r="D8452" s="70">
        <v>0</v>
      </c>
      <c r="E8452" s="111">
        <f t="shared" si="135"/>
        <v>138710</v>
      </c>
      <c r="F8452" s="69">
        <v>7.2816871056940041E-2</v>
      </c>
      <c r="G8452" s="69">
        <v>7.0648464163822519E-2</v>
      </c>
    </row>
    <row r="8453" spans="1:7" x14ac:dyDescent="0.3">
      <c r="A8453" s="24">
        <v>43331</v>
      </c>
      <c r="B8453" s="66">
        <v>1482.8262099999999</v>
      </c>
      <c r="C8453" s="66">
        <v>1993.6</v>
      </c>
      <c r="D8453" s="70">
        <v>0</v>
      </c>
      <c r="E8453" s="111">
        <f t="shared" si="135"/>
        <v>138710</v>
      </c>
      <c r="F8453" s="69">
        <v>7.2816871056940041E-2</v>
      </c>
      <c r="G8453" s="69">
        <v>7.0648464163822519E-2</v>
      </c>
    </row>
    <row r="8454" spans="1:7" x14ac:dyDescent="0.3">
      <c r="A8454" s="24">
        <v>43332</v>
      </c>
      <c r="B8454" s="66">
        <v>1482.8262099999999</v>
      </c>
      <c r="C8454" s="66">
        <v>1993</v>
      </c>
      <c r="D8454" s="70">
        <v>0</v>
      </c>
      <c r="E8454" s="111">
        <f t="shared" si="135"/>
        <v>138710</v>
      </c>
      <c r="F8454" s="69">
        <v>7.2816871056940041E-2</v>
      </c>
      <c r="G8454" s="69">
        <v>7.0648464163822519E-2</v>
      </c>
    </row>
    <row r="8455" spans="1:7" x14ac:dyDescent="0.3">
      <c r="A8455" s="24">
        <v>43333</v>
      </c>
      <c r="B8455" s="66">
        <v>1482.8262099999999</v>
      </c>
      <c r="C8455" s="66">
        <v>1986</v>
      </c>
      <c r="D8455" s="70">
        <v>0</v>
      </c>
      <c r="E8455" s="111">
        <f t="shared" si="135"/>
        <v>138710</v>
      </c>
      <c r="F8455" s="69">
        <v>7.2816871056940041E-2</v>
      </c>
      <c r="G8455" s="69">
        <v>6.9692276614369414E-2</v>
      </c>
    </row>
    <row r="8456" spans="1:7" x14ac:dyDescent="0.3">
      <c r="A8456" s="24">
        <v>43334</v>
      </c>
      <c r="B8456" s="66">
        <v>1482.8262099999999</v>
      </c>
      <c r="C8456" s="66">
        <v>1995</v>
      </c>
      <c r="D8456" s="70">
        <v>0</v>
      </c>
      <c r="E8456" s="111">
        <f t="shared" si="135"/>
        <v>138710</v>
      </c>
      <c r="F8456" s="69">
        <v>7.2816871056940041E-2</v>
      </c>
      <c r="G8456" s="69">
        <v>6.8990801226503126E-2</v>
      </c>
    </row>
    <row r="8457" spans="1:7" x14ac:dyDescent="0.3">
      <c r="A8457" s="24">
        <v>43335</v>
      </c>
      <c r="B8457" s="66">
        <v>1482.8262099999999</v>
      </c>
      <c r="C8457" s="66">
        <v>1992.4</v>
      </c>
      <c r="D8457" s="70">
        <v>0</v>
      </c>
      <c r="E8457" s="111">
        <f t="shared" ref="E8457:E8520" si="136">+E8456</f>
        <v>138710</v>
      </c>
      <c r="F8457" s="69">
        <v>7.2816871056940041E-2</v>
      </c>
      <c r="G8457" s="69">
        <v>6.6778501838828302E-2</v>
      </c>
    </row>
    <row r="8458" spans="1:7" x14ac:dyDescent="0.3">
      <c r="A8458" s="24">
        <v>43336</v>
      </c>
      <c r="B8458" s="66">
        <v>1482.8262099999999</v>
      </c>
      <c r="C8458" s="66">
        <v>1994</v>
      </c>
      <c r="D8458" s="70">
        <v>0</v>
      </c>
      <c r="E8458" s="111">
        <f t="shared" si="136"/>
        <v>138710</v>
      </c>
      <c r="F8458" s="69">
        <v>7.2816871056940041E-2</v>
      </c>
      <c r="G8458" s="69">
        <v>6.8543046357615892E-2</v>
      </c>
    </row>
    <row r="8459" spans="1:7" x14ac:dyDescent="0.3">
      <c r="A8459" s="24">
        <v>43337</v>
      </c>
      <c r="B8459" s="66">
        <v>1482.8262099999999</v>
      </c>
      <c r="C8459" s="66">
        <v>1994</v>
      </c>
      <c r="D8459" s="70">
        <v>0</v>
      </c>
      <c r="E8459" s="111">
        <f t="shared" si="136"/>
        <v>138710</v>
      </c>
      <c r="F8459" s="69">
        <v>7.2816871056940041E-2</v>
      </c>
      <c r="G8459" s="69">
        <v>6.8543046357615892E-2</v>
      </c>
    </row>
    <row r="8460" spans="1:7" x14ac:dyDescent="0.3">
      <c r="A8460" s="24">
        <v>43338</v>
      </c>
      <c r="B8460" s="66">
        <v>1482.8262099999999</v>
      </c>
      <c r="C8460" s="66">
        <v>1994</v>
      </c>
      <c r="D8460" s="70">
        <v>0</v>
      </c>
      <c r="E8460" s="111">
        <f t="shared" si="136"/>
        <v>138710</v>
      </c>
      <c r="F8460" s="69">
        <v>7.2816871056940041E-2</v>
      </c>
      <c r="G8460" s="69">
        <v>6.8543046357615892E-2</v>
      </c>
    </row>
    <row r="8461" spans="1:7" x14ac:dyDescent="0.3">
      <c r="A8461" s="24">
        <v>43339</v>
      </c>
      <c r="B8461" s="66">
        <v>1482.8262099999999</v>
      </c>
      <c r="C8461" s="66">
        <v>1985</v>
      </c>
      <c r="D8461" s="70">
        <v>0</v>
      </c>
      <c r="E8461" s="111">
        <f t="shared" si="136"/>
        <v>138710</v>
      </c>
      <c r="F8461" s="69">
        <v>7.2816871056940041E-2</v>
      </c>
      <c r="G8461" s="69">
        <v>6.8543046357615892E-2</v>
      </c>
    </row>
    <row r="8462" spans="1:7" x14ac:dyDescent="0.3">
      <c r="A8462" s="24">
        <v>43340</v>
      </c>
      <c r="B8462" s="66">
        <v>1482.8262099999999</v>
      </c>
      <c r="C8462" s="66">
        <v>1980</v>
      </c>
      <c r="D8462" s="70">
        <v>0</v>
      </c>
      <c r="E8462" s="111">
        <f t="shared" si="136"/>
        <v>138710</v>
      </c>
      <c r="F8462" s="69">
        <v>7.2816871056940041E-2</v>
      </c>
      <c r="G8462" s="69">
        <v>6.8511286158734364E-2</v>
      </c>
    </row>
    <row r="8463" spans="1:7" x14ac:dyDescent="0.3">
      <c r="A8463" s="24">
        <v>43341</v>
      </c>
      <c r="B8463" s="66">
        <v>1482.8262099999999</v>
      </c>
      <c r="C8463" s="66">
        <v>1999.5</v>
      </c>
      <c r="D8463" s="70">
        <v>0</v>
      </c>
      <c r="E8463" s="111">
        <f t="shared" si="136"/>
        <v>138710</v>
      </c>
      <c r="F8463" s="69">
        <v>7.2816871056940041E-2</v>
      </c>
      <c r="G8463" s="69">
        <v>6.8092105263157898E-2</v>
      </c>
    </row>
    <row r="8464" spans="1:7" x14ac:dyDescent="0.3">
      <c r="A8464" s="24">
        <v>43342</v>
      </c>
      <c r="B8464" s="66">
        <v>1482.8262099999999</v>
      </c>
      <c r="C8464" s="66">
        <v>1980</v>
      </c>
      <c r="D8464" s="70">
        <v>0</v>
      </c>
      <c r="E8464" s="111">
        <f t="shared" si="136"/>
        <v>138710</v>
      </c>
      <c r="F8464" s="69">
        <v>7.2816871056940041E-2</v>
      </c>
      <c r="G8464" s="69">
        <v>6.777996070726916E-2</v>
      </c>
    </row>
    <row r="8465" spans="1:7" x14ac:dyDescent="0.3">
      <c r="A8465" s="24">
        <v>43343</v>
      </c>
      <c r="B8465" s="66">
        <v>1482.8262099999999</v>
      </c>
      <c r="C8465" s="66">
        <v>1990</v>
      </c>
      <c r="D8465" s="70">
        <v>0</v>
      </c>
      <c r="E8465" s="111">
        <f t="shared" si="136"/>
        <v>138710</v>
      </c>
      <c r="F8465" s="69">
        <v>7.2816871056940041E-2</v>
      </c>
      <c r="G8465" s="69">
        <v>6.6990291262135918E-2</v>
      </c>
    </row>
    <row r="8466" spans="1:7" x14ac:dyDescent="0.3">
      <c r="A8466" s="24">
        <v>43344</v>
      </c>
      <c r="B8466" s="66">
        <v>1482.8262099999999</v>
      </c>
      <c r="C8466" s="66">
        <v>1990</v>
      </c>
      <c r="D8466" s="70">
        <v>0</v>
      </c>
      <c r="E8466" s="111">
        <f t="shared" si="136"/>
        <v>138710</v>
      </c>
      <c r="F8466" s="69">
        <v>7.2816871056940041E-2</v>
      </c>
      <c r="G8466" s="69">
        <v>6.6990291262135918E-2</v>
      </c>
    </row>
    <row r="8467" spans="1:7" x14ac:dyDescent="0.3">
      <c r="A8467" s="24">
        <v>43345</v>
      </c>
      <c r="B8467" s="66">
        <v>1482.8262099999999</v>
      </c>
      <c r="C8467" s="66">
        <v>1990</v>
      </c>
      <c r="D8467" s="70">
        <v>0</v>
      </c>
      <c r="E8467" s="111">
        <f t="shared" si="136"/>
        <v>138710</v>
      </c>
      <c r="F8467" s="69">
        <v>7.2816871056940041E-2</v>
      </c>
      <c r="G8467" s="69">
        <v>6.6990291262135918E-2</v>
      </c>
    </row>
    <row r="8468" spans="1:7" x14ac:dyDescent="0.3">
      <c r="A8468" s="24">
        <v>43346</v>
      </c>
      <c r="B8468" s="66">
        <v>1482.8262099999999</v>
      </c>
      <c r="C8468" s="66">
        <v>1990</v>
      </c>
      <c r="D8468" s="70">
        <v>0</v>
      </c>
      <c r="E8468" s="111">
        <f t="shared" si="136"/>
        <v>138710</v>
      </c>
      <c r="F8468" s="69">
        <v>7.2816871056940041E-2</v>
      </c>
      <c r="G8468" s="69">
        <v>6.6774193548387095E-2</v>
      </c>
    </row>
    <row r="8469" spans="1:7" x14ac:dyDescent="0.3">
      <c r="A8469" s="24">
        <v>43347</v>
      </c>
      <c r="B8469" s="66">
        <v>1482.8262099999999</v>
      </c>
      <c r="C8469" s="66">
        <v>1985</v>
      </c>
      <c r="D8469" s="70">
        <v>0</v>
      </c>
      <c r="E8469" s="111">
        <f t="shared" si="136"/>
        <v>138710</v>
      </c>
      <c r="F8469" s="69">
        <v>7.2816871056940041E-2</v>
      </c>
      <c r="G8469" s="69">
        <v>6.6559485530546622E-2</v>
      </c>
    </row>
    <row r="8470" spans="1:7" x14ac:dyDescent="0.3">
      <c r="A8470" s="24">
        <v>43348</v>
      </c>
      <c r="B8470" s="66">
        <v>1482.8262099999999</v>
      </c>
      <c r="C8470" s="66">
        <v>1990</v>
      </c>
      <c r="D8470" s="70">
        <v>0</v>
      </c>
      <c r="E8470" s="111">
        <f t="shared" si="136"/>
        <v>138710</v>
      </c>
      <c r="F8470" s="69">
        <v>7.2816871056940041E-2</v>
      </c>
      <c r="G8470" s="69">
        <v>6.6559485530546622E-2</v>
      </c>
    </row>
    <row r="8471" spans="1:7" x14ac:dyDescent="0.3">
      <c r="A8471" s="24">
        <v>43349</v>
      </c>
      <c r="B8471" s="66">
        <v>1482.8262099999999</v>
      </c>
      <c r="C8471" s="66">
        <v>1989.9</v>
      </c>
      <c r="D8471" s="70">
        <v>0</v>
      </c>
      <c r="E8471" s="111">
        <f t="shared" si="136"/>
        <v>138710</v>
      </c>
      <c r="F8471" s="69">
        <v>7.2816871056940041E-2</v>
      </c>
      <c r="G8471" s="69">
        <v>6.7647058823529407E-2</v>
      </c>
    </row>
    <row r="8472" spans="1:7" x14ac:dyDescent="0.3">
      <c r="A8472" s="24">
        <v>43350</v>
      </c>
      <c r="B8472" s="66">
        <v>1482.8262099999999</v>
      </c>
      <c r="C8472" s="66">
        <v>2000</v>
      </c>
      <c r="D8472" s="70">
        <v>0</v>
      </c>
      <c r="E8472" s="111">
        <f t="shared" si="136"/>
        <v>138710</v>
      </c>
      <c r="F8472" s="69">
        <v>7.2816871056940041E-2</v>
      </c>
      <c r="G8472" s="69">
        <v>6.6559485530546622E-2</v>
      </c>
    </row>
    <row r="8473" spans="1:7" x14ac:dyDescent="0.3">
      <c r="A8473" s="24">
        <v>43351</v>
      </c>
      <c r="B8473" s="66">
        <v>1482.8262099999999</v>
      </c>
      <c r="C8473" s="66">
        <v>2000</v>
      </c>
      <c r="D8473" s="70">
        <v>0</v>
      </c>
      <c r="E8473" s="111">
        <f t="shared" si="136"/>
        <v>138710</v>
      </c>
      <c r="F8473" s="69">
        <v>7.2816871056940041E-2</v>
      </c>
      <c r="G8473" s="69">
        <v>6.6559485530546622E-2</v>
      </c>
    </row>
    <row r="8474" spans="1:7" x14ac:dyDescent="0.3">
      <c r="A8474" s="24">
        <v>43352</v>
      </c>
      <c r="B8474" s="66">
        <v>1482.8262099999999</v>
      </c>
      <c r="C8474" s="66">
        <v>2000</v>
      </c>
      <c r="D8474" s="70">
        <v>0</v>
      </c>
      <c r="E8474" s="111">
        <f t="shared" si="136"/>
        <v>138710</v>
      </c>
      <c r="F8474" s="69">
        <v>7.2816871056940041E-2</v>
      </c>
      <c r="G8474" s="69">
        <v>6.6559485530546622E-2</v>
      </c>
    </row>
    <row r="8475" spans="1:7" x14ac:dyDescent="0.3">
      <c r="A8475" s="24">
        <v>43353</v>
      </c>
      <c r="B8475" s="66">
        <v>1482.8262099999999</v>
      </c>
      <c r="C8475" s="66">
        <v>2000</v>
      </c>
      <c r="D8475" s="70">
        <v>0</v>
      </c>
      <c r="E8475" s="111">
        <f t="shared" si="136"/>
        <v>138710</v>
      </c>
      <c r="F8475" s="69">
        <v>7.2816871056940041E-2</v>
      </c>
      <c r="G8475" s="69">
        <v>6.5923566878980891E-2</v>
      </c>
    </row>
    <row r="8476" spans="1:7" x14ac:dyDescent="0.3">
      <c r="A8476" s="24">
        <v>43354</v>
      </c>
      <c r="B8476" s="66">
        <v>1482.8262099999999</v>
      </c>
      <c r="C8476" s="66">
        <v>2000</v>
      </c>
      <c r="D8476" s="70">
        <v>0</v>
      </c>
      <c r="E8476" s="111">
        <f t="shared" si="136"/>
        <v>138710</v>
      </c>
      <c r="F8476" s="69">
        <v>7.2816871056940041E-2</v>
      </c>
      <c r="G8476" s="69">
        <v>6.5923566878980891E-2</v>
      </c>
    </row>
    <row r="8477" spans="1:7" x14ac:dyDescent="0.3">
      <c r="A8477" s="24">
        <v>43355</v>
      </c>
      <c r="B8477" s="66">
        <v>1482.8262099999999</v>
      </c>
      <c r="C8477" s="66">
        <v>2009.9</v>
      </c>
      <c r="D8477" s="70">
        <v>0</v>
      </c>
      <c r="E8477" s="111">
        <f t="shared" si="136"/>
        <v>138710</v>
      </c>
      <c r="F8477" s="69">
        <v>7.2816871056940041E-2</v>
      </c>
      <c r="G8477" s="69">
        <v>6.5714285714285711E-2</v>
      </c>
    </row>
    <row r="8478" spans="1:7" x14ac:dyDescent="0.3">
      <c r="A8478" s="24">
        <v>43356</v>
      </c>
      <c r="B8478" s="66">
        <v>1482.8262099999999</v>
      </c>
      <c r="C8478" s="66">
        <v>2015</v>
      </c>
      <c r="D8478" s="70">
        <v>0</v>
      </c>
      <c r="E8478" s="111">
        <f t="shared" si="136"/>
        <v>138710</v>
      </c>
      <c r="F8478" s="69">
        <v>7.2816871056940041E-2</v>
      </c>
      <c r="G8478" s="69">
        <v>6.5714285714285711E-2</v>
      </c>
    </row>
    <row r="8479" spans="1:7" x14ac:dyDescent="0.3">
      <c r="A8479" s="24">
        <v>43357</v>
      </c>
      <c r="B8479" s="66">
        <v>1482.8262099999999</v>
      </c>
      <c r="C8479" s="66">
        <v>2030</v>
      </c>
      <c r="D8479" s="70">
        <v>0</v>
      </c>
      <c r="E8479" s="111">
        <f t="shared" si="136"/>
        <v>138710</v>
      </c>
      <c r="F8479" s="69">
        <v>7.2816871056940041E-2</v>
      </c>
      <c r="G8479" s="69">
        <v>6.5714285714285711E-2</v>
      </c>
    </row>
    <row r="8480" spans="1:7" x14ac:dyDescent="0.3">
      <c r="A8480" s="24">
        <v>43358</v>
      </c>
      <c r="B8480" s="66">
        <v>1482.8262099999999</v>
      </c>
      <c r="C8480" s="66">
        <v>2030</v>
      </c>
      <c r="D8480" s="70">
        <v>0</v>
      </c>
      <c r="E8480" s="111">
        <f t="shared" si="136"/>
        <v>138710</v>
      </c>
      <c r="F8480" s="69">
        <v>7.2816871056940041E-2</v>
      </c>
      <c r="G8480" s="69">
        <v>6.5714285714285711E-2</v>
      </c>
    </row>
    <row r="8481" spans="1:7" x14ac:dyDescent="0.3">
      <c r="A8481" s="24">
        <v>43359</v>
      </c>
      <c r="B8481" s="66">
        <v>1482.8262099999999</v>
      </c>
      <c r="C8481" s="66">
        <v>2030</v>
      </c>
      <c r="D8481" s="70">
        <v>0</v>
      </c>
      <c r="E8481" s="111">
        <f t="shared" si="136"/>
        <v>138710</v>
      </c>
      <c r="F8481" s="69">
        <v>7.2816871056940041E-2</v>
      </c>
      <c r="G8481" s="69">
        <v>6.5714285714285711E-2</v>
      </c>
    </row>
    <row r="8482" spans="1:7" x14ac:dyDescent="0.3">
      <c r="A8482" s="24">
        <v>43360</v>
      </c>
      <c r="B8482" s="66">
        <v>1482.8262099999999</v>
      </c>
      <c r="C8482" s="66">
        <v>2030</v>
      </c>
      <c r="D8482" s="70">
        <v>0</v>
      </c>
      <c r="E8482" s="111">
        <f t="shared" si="136"/>
        <v>138710</v>
      </c>
      <c r="F8482" s="69">
        <v>7.2816871056940041E-2</v>
      </c>
      <c r="G8482" s="69">
        <v>6.5714285714285711E-2</v>
      </c>
    </row>
    <row r="8483" spans="1:7" x14ac:dyDescent="0.3">
      <c r="A8483" s="24">
        <v>43361</v>
      </c>
      <c r="B8483" s="66">
        <v>1482.8262099999999</v>
      </c>
      <c r="C8483" s="66">
        <v>2030</v>
      </c>
      <c r="D8483" s="70">
        <v>0</v>
      </c>
      <c r="E8483" s="111">
        <f t="shared" si="136"/>
        <v>138710</v>
      </c>
      <c r="F8483" s="69">
        <v>7.2816871056940041E-2</v>
      </c>
      <c r="G8483" s="69">
        <v>6.5714285714285711E-2</v>
      </c>
    </row>
    <row r="8484" spans="1:7" x14ac:dyDescent="0.3">
      <c r="A8484" s="24">
        <v>43362</v>
      </c>
      <c r="B8484" s="66">
        <v>1482.8262099999999</v>
      </c>
      <c r="C8484" s="66">
        <v>2030</v>
      </c>
      <c r="D8484" s="70">
        <v>0</v>
      </c>
      <c r="E8484" s="111">
        <f t="shared" si="136"/>
        <v>138710</v>
      </c>
      <c r="F8484" s="69">
        <v>7.2816871056940041E-2</v>
      </c>
      <c r="G8484" s="69">
        <v>6.5714285714285711E-2</v>
      </c>
    </row>
    <row r="8485" spans="1:7" x14ac:dyDescent="0.3">
      <c r="A8485" s="24">
        <v>43363</v>
      </c>
      <c r="B8485" s="66">
        <v>1482.8262099999999</v>
      </c>
      <c r="C8485" s="66">
        <v>2029.9</v>
      </c>
      <c r="D8485" s="70">
        <v>0</v>
      </c>
      <c r="E8485" s="111">
        <f t="shared" si="136"/>
        <v>138710</v>
      </c>
      <c r="F8485" s="69">
        <v>7.2816871056940041E-2</v>
      </c>
      <c r="G8485" s="69">
        <v>6.5506329113924053E-2</v>
      </c>
    </row>
    <row r="8486" spans="1:7" x14ac:dyDescent="0.3">
      <c r="A8486" s="24">
        <v>43364</v>
      </c>
      <c r="B8486" s="66">
        <v>1482.8262099999999</v>
      </c>
      <c r="C8486" s="66">
        <v>2035</v>
      </c>
      <c r="D8486" s="70">
        <v>0</v>
      </c>
      <c r="E8486" s="111">
        <f t="shared" si="136"/>
        <v>138710</v>
      </c>
      <c r="F8486" s="69">
        <v>7.2816871056940041E-2</v>
      </c>
      <c r="G8486" s="69">
        <v>6.5589353612167306E-2</v>
      </c>
    </row>
    <row r="8487" spans="1:7" x14ac:dyDescent="0.3">
      <c r="A8487" s="24">
        <v>43365</v>
      </c>
      <c r="B8487" s="66">
        <v>1482.8262099999999</v>
      </c>
      <c r="C8487" s="66">
        <v>2035</v>
      </c>
      <c r="D8487" s="70">
        <v>0</v>
      </c>
      <c r="E8487" s="111">
        <f t="shared" si="136"/>
        <v>138710</v>
      </c>
      <c r="F8487" s="69">
        <v>7.2816871056940041E-2</v>
      </c>
      <c r="G8487" s="69">
        <v>6.5589353612167306E-2</v>
      </c>
    </row>
    <row r="8488" spans="1:7" x14ac:dyDescent="0.3">
      <c r="A8488" s="24">
        <v>43366</v>
      </c>
      <c r="B8488" s="66">
        <v>1482.8262099999999</v>
      </c>
      <c r="C8488" s="66">
        <v>2035</v>
      </c>
      <c r="D8488" s="70">
        <v>0</v>
      </c>
      <c r="E8488" s="111">
        <f t="shared" si="136"/>
        <v>138710</v>
      </c>
      <c r="F8488" s="69">
        <v>7.2816871056940041E-2</v>
      </c>
      <c r="G8488" s="69">
        <v>6.5589353612167306E-2</v>
      </c>
    </row>
    <row r="8489" spans="1:7" x14ac:dyDescent="0.3">
      <c r="A8489" s="24">
        <v>43367</v>
      </c>
      <c r="B8489" s="66">
        <v>1482.8262099999999</v>
      </c>
      <c r="C8489" s="66">
        <v>2035</v>
      </c>
      <c r="D8489" s="70">
        <v>0</v>
      </c>
      <c r="E8489" s="111">
        <f t="shared" si="136"/>
        <v>138710</v>
      </c>
      <c r="F8489" s="69">
        <v>7.2816871056940041E-2</v>
      </c>
      <c r="G8489" s="69">
        <v>6.5547815072830903E-2</v>
      </c>
    </row>
    <row r="8490" spans="1:7" x14ac:dyDescent="0.3">
      <c r="A8490" s="24">
        <v>43368</v>
      </c>
      <c r="B8490" s="66">
        <v>1482.8262099999999</v>
      </c>
      <c r="C8490" s="66">
        <v>2035</v>
      </c>
      <c r="D8490" s="70">
        <v>0</v>
      </c>
      <c r="E8490" s="111">
        <f t="shared" si="136"/>
        <v>138710</v>
      </c>
      <c r="F8490" s="69">
        <v>7.2816871056940041E-2</v>
      </c>
      <c r="G8490" s="69">
        <v>6.5547815072830903E-2</v>
      </c>
    </row>
    <row r="8491" spans="1:7" x14ac:dyDescent="0.3">
      <c r="A8491" s="24">
        <v>43369</v>
      </c>
      <c r="B8491" s="66">
        <v>1482.8262099999999</v>
      </c>
      <c r="C8491" s="66">
        <v>2035</v>
      </c>
      <c r="D8491" s="70">
        <v>0</v>
      </c>
      <c r="E8491" s="111">
        <f t="shared" si="136"/>
        <v>138710</v>
      </c>
      <c r="F8491" s="69">
        <v>7.2816871056940041E-2</v>
      </c>
      <c r="G8491" s="69">
        <v>6.5547815072830903E-2</v>
      </c>
    </row>
    <row r="8492" spans="1:7" x14ac:dyDescent="0.3">
      <c r="A8492" s="24">
        <v>43370</v>
      </c>
      <c r="B8492" s="66">
        <v>1482.8262099999999</v>
      </c>
      <c r="C8492" s="66">
        <v>2038</v>
      </c>
      <c r="D8492" s="70">
        <v>0</v>
      </c>
      <c r="E8492" s="111">
        <f t="shared" si="136"/>
        <v>138710</v>
      </c>
      <c r="F8492" s="69">
        <v>7.2816871056940041E-2</v>
      </c>
      <c r="G8492" s="69">
        <v>6.5506329113924053E-2</v>
      </c>
    </row>
    <row r="8493" spans="1:7" x14ac:dyDescent="0.3">
      <c r="A8493" s="24">
        <v>43371</v>
      </c>
      <c r="B8493" s="66">
        <v>1482.8262099999999</v>
      </c>
      <c r="C8493" s="66">
        <v>2042</v>
      </c>
      <c r="D8493" s="70">
        <v>17.5</v>
      </c>
      <c r="E8493" s="111">
        <f t="shared" si="136"/>
        <v>138710</v>
      </c>
      <c r="F8493" s="69">
        <v>7.3520415704833184E-2</v>
      </c>
      <c r="G8493" s="69">
        <v>6.6139240506329119E-2</v>
      </c>
    </row>
    <row r="8494" spans="1:7" x14ac:dyDescent="0.3">
      <c r="A8494" s="24">
        <v>43372</v>
      </c>
      <c r="B8494" s="66">
        <v>1482.8262099999999</v>
      </c>
      <c r="C8494" s="66">
        <v>2042</v>
      </c>
      <c r="D8494" s="70">
        <v>0</v>
      </c>
      <c r="E8494" s="111">
        <f t="shared" si="136"/>
        <v>138710</v>
      </c>
      <c r="F8494" s="69">
        <v>7.3520415704833184E-2</v>
      </c>
      <c r="G8494" s="69">
        <v>6.6139240506329119E-2</v>
      </c>
    </row>
    <row r="8495" spans="1:7" x14ac:dyDescent="0.3">
      <c r="A8495" s="24">
        <v>43373</v>
      </c>
      <c r="B8495" s="66">
        <v>1482.8262099999999</v>
      </c>
      <c r="C8495" s="66">
        <v>2042</v>
      </c>
      <c r="D8495" s="70">
        <v>0</v>
      </c>
      <c r="E8495" s="111">
        <f t="shared" si="136"/>
        <v>138710</v>
      </c>
      <c r="F8495" s="69">
        <v>7.3520415704833184E-2</v>
      </c>
      <c r="G8495" s="69">
        <v>6.6139240506329119E-2</v>
      </c>
    </row>
    <row r="8496" spans="1:7" x14ac:dyDescent="0.3">
      <c r="A8496" s="24">
        <v>43374</v>
      </c>
      <c r="B8496" s="66">
        <v>1482.8262099999999</v>
      </c>
      <c r="C8496" s="66">
        <v>2049.9</v>
      </c>
      <c r="D8496" s="70">
        <v>0</v>
      </c>
      <c r="E8496" s="111">
        <f t="shared" si="136"/>
        <v>138710</v>
      </c>
      <c r="F8496" s="69">
        <v>7.3520415704833184E-2</v>
      </c>
      <c r="G8496" s="69">
        <v>6.6307106598984769E-2</v>
      </c>
    </row>
    <row r="8497" spans="1:7" x14ac:dyDescent="0.3">
      <c r="A8497" s="24">
        <v>43375</v>
      </c>
      <c r="B8497" s="66">
        <v>1482.8262099999999</v>
      </c>
      <c r="C8497" s="66">
        <v>2050.3000000000002</v>
      </c>
      <c r="D8497" s="70">
        <v>0</v>
      </c>
      <c r="E8497" s="111">
        <f t="shared" si="136"/>
        <v>138710</v>
      </c>
      <c r="F8497" s="69">
        <v>7.3520415704833184E-2</v>
      </c>
      <c r="G8497" s="69">
        <v>6.6349206349206352E-2</v>
      </c>
    </row>
    <row r="8498" spans="1:7" x14ac:dyDescent="0.3">
      <c r="A8498" s="24">
        <v>43376</v>
      </c>
      <c r="B8498" s="66">
        <v>1482.8262099999999</v>
      </c>
      <c r="C8498" s="66">
        <v>2100</v>
      </c>
      <c r="D8498" s="70">
        <v>0</v>
      </c>
      <c r="E8498" s="111">
        <f t="shared" si="136"/>
        <v>138710</v>
      </c>
      <c r="F8498" s="69">
        <v>7.3520415704833184E-2</v>
      </c>
      <c r="G8498" s="69">
        <v>6.5723270440251572E-2</v>
      </c>
    </row>
    <row r="8499" spans="1:7" x14ac:dyDescent="0.3">
      <c r="A8499" s="24">
        <v>43377</v>
      </c>
      <c r="B8499" s="66">
        <v>1482.8262099999999</v>
      </c>
      <c r="C8499" s="66">
        <v>2155</v>
      </c>
      <c r="D8499" s="70">
        <v>0</v>
      </c>
      <c r="E8499" s="111">
        <f t="shared" si="136"/>
        <v>138710</v>
      </c>
      <c r="F8499" s="69">
        <v>7.3520415704833184E-2</v>
      </c>
      <c r="G8499" s="69">
        <v>6.5312499999999996E-2</v>
      </c>
    </row>
    <row r="8500" spans="1:7" x14ac:dyDescent="0.3">
      <c r="A8500" s="24">
        <v>43378</v>
      </c>
      <c r="B8500" s="66">
        <v>1482.8262099999999</v>
      </c>
      <c r="C8500" s="66">
        <v>2160</v>
      </c>
      <c r="D8500" s="70">
        <v>0</v>
      </c>
      <c r="E8500" s="111">
        <f t="shared" si="136"/>
        <v>138710</v>
      </c>
      <c r="F8500" s="69">
        <v>7.3520415704833184E-2</v>
      </c>
      <c r="G8500" s="69">
        <v>6.5312499999999996E-2</v>
      </c>
    </row>
    <row r="8501" spans="1:7" x14ac:dyDescent="0.3">
      <c r="A8501" s="24">
        <v>43379</v>
      </c>
      <c r="B8501" s="66">
        <v>1482.8262099999999</v>
      </c>
      <c r="C8501" s="66">
        <v>2160</v>
      </c>
      <c r="D8501" s="70">
        <v>0</v>
      </c>
      <c r="E8501" s="111">
        <f t="shared" si="136"/>
        <v>138710</v>
      </c>
      <c r="F8501" s="69">
        <v>7.3520415704833184E-2</v>
      </c>
      <c r="G8501" s="69">
        <v>6.5312499999999996E-2</v>
      </c>
    </row>
    <row r="8502" spans="1:7" x14ac:dyDescent="0.3">
      <c r="A8502" s="24">
        <v>43380</v>
      </c>
      <c r="B8502" s="66">
        <v>1482.8262099999999</v>
      </c>
      <c r="C8502" s="66">
        <v>2160</v>
      </c>
      <c r="D8502" s="70">
        <v>0</v>
      </c>
      <c r="E8502" s="111">
        <f t="shared" si="136"/>
        <v>138710</v>
      </c>
      <c r="F8502" s="69">
        <v>7.3520415704833184E-2</v>
      </c>
      <c r="G8502" s="69">
        <v>6.5312499999999996E-2</v>
      </c>
    </row>
    <row r="8503" spans="1:7" x14ac:dyDescent="0.3">
      <c r="A8503" s="24">
        <v>43381</v>
      </c>
      <c r="B8503" s="66">
        <v>1482.8262099999999</v>
      </c>
      <c r="C8503" s="66">
        <v>2220</v>
      </c>
      <c r="D8503" s="70">
        <v>0</v>
      </c>
      <c r="E8503" s="111">
        <f t="shared" si="136"/>
        <v>138710</v>
      </c>
      <c r="F8503" s="69">
        <v>7.3520415704833184E-2</v>
      </c>
      <c r="G8503" s="69">
        <v>6.5312499999999996E-2</v>
      </c>
    </row>
    <row r="8504" spans="1:7" x14ac:dyDescent="0.3">
      <c r="A8504" s="24">
        <v>43382</v>
      </c>
      <c r="B8504" s="66">
        <v>1482.8262099999999</v>
      </c>
      <c r="C8504" s="66">
        <v>2236.6999999999998</v>
      </c>
      <c r="D8504" s="70">
        <v>0</v>
      </c>
      <c r="E8504" s="111">
        <f t="shared" si="136"/>
        <v>138710</v>
      </c>
      <c r="F8504" s="69">
        <v>7.3520415704833184E-2</v>
      </c>
      <c r="G8504" s="69">
        <v>6.5312499999999996E-2</v>
      </c>
    </row>
    <row r="8505" spans="1:7" x14ac:dyDescent="0.3">
      <c r="A8505" s="24">
        <v>43383</v>
      </c>
      <c r="B8505" s="66">
        <v>1482.8262099999999</v>
      </c>
      <c r="C8505" s="66">
        <v>2239.9</v>
      </c>
      <c r="D8505" s="70">
        <v>0</v>
      </c>
      <c r="E8505" s="111">
        <f t="shared" si="136"/>
        <v>138710</v>
      </c>
      <c r="F8505" s="69">
        <v>7.3520415704833184E-2</v>
      </c>
      <c r="G8505" s="69">
        <v>6.5312499999999996E-2</v>
      </c>
    </row>
    <row r="8506" spans="1:7" x14ac:dyDescent="0.3">
      <c r="A8506" s="24">
        <v>43384</v>
      </c>
      <c r="B8506" s="66">
        <v>1482.8262099999999</v>
      </c>
      <c r="C8506" s="66">
        <v>2232</v>
      </c>
      <c r="D8506" s="70">
        <v>0</v>
      </c>
      <c r="E8506" s="111">
        <f t="shared" si="136"/>
        <v>138710</v>
      </c>
      <c r="F8506" s="69">
        <v>7.3520415704833184E-2</v>
      </c>
      <c r="G8506" s="69">
        <v>6.4506172839506173E-2</v>
      </c>
    </row>
    <row r="8507" spans="1:7" x14ac:dyDescent="0.3">
      <c r="A8507" s="24">
        <v>43385</v>
      </c>
      <c r="B8507" s="66">
        <v>1482.8262099999999</v>
      </c>
      <c r="C8507" s="66">
        <v>2231.9900000000002</v>
      </c>
      <c r="D8507" s="70">
        <v>0</v>
      </c>
      <c r="E8507" s="111">
        <f t="shared" si="136"/>
        <v>138710</v>
      </c>
      <c r="F8507" s="69">
        <v>7.3520415704833184E-2</v>
      </c>
      <c r="G8507" s="69">
        <v>6.443457886299174E-2</v>
      </c>
    </row>
    <row r="8508" spans="1:7" x14ac:dyDescent="0.3">
      <c r="A8508" s="24">
        <v>43386</v>
      </c>
      <c r="B8508" s="66">
        <v>1482.8262099999999</v>
      </c>
      <c r="C8508" s="66">
        <v>2231.9900000000002</v>
      </c>
      <c r="D8508" s="70">
        <v>0</v>
      </c>
      <c r="E8508" s="111">
        <f t="shared" si="136"/>
        <v>138710</v>
      </c>
      <c r="F8508" s="69">
        <v>7.3520415704833184E-2</v>
      </c>
      <c r="G8508" s="69">
        <v>6.443457886299174E-2</v>
      </c>
    </row>
    <row r="8509" spans="1:7" x14ac:dyDescent="0.3">
      <c r="A8509" s="24">
        <v>43387</v>
      </c>
      <c r="B8509" s="66">
        <v>1482.8262099999999</v>
      </c>
      <c r="C8509" s="66">
        <v>2231.9900000000002</v>
      </c>
      <c r="D8509" s="70">
        <v>0</v>
      </c>
      <c r="E8509" s="111">
        <f t="shared" si="136"/>
        <v>138710</v>
      </c>
      <c r="F8509" s="69">
        <v>7.3520415704833184E-2</v>
      </c>
      <c r="G8509" s="69">
        <v>6.443457886299174E-2</v>
      </c>
    </row>
    <row r="8510" spans="1:7" x14ac:dyDescent="0.3">
      <c r="A8510" s="24">
        <v>43388</v>
      </c>
      <c r="B8510" s="66">
        <v>1482.8262099999999</v>
      </c>
      <c r="C8510" s="66">
        <v>2231.9900000000002</v>
      </c>
      <c r="D8510" s="70">
        <v>0</v>
      </c>
      <c r="E8510" s="111">
        <f t="shared" si="136"/>
        <v>138710</v>
      </c>
      <c r="F8510" s="69">
        <v>7.3520415704833184E-2</v>
      </c>
      <c r="G8510" s="69">
        <v>6.4422661981382162E-2</v>
      </c>
    </row>
    <row r="8511" spans="1:7" x14ac:dyDescent="0.3">
      <c r="A8511" s="24">
        <v>43389</v>
      </c>
      <c r="B8511" s="66">
        <v>1482.8262099999999</v>
      </c>
      <c r="C8511" s="66">
        <v>2231.5</v>
      </c>
      <c r="D8511" s="70">
        <v>0</v>
      </c>
      <c r="E8511" s="111">
        <f t="shared" si="136"/>
        <v>138710</v>
      </c>
      <c r="F8511" s="69">
        <v>7.3520415704833184E-2</v>
      </c>
      <c r="G8511" s="69">
        <v>6.4424647822200309E-2</v>
      </c>
    </row>
    <row r="8512" spans="1:7" x14ac:dyDescent="0.3">
      <c r="A8512" s="24">
        <v>43390</v>
      </c>
      <c r="B8512" s="66">
        <v>1482.8262099999999</v>
      </c>
      <c r="C8512" s="66">
        <v>2230</v>
      </c>
      <c r="D8512" s="70">
        <v>0</v>
      </c>
      <c r="E8512" s="111">
        <f t="shared" si="136"/>
        <v>138710</v>
      </c>
      <c r="F8512" s="69">
        <v>7.3520415704833184E-2</v>
      </c>
      <c r="G8512" s="69">
        <v>6.4422661981382162E-2</v>
      </c>
    </row>
    <row r="8513" spans="1:7" x14ac:dyDescent="0.3">
      <c r="A8513" s="24">
        <v>43391</v>
      </c>
      <c r="B8513" s="66">
        <v>1482.8262099999999</v>
      </c>
      <c r="C8513" s="66">
        <v>2224.9</v>
      </c>
      <c r="D8513" s="70">
        <v>0</v>
      </c>
      <c r="E8513" s="111">
        <f t="shared" si="136"/>
        <v>138710</v>
      </c>
      <c r="F8513" s="69">
        <v>7.3520415704833184E-2</v>
      </c>
      <c r="G8513" s="69">
        <v>6.4303735154759706E-2</v>
      </c>
    </row>
    <row r="8514" spans="1:7" x14ac:dyDescent="0.3">
      <c r="A8514" s="24">
        <v>43392</v>
      </c>
      <c r="B8514" s="66">
        <v>1482.8262099999999</v>
      </c>
      <c r="C8514" s="66">
        <v>2223.4</v>
      </c>
      <c r="D8514" s="70">
        <v>0</v>
      </c>
      <c r="E8514" s="111">
        <f t="shared" si="136"/>
        <v>138710</v>
      </c>
      <c r="F8514" s="69">
        <v>7.3520415704833184E-2</v>
      </c>
      <c r="G8514" s="69">
        <v>6.4268142681426818E-2</v>
      </c>
    </row>
    <row r="8515" spans="1:7" x14ac:dyDescent="0.3">
      <c r="A8515" s="24">
        <v>43393</v>
      </c>
      <c r="B8515" s="66">
        <v>1482.8262099999999</v>
      </c>
      <c r="C8515" s="66">
        <v>2223.4</v>
      </c>
      <c r="D8515" s="70">
        <v>0</v>
      </c>
      <c r="E8515" s="111">
        <f t="shared" si="136"/>
        <v>138710</v>
      </c>
      <c r="F8515" s="69">
        <v>7.3520415704833184E-2</v>
      </c>
      <c r="G8515" s="69">
        <v>6.4268142681426818E-2</v>
      </c>
    </row>
    <row r="8516" spans="1:7" x14ac:dyDescent="0.3">
      <c r="A8516" s="24">
        <v>43394</v>
      </c>
      <c r="B8516" s="66">
        <v>1482.8262099999999</v>
      </c>
      <c r="C8516" s="66">
        <v>2223.4</v>
      </c>
      <c r="D8516" s="70">
        <v>0</v>
      </c>
      <c r="E8516" s="111">
        <f t="shared" si="136"/>
        <v>138710</v>
      </c>
      <c r="F8516" s="69">
        <v>7.3520415704833184E-2</v>
      </c>
      <c r="G8516" s="69">
        <v>6.4268142681426818E-2</v>
      </c>
    </row>
    <row r="8517" spans="1:7" x14ac:dyDescent="0.3">
      <c r="A8517" s="24">
        <v>43395</v>
      </c>
      <c r="B8517" s="66">
        <v>1482.8262099999999</v>
      </c>
      <c r="C8517" s="66">
        <v>2225</v>
      </c>
      <c r="D8517" s="70">
        <v>0</v>
      </c>
      <c r="E8517" s="111">
        <f t="shared" si="136"/>
        <v>138710</v>
      </c>
      <c r="F8517" s="69">
        <v>7.3520415704833184E-2</v>
      </c>
      <c r="G8517" s="69">
        <v>6.4110429447852765E-2</v>
      </c>
    </row>
    <row r="8518" spans="1:7" x14ac:dyDescent="0.3">
      <c r="A8518" s="24">
        <v>43396</v>
      </c>
      <c r="B8518" s="66">
        <v>1482.8262099999999</v>
      </c>
      <c r="C8518" s="66">
        <v>2185</v>
      </c>
      <c r="D8518" s="70">
        <v>0</v>
      </c>
      <c r="E8518" s="111">
        <f t="shared" si="136"/>
        <v>138710</v>
      </c>
      <c r="F8518" s="69">
        <v>7.3520415704833184E-2</v>
      </c>
      <c r="G8518" s="69">
        <v>6.3914373088685014E-2</v>
      </c>
    </row>
    <row r="8519" spans="1:7" x14ac:dyDescent="0.3">
      <c r="A8519" s="24">
        <v>43397</v>
      </c>
      <c r="B8519" s="66">
        <v>1482.8262099999999</v>
      </c>
      <c r="C8519" s="66">
        <v>2180</v>
      </c>
      <c r="D8519" s="70">
        <v>0</v>
      </c>
      <c r="E8519" s="111">
        <f t="shared" si="136"/>
        <v>138710</v>
      </c>
      <c r="F8519" s="69">
        <v>7.1291471545206417E-2</v>
      </c>
      <c r="G8519" s="69">
        <v>6.364190012180268E-2</v>
      </c>
    </row>
    <row r="8520" spans="1:7" x14ac:dyDescent="0.3">
      <c r="A8520" s="24">
        <v>43398</v>
      </c>
      <c r="B8520" s="66">
        <v>1482.8262099999999</v>
      </c>
      <c r="C8520" s="66">
        <v>2160</v>
      </c>
      <c r="D8520" s="70">
        <v>0</v>
      </c>
      <c r="E8520" s="111">
        <f t="shared" si="136"/>
        <v>138710</v>
      </c>
      <c r="F8520" s="69">
        <v>7.1291471545206417E-2</v>
      </c>
      <c r="G8520" s="69">
        <v>6.364190012180268E-2</v>
      </c>
    </row>
    <row r="8521" spans="1:7" x14ac:dyDescent="0.3">
      <c r="A8521" s="24">
        <v>43399</v>
      </c>
      <c r="B8521" s="66">
        <v>1482.8262099999999</v>
      </c>
      <c r="C8521" s="66">
        <v>2150</v>
      </c>
      <c r="D8521" s="70">
        <v>0</v>
      </c>
      <c r="E8521" s="111">
        <f t="shared" ref="E8521:E8584" si="137">+E8520</f>
        <v>138710</v>
      </c>
      <c r="F8521" s="69">
        <v>7.1291471545206417E-2</v>
      </c>
      <c r="G8521" s="69">
        <v>6.364190012180268E-2</v>
      </c>
    </row>
    <row r="8522" spans="1:7" x14ac:dyDescent="0.3">
      <c r="A8522" s="24">
        <v>43400</v>
      </c>
      <c r="B8522" s="66">
        <v>1482.8262099999999</v>
      </c>
      <c r="C8522" s="66">
        <v>2150</v>
      </c>
      <c r="D8522" s="70">
        <v>0</v>
      </c>
      <c r="E8522" s="111">
        <f t="shared" si="137"/>
        <v>138710</v>
      </c>
      <c r="F8522" s="69">
        <v>7.1291471545206417E-2</v>
      </c>
      <c r="G8522" s="69">
        <v>6.364190012180268E-2</v>
      </c>
    </row>
    <row r="8523" spans="1:7" x14ac:dyDescent="0.3">
      <c r="A8523" s="24">
        <v>43401</v>
      </c>
      <c r="B8523" s="66">
        <v>1482.8262099999999</v>
      </c>
      <c r="C8523" s="66">
        <v>2150</v>
      </c>
      <c r="D8523" s="70">
        <v>0</v>
      </c>
      <c r="E8523" s="111">
        <f t="shared" si="137"/>
        <v>138710</v>
      </c>
      <c r="F8523" s="69">
        <v>7.1291471545206417E-2</v>
      </c>
      <c r="G8523" s="69">
        <v>6.364190012180268E-2</v>
      </c>
    </row>
    <row r="8524" spans="1:7" x14ac:dyDescent="0.3">
      <c r="A8524" s="24">
        <v>43402</v>
      </c>
      <c r="B8524" s="66">
        <v>1482.8262099999999</v>
      </c>
      <c r="C8524" s="66">
        <v>2140</v>
      </c>
      <c r="D8524" s="70">
        <v>0</v>
      </c>
      <c r="E8524" s="111">
        <f t="shared" si="137"/>
        <v>138710</v>
      </c>
      <c r="F8524" s="69">
        <v>7.1291471545206417E-2</v>
      </c>
      <c r="G8524" s="69">
        <v>6.1651917404129793E-2</v>
      </c>
    </row>
    <row r="8525" spans="1:7" x14ac:dyDescent="0.3">
      <c r="A8525" s="24">
        <v>43403</v>
      </c>
      <c r="B8525" s="66">
        <v>1549.79873</v>
      </c>
      <c r="C8525" s="66">
        <v>2080</v>
      </c>
      <c r="D8525" s="70">
        <v>0</v>
      </c>
      <c r="E8525" s="111">
        <f t="shared" si="137"/>
        <v>138710</v>
      </c>
      <c r="F8525" s="69">
        <v>7.1291471545206417E-2</v>
      </c>
      <c r="G8525" s="69">
        <v>6.2062002613136956E-2</v>
      </c>
    </row>
    <row r="8526" spans="1:7" x14ac:dyDescent="0.3">
      <c r="A8526" s="24">
        <v>43404</v>
      </c>
      <c r="B8526" s="66">
        <v>1549.79873</v>
      </c>
      <c r="C8526" s="66">
        <v>2047.9</v>
      </c>
      <c r="D8526" s="70">
        <v>0</v>
      </c>
      <c r="E8526" s="111">
        <f t="shared" si="137"/>
        <v>138710</v>
      </c>
      <c r="F8526" s="69">
        <v>7.1291471545206417E-2</v>
      </c>
      <c r="G8526" s="69">
        <v>6.2062002613136956E-2</v>
      </c>
    </row>
    <row r="8527" spans="1:7" x14ac:dyDescent="0.3">
      <c r="A8527" s="24">
        <v>43405</v>
      </c>
      <c r="B8527" s="66">
        <v>1549.79873</v>
      </c>
      <c r="C8527" s="66">
        <v>2047.9</v>
      </c>
      <c r="D8527" s="70">
        <v>0</v>
      </c>
      <c r="E8527" s="111">
        <f t="shared" si="137"/>
        <v>138710</v>
      </c>
      <c r="F8527" s="69">
        <v>7.1291471545206417E-2</v>
      </c>
      <c r="G8527" s="69">
        <v>6.2157982393528433E-2</v>
      </c>
    </row>
    <row r="8528" spans="1:7" x14ac:dyDescent="0.3">
      <c r="A8528" s="24">
        <v>43406</v>
      </c>
      <c r="B8528" s="66">
        <v>1549.79873</v>
      </c>
      <c r="C8528" s="66">
        <v>2047.9</v>
      </c>
      <c r="D8528" s="70">
        <v>0</v>
      </c>
      <c r="E8528" s="111">
        <f t="shared" si="137"/>
        <v>138710</v>
      </c>
      <c r="F8528" s="69">
        <v>7.1291471545206417E-2</v>
      </c>
      <c r="G8528" s="69">
        <v>6.2202380952380953E-2</v>
      </c>
    </row>
    <row r="8529" spans="1:7" x14ac:dyDescent="0.3">
      <c r="A8529" s="24">
        <v>43407</v>
      </c>
      <c r="B8529" s="66">
        <v>1549.79873</v>
      </c>
      <c r="C8529" s="66">
        <v>2047.9</v>
      </c>
      <c r="D8529" s="70">
        <v>0</v>
      </c>
      <c r="E8529" s="111">
        <f t="shared" si="137"/>
        <v>138710</v>
      </c>
      <c r="F8529" s="69">
        <v>7.1291471545206417E-2</v>
      </c>
      <c r="G8529" s="69">
        <v>6.2202380952380953E-2</v>
      </c>
    </row>
    <row r="8530" spans="1:7" x14ac:dyDescent="0.3">
      <c r="A8530" s="24">
        <v>43408</v>
      </c>
      <c r="B8530" s="66">
        <v>1549.79873</v>
      </c>
      <c r="C8530" s="66">
        <v>2047.9</v>
      </c>
      <c r="D8530" s="70">
        <v>0</v>
      </c>
      <c r="E8530" s="111">
        <f t="shared" si="137"/>
        <v>138710</v>
      </c>
      <c r="F8530" s="69">
        <v>7.1291471545206417E-2</v>
      </c>
      <c r="G8530" s="69">
        <v>6.2202380952380953E-2</v>
      </c>
    </row>
    <row r="8531" spans="1:7" x14ac:dyDescent="0.3">
      <c r="A8531" s="24">
        <v>43409</v>
      </c>
      <c r="B8531" s="66">
        <v>1549.79873</v>
      </c>
      <c r="C8531" s="66">
        <v>2018</v>
      </c>
      <c r="D8531" s="70">
        <v>0</v>
      </c>
      <c r="E8531" s="111">
        <f t="shared" si="137"/>
        <v>138710</v>
      </c>
      <c r="F8531" s="69">
        <v>7.1291471545206417E-2</v>
      </c>
      <c r="G8531" s="69">
        <v>6.2202380952380953E-2</v>
      </c>
    </row>
    <row r="8532" spans="1:7" x14ac:dyDescent="0.3">
      <c r="A8532" s="24">
        <v>43410</v>
      </c>
      <c r="B8532" s="66">
        <v>1549.79873</v>
      </c>
      <c r="C8532" s="66">
        <v>1985</v>
      </c>
      <c r="D8532" s="70">
        <v>0</v>
      </c>
      <c r="E8532" s="111">
        <f t="shared" si="137"/>
        <v>138710</v>
      </c>
      <c r="F8532" s="69">
        <v>7.1291471545206417E-2</v>
      </c>
      <c r="G8532" s="69">
        <v>6.2202380952380953E-2</v>
      </c>
    </row>
    <row r="8533" spans="1:7" x14ac:dyDescent="0.3">
      <c r="A8533" s="24">
        <v>43411</v>
      </c>
      <c r="B8533" s="66">
        <v>1549.79873</v>
      </c>
      <c r="C8533" s="66">
        <v>1949.8</v>
      </c>
      <c r="D8533" s="70">
        <v>0</v>
      </c>
      <c r="E8533" s="111">
        <f t="shared" si="137"/>
        <v>138710</v>
      </c>
      <c r="F8533" s="69">
        <v>7.1291471545206417E-2</v>
      </c>
      <c r="G8533" s="69">
        <v>6.2202380952380953E-2</v>
      </c>
    </row>
    <row r="8534" spans="1:7" x14ac:dyDescent="0.3">
      <c r="A8534" s="24">
        <v>43412</v>
      </c>
      <c r="B8534" s="66">
        <v>1549.79873</v>
      </c>
      <c r="C8534" s="66">
        <v>2025</v>
      </c>
      <c r="D8534" s="70">
        <v>0</v>
      </c>
      <c r="E8534" s="111">
        <f t="shared" si="137"/>
        <v>138710</v>
      </c>
      <c r="F8534" s="69">
        <v>7.1291471545206417E-2</v>
      </c>
      <c r="G8534" s="69">
        <v>6.2202380952380953E-2</v>
      </c>
    </row>
    <row r="8535" spans="1:7" x14ac:dyDescent="0.3">
      <c r="A8535" s="24">
        <v>43413</v>
      </c>
      <c r="B8535" s="66">
        <v>1549.79873</v>
      </c>
      <c r="C8535" s="66">
        <v>2040</v>
      </c>
      <c r="D8535" s="70">
        <v>0</v>
      </c>
      <c r="E8535" s="111">
        <f t="shared" si="137"/>
        <v>138710</v>
      </c>
      <c r="F8535" s="69">
        <v>7.1291471545206417E-2</v>
      </c>
      <c r="G8535" s="69">
        <v>6.2202380952380953E-2</v>
      </c>
    </row>
    <row r="8536" spans="1:7" x14ac:dyDescent="0.3">
      <c r="A8536" s="24">
        <v>43414</v>
      </c>
      <c r="B8536" s="66">
        <v>1549.79873</v>
      </c>
      <c r="C8536" s="66">
        <v>2040</v>
      </c>
      <c r="D8536" s="70">
        <v>0</v>
      </c>
      <c r="E8536" s="111">
        <f t="shared" si="137"/>
        <v>138710</v>
      </c>
      <c r="F8536" s="69">
        <v>7.1291471545206417E-2</v>
      </c>
      <c r="G8536" s="69">
        <v>6.2202380952380953E-2</v>
      </c>
    </row>
    <row r="8537" spans="1:7" x14ac:dyDescent="0.3">
      <c r="A8537" s="24">
        <v>43415</v>
      </c>
      <c r="B8537" s="66">
        <v>1549.79873</v>
      </c>
      <c r="C8537" s="66">
        <v>2040</v>
      </c>
      <c r="D8537" s="70">
        <v>0</v>
      </c>
      <c r="E8537" s="111">
        <f t="shared" si="137"/>
        <v>138710</v>
      </c>
      <c r="F8537" s="69">
        <v>7.1291471545206417E-2</v>
      </c>
      <c r="G8537" s="69">
        <v>6.2202380952380953E-2</v>
      </c>
    </row>
    <row r="8538" spans="1:7" x14ac:dyDescent="0.3">
      <c r="A8538" s="24">
        <v>43416</v>
      </c>
      <c r="B8538" s="66">
        <v>1549.79873</v>
      </c>
      <c r="C8538" s="66">
        <v>2040</v>
      </c>
      <c r="D8538" s="70">
        <v>0</v>
      </c>
      <c r="E8538" s="111">
        <f t="shared" si="137"/>
        <v>138710</v>
      </c>
      <c r="F8538" s="69">
        <v>7.1291471545206417E-2</v>
      </c>
      <c r="G8538" s="69">
        <v>6.1128985083357706E-2</v>
      </c>
    </row>
    <row r="8539" spans="1:7" x14ac:dyDescent="0.3">
      <c r="A8539" s="24">
        <v>43417</v>
      </c>
      <c r="B8539" s="66">
        <v>1549.79873</v>
      </c>
      <c r="C8539" s="66">
        <v>2100</v>
      </c>
      <c r="D8539" s="70">
        <v>0</v>
      </c>
      <c r="E8539" s="111">
        <f t="shared" si="137"/>
        <v>138710</v>
      </c>
      <c r="F8539" s="69">
        <v>7.1291471545206417E-2</v>
      </c>
      <c r="G8539" s="69">
        <v>6.1290322580645158E-2</v>
      </c>
    </row>
    <row r="8540" spans="1:7" x14ac:dyDescent="0.3">
      <c r="A8540" s="24">
        <v>43418</v>
      </c>
      <c r="B8540" s="66">
        <v>1549.79873</v>
      </c>
      <c r="C8540" s="66">
        <v>2075</v>
      </c>
      <c r="D8540" s="70">
        <v>0</v>
      </c>
      <c r="E8540" s="111">
        <f t="shared" si="137"/>
        <v>138710</v>
      </c>
      <c r="F8540" s="69">
        <v>7.1291471545206417E-2</v>
      </c>
      <c r="G8540" s="69">
        <v>6.183431952662722E-2</v>
      </c>
    </row>
    <row r="8541" spans="1:7" x14ac:dyDescent="0.3">
      <c r="A8541" s="24">
        <v>43419</v>
      </c>
      <c r="B8541" s="66">
        <v>1549.79873</v>
      </c>
      <c r="C8541" s="66">
        <v>2080</v>
      </c>
      <c r="D8541" s="70">
        <v>0</v>
      </c>
      <c r="E8541" s="111">
        <f t="shared" si="137"/>
        <v>138710</v>
      </c>
      <c r="F8541" s="69">
        <v>7.1291471545206417E-2</v>
      </c>
      <c r="G8541" s="69">
        <v>6.183431952662722E-2</v>
      </c>
    </row>
    <row r="8542" spans="1:7" x14ac:dyDescent="0.3">
      <c r="A8542" s="24">
        <v>43420</v>
      </c>
      <c r="B8542" s="66">
        <v>1549.79873</v>
      </c>
      <c r="C8542" s="66">
        <v>2085</v>
      </c>
      <c r="D8542" s="70">
        <v>0</v>
      </c>
      <c r="E8542" s="111">
        <f t="shared" si="137"/>
        <v>138710</v>
      </c>
      <c r="F8542" s="69">
        <v>7.1291471545206417E-2</v>
      </c>
      <c r="G8542" s="69">
        <v>6.1470588235294117E-2</v>
      </c>
    </row>
    <row r="8543" spans="1:7" x14ac:dyDescent="0.3">
      <c r="A8543" s="24">
        <v>43421</v>
      </c>
      <c r="B8543" s="66">
        <v>1549.79873</v>
      </c>
      <c r="C8543" s="66">
        <v>2085</v>
      </c>
      <c r="D8543" s="70">
        <v>0</v>
      </c>
      <c r="E8543" s="111">
        <f t="shared" si="137"/>
        <v>138710</v>
      </c>
      <c r="F8543" s="69">
        <v>7.1291471545206417E-2</v>
      </c>
      <c r="G8543" s="69">
        <v>6.1470588235294117E-2</v>
      </c>
    </row>
    <row r="8544" spans="1:7" x14ac:dyDescent="0.3">
      <c r="A8544" s="24">
        <v>43422</v>
      </c>
      <c r="B8544" s="66">
        <v>1549.79873</v>
      </c>
      <c r="C8544" s="66">
        <v>2085</v>
      </c>
      <c r="D8544" s="70">
        <v>0</v>
      </c>
      <c r="E8544" s="111">
        <f t="shared" si="137"/>
        <v>138710</v>
      </c>
      <c r="F8544" s="69">
        <v>7.1291471545206417E-2</v>
      </c>
      <c r="G8544" s="69">
        <v>6.1470588235294117E-2</v>
      </c>
    </row>
    <row r="8545" spans="1:7" x14ac:dyDescent="0.3">
      <c r="A8545" s="24">
        <v>43423</v>
      </c>
      <c r="B8545" s="66">
        <v>1549.79873</v>
      </c>
      <c r="C8545" s="66">
        <v>2080</v>
      </c>
      <c r="D8545" s="70">
        <v>0</v>
      </c>
      <c r="E8545" s="111">
        <f t="shared" si="137"/>
        <v>138710</v>
      </c>
      <c r="F8545" s="69">
        <v>7.1291471545206417E-2</v>
      </c>
      <c r="G8545" s="69">
        <v>6.2202380952380953E-2</v>
      </c>
    </row>
    <row r="8546" spans="1:7" x14ac:dyDescent="0.3">
      <c r="A8546" s="24">
        <v>43424</v>
      </c>
      <c r="B8546" s="66">
        <v>1549.79873</v>
      </c>
      <c r="C8546" s="66">
        <v>2070</v>
      </c>
      <c r="D8546" s="70">
        <v>0</v>
      </c>
      <c r="E8546" s="111">
        <f t="shared" si="137"/>
        <v>138710</v>
      </c>
      <c r="F8546" s="69">
        <v>7.1291471545206417E-2</v>
      </c>
      <c r="G8546" s="69">
        <v>6.3141993957703924E-2</v>
      </c>
    </row>
    <row r="8547" spans="1:7" x14ac:dyDescent="0.3">
      <c r="A8547" s="24">
        <v>43425</v>
      </c>
      <c r="B8547" s="66">
        <v>1549.79873</v>
      </c>
      <c r="C8547" s="66">
        <v>2051.1</v>
      </c>
      <c r="D8547" s="70">
        <v>0</v>
      </c>
      <c r="E8547" s="111">
        <f t="shared" si="137"/>
        <v>138710</v>
      </c>
      <c r="F8547" s="69">
        <v>7.1291471545206417E-2</v>
      </c>
      <c r="G8547" s="69">
        <v>6.4110429447852765E-2</v>
      </c>
    </row>
    <row r="8548" spans="1:7" x14ac:dyDescent="0.3">
      <c r="A8548" s="24">
        <v>43426</v>
      </c>
      <c r="B8548" s="66">
        <v>1549.79873</v>
      </c>
      <c r="C8548" s="66">
        <v>2049.8000000000002</v>
      </c>
      <c r="D8548" s="70">
        <v>0</v>
      </c>
      <c r="E8548" s="111">
        <f t="shared" si="137"/>
        <v>138710</v>
      </c>
      <c r="F8548" s="69">
        <v>7.1291471545206417E-2</v>
      </c>
      <c r="G8548" s="69">
        <v>6.4906832298136652E-2</v>
      </c>
    </row>
    <row r="8549" spans="1:7" x14ac:dyDescent="0.3">
      <c r="A8549" s="24">
        <v>43427</v>
      </c>
      <c r="B8549" s="66">
        <v>1549.79873</v>
      </c>
      <c r="C8549" s="66">
        <v>2040</v>
      </c>
      <c r="D8549" s="70">
        <v>0</v>
      </c>
      <c r="E8549" s="111">
        <f t="shared" si="137"/>
        <v>138710</v>
      </c>
      <c r="F8549" s="69">
        <v>7.1291471545206417E-2</v>
      </c>
      <c r="G8549" s="69">
        <v>6.5312499999999996E-2</v>
      </c>
    </row>
    <row r="8550" spans="1:7" x14ac:dyDescent="0.3">
      <c r="A8550" s="24">
        <v>43428</v>
      </c>
      <c r="B8550" s="66">
        <v>1549.79873</v>
      </c>
      <c r="C8550" s="66">
        <v>2040</v>
      </c>
      <c r="D8550" s="70">
        <v>0</v>
      </c>
      <c r="E8550" s="111">
        <f t="shared" si="137"/>
        <v>138710</v>
      </c>
      <c r="F8550" s="69">
        <v>7.1291471545206417E-2</v>
      </c>
      <c r="G8550" s="69">
        <v>6.5312499999999996E-2</v>
      </c>
    </row>
    <row r="8551" spans="1:7" x14ac:dyDescent="0.3">
      <c r="A8551" s="24">
        <v>43429</v>
      </c>
      <c r="B8551" s="66">
        <v>1549.79873</v>
      </c>
      <c r="C8551" s="66">
        <v>2040</v>
      </c>
      <c r="D8551" s="70">
        <v>0</v>
      </c>
      <c r="E8551" s="111">
        <f t="shared" si="137"/>
        <v>138710</v>
      </c>
      <c r="F8551" s="69">
        <v>7.1291471545206417E-2</v>
      </c>
      <c r="G8551" s="69">
        <v>6.5312499999999996E-2</v>
      </c>
    </row>
    <row r="8552" spans="1:7" x14ac:dyDescent="0.3">
      <c r="A8552" s="24">
        <v>43430</v>
      </c>
      <c r="B8552" s="66">
        <v>1549.79873</v>
      </c>
      <c r="C8552" s="66">
        <v>2039.48</v>
      </c>
      <c r="D8552" s="70">
        <v>0</v>
      </c>
      <c r="E8552" s="111">
        <f t="shared" si="137"/>
        <v>138710</v>
      </c>
      <c r="F8552" s="69">
        <v>7.1291471545206417E-2</v>
      </c>
      <c r="G8552" s="69">
        <v>6.6139240506329119E-2</v>
      </c>
    </row>
    <row r="8553" spans="1:7" x14ac:dyDescent="0.3">
      <c r="A8553" s="24">
        <v>43431</v>
      </c>
      <c r="B8553" s="66">
        <v>1549.79873</v>
      </c>
      <c r="C8553" s="66">
        <v>2030</v>
      </c>
      <c r="D8553" s="70">
        <v>0</v>
      </c>
      <c r="E8553" s="111">
        <f t="shared" si="137"/>
        <v>138710</v>
      </c>
      <c r="F8553" s="69">
        <v>7.1291471545206417E-2</v>
      </c>
      <c r="G8553" s="69">
        <v>6.6181127295756814E-2</v>
      </c>
    </row>
    <row r="8554" spans="1:7" x14ac:dyDescent="0.3">
      <c r="A8554" s="24">
        <v>43432</v>
      </c>
      <c r="B8554" s="66">
        <v>1549.79873</v>
      </c>
      <c r="C8554" s="66">
        <v>2025</v>
      </c>
      <c r="D8554" s="70">
        <v>0</v>
      </c>
      <c r="E8554" s="111">
        <f t="shared" si="137"/>
        <v>138710</v>
      </c>
      <c r="F8554" s="69">
        <v>7.1291471545206417E-2</v>
      </c>
      <c r="G8554" s="69">
        <v>6.7681347150259072E-2</v>
      </c>
    </row>
    <row r="8555" spans="1:7" x14ac:dyDescent="0.3">
      <c r="A8555" s="24">
        <v>43433</v>
      </c>
      <c r="B8555" s="66">
        <v>1549.79873</v>
      </c>
      <c r="C8555" s="66">
        <v>2000</v>
      </c>
      <c r="D8555" s="70">
        <v>0</v>
      </c>
      <c r="E8555" s="111">
        <f t="shared" si="137"/>
        <v>138710</v>
      </c>
      <c r="F8555" s="69">
        <v>7.1291471545206417E-2</v>
      </c>
      <c r="G8555" s="69">
        <v>6.7857142857142852E-2</v>
      </c>
    </row>
    <row r="8556" spans="1:7" x14ac:dyDescent="0.3">
      <c r="A8556" s="24">
        <v>43434</v>
      </c>
      <c r="B8556" s="66">
        <v>1549.79873</v>
      </c>
      <c r="C8556" s="66">
        <v>2015</v>
      </c>
      <c r="D8556" s="70">
        <v>0</v>
      </c>
      <c r="E8556" s="111">
        <f t="shared" si="137"/>
        <v>138710</v>
      </c>
      <c r="F8556" s="69">
        <v>7.1291471545206417E-2</v>
      </c>
      <c r="G8556" s="69">
        <v>6.7861549451263062E-2</v>
      </c>
    </row>
    <row r="8557" spans="1:7" x14ac:dyDescent="0.3">
      <c r="A8557" s="24">
        <v>43435</v>
      </c>
      <c r="B8557" s="66">
        <v>1549.79873</v>
      </c>
      <c r="C8557" s="66">
        <v>2015</v>
      </c>
      <c r="D8557" s="70">
        <v>0</v>
      </c>
      <c r="E8557" s="111">
        <f t="shared" si="137"/>
        <v>138710</v>
      </c>
      <c r="F8557" s="69">
        <v>7.1291471545206417E-2</v>
      </c>
      <c r="G8557" s="69">
        <v>6.7861549451263062E-2</v>
      </c>
    </row>
    <row r="8558" spans="1:7" x14ac:dyDescent="0.3">
      <c r="A8558" s="24">
        <v>43436</v>
      </c>
      <c r="B8558" s="66">
        <v>1549.79873</v>
      </c>
      <c r="C8558" s="66">
        <v>2015</v>
      </c>
      <c r="D8558" s="70">
        <v>0</v>
      </c>
      <c r="E8558" s="111">
        <f t="shared" si="137"/>
        <v>138710</v>
      </c>
      <c r="F8558" s="69">
        <v>7.1291471545206417E-2</v>
      </c>
      <c r="G8558" s="69">
        <v>6.7861549451263062E-2</v>
      </c>
    </row>
    <row r="8559" spans="1:7" x14ac:dyDescent="0.3">
      <c r="A8559" s="24">
        <v>43437</v>
      </c>
      <c r="B8559" s="66">
        <v>1549.79873</v>
      </c>
      <c r="C8559" s="66">
        <v>2020</v>
      </c>
      <c r="D8559" s="70">
        <v>0</v>
      </c>
      <c r="E8559" s="111">
        <f t="shared" si="137"/>
        <v>138710</v>
      </c>
      <c r="F8559" s="69">
        <v>7.1291471545206417E-2</v>
      </c>
      <c r="G8559" s="69">
        <v>6.7419354838709672E-2</v>
      </c>
    </row>
    <row r="8560" spans="1:7" x14ac:dyDescent="0.3">
      <c r="A8560" s="24">
        <v>43438</v>
      </c>
      <c r="B8560" s="66">
        <v>1549.79873</v>
      </c>
      <c r="C8560" s="66">
        <v>2015</v>
      </c>
      <c r="D8560" s="70">
        <v>0</v>
      </c>
      <c r="E8560" s="111">
        <f t="shared" si="137"/>
        <v>138710</v>
      </c>
      <c r="F8560" s="69">
        <v>7.1291471545206417E-2</v>
      </c>
      <c r="G8560" s="69">
        <v>6.7423704755145489E-2</v>
      </c>
    </row>
    <row r="8561" spans="1:7" x14ac:dyDescent="0.3">
      <c r="A8561" s="24">
        <v>43439</v>
      </c>
      <c r="B8561" s="66">
        <v>1549.79873</v>
      </c>
      <c r="C8561" s="66">
        <v>2010.1</v>
      </c>
      <c r="D8561" s="70">
        <v>0</v>
      </c>
      <c r="E8561" s="111">
        <f t="shared" si="137"/>
        <v>138710</v>
      </c>
      <c r="F8561" s="69">
        <v>7.1291471545206417E-2</v>
      </c>
      <c r="G8561" s="69">
        <v>6.7857142857142852E-2</v>
      </c>
    </row>
    <row r="8562" spans="1:7" x14ac:dyDescent="0.3">
      <c r="A8562" s="24">
        <v>43440</v>
      </c>
      <c r="B8562" s="66">
        <v>1549.79873</v>
      </c>
      <c r="C8562" s="66">
        <v>2010</v>
      </c>
      <c r="D8562" s="70">
        <v>0</v>
      </c>
      <c r="E8562" s="111">
        <f t="shared" si="137"/>
        <v>138710</v>
      </c>
      <c r="F8562" s="69">
        <v>7.1291471545206417E-2</v>
      </c>
      <c r="G8562" s="69">
        <v>6.7857142857142852E-2</v>
      </c>
    </row>
    <row r="8563" spans="1:7" x14ac:dyDescent="0.3">
      <c r="A8563" s="24">
        <v>43441</v>
      </c>
      <c r="B8563" s="66">
        <v>1549.79873</v>
      </c>
      <c r="C8563" s="66">
        <v>2020</v>
      </c>
      <c r="D8563" s="70">
        <v>0</v>
      </c>
      <c r="E8563" s="111">
        <f t="shared" si="137"/>
        <v>138710</v>
      </c>
      <c r="F8563" s="69">
        <v>7.1291471545206417E-2</v>
      </c>
      <c r="G8563" s="69">
        <v>6.7857142857142852E-2</v>
      </c>
    </row>
    <row r="8564" spans="1:7" x14ac:dyDescent="0.3">
      <c r="A8564" s="24">
        <v>43442</v>
      </c>
      <c r="B8564" s="66">
        <v>1549.79873</v>
      </c>
      <c r="C8564" s="66">
        <v>2020</v>
      </c>
      <c r="D8564" s="70">
        <v>0</v>
      </c>
      <c r="E8564" s="111">
        <f t="shared" si="137"/>
        <v>138710</v>
      </c>
      <c r="F8564" s="69">
        <v>7.1291471545206417E-2</v>
      </c>
      <c r="G8564" s="69">
        <v>6.7857142857142852E-2</v>
      </c>
    </row>
    <row r="8565" spans="1:7" x14ac:dyDescent="0.3">
      <c r="A8565" s="24">
        <v>43443</v>
      </c>
      <c r="B8565" s="66">
        <v>1549.79873</v>
      </c>
      <c r="C8565" s="66">
        <v>2020</v>
      </c>
      <c r="D8565" s="70">
        <v>0</v>
      </c>
      <c r="E8565" s="111">
        <f t="shared" si="137"/>
        <v>138710</v>
      </c>
      <c r="F8565" s="69">
        <v>7.1291471545206417E-2</v>
      </c>
      <c r="G8565" s="69">
        <v>6.7857142857142852E-2</v>
      </c>
    </row>
    <row r="8566" spans="1:7" x14ac:dyDescent="0.3">
      <c r="A8566" s="24">
        <v>43444</v>
      </c>
      <c r="B8566" s="66">
        <v>1549.79873</v>
      </c>
      <c r="C8566" s="66">
        <v>2010</v>
      </c>
      <c r="D8566" s="70">
        <v>0</v>
      </c>
      <c r="E8566" s="111">
        <f t="shared" si="137"/>
        <v>138710</v>
      </c>
      <c r="F8566" s="69">
        <v>7.1291471545206417E-2</v>
      </c>
      <c r="G8566" s="69">
        <v>6.7419354838709672E-2</v>
      </c>
    </row>
    <row r="8567" spans="1:7" x14ac:dyDescent="0.3">
      <c r="A8567" s="24">
        <v>43445</v>
      </c>
      <c r="B8567" s="66">
        <v>1549.79873</v>
      </c>
      <c r="C8567" s="66">
        <v>2010</v>
      </c>
      <c r="D8567" s="70">
        <v>0</v>
      </c>
      <c r="E8567" s="111">
        <f t="shared" si="137"/>
        <v>138710</v>
      </c>
      <c r="F8567" s="69">
        <v>7.1291471545206417E-2</v>
      </c>
      <c r="G8567" s="69">
        <v>6.7419354838709672E-2</v>
      </c>
    </row>
    <row r="8568" spans="1:7" x14ac:dyDescent="0.3">
      <c r="A8568" s="24">
        <v>43446</v>
      </c>
      <c r="B8568" s="66">
        <v>1549.79873</v>
      </c>
      <c r="C8568" s="66">
        <v>2020</v>
      </c>
      <c r="D8568" s="70">
        <v>0</v>
      </c>
      <c r="E8568" s="111">
        <f t="shared" si="137"/>
        <v>138710</v>
      </c>
      <c r="F8568" s="69">
        <v>7.1291471545206417E-2</v>
      </c>
      <c r="G8568" s="69">
        <v>6.7506459948320413E-2</v>
      </c>
    </row>
    <row r="8569" spans="1:7" x14ac:dyDescent="0.3">
      <c r="A8569" s="24">
        <v>43447</v>
      </c>
      <c r="B8569" s="66">
        <v>1549.79873</v>
      </c>
      <c r="C8569" s="66">
        <v>2015</v>
      </c>
      <c r="D8569" s="70">
        <v>0</v>
      </c>
      <c r="E8569" s="111">
        <f t="shared" si="137"/>
        <v>138710</v>
      </c>
      <c r="F8569" s="69">
        <v>7.1291471545206417E-2</v>
      </c>
      <c r="G8569" s="69">
        <v>6.7593790426908149E-2</v>
      </c>
    </row>
    <row r="8570" spans="1:7" x14ac:dyDescent="0.3">
      <c r="A8570" s="24">
        <v>43448</v>
      </c>
      <c r="B8570" s="66">
        <v>1549.79873</v>
      </c>
      <c r="C8570" s="66">
        <v>2009.8</v>
      </c>
      <c r="D8570" s="70">
        <v>0</v>
      </c>
      <c r="E8570" s="111">
        <f t="shared" si="137"/>
        <v>138710</v>
      </c>
      <c r="F8570" s="69">
        <v>7.1291471545206417E-2</v>
      </c>
      <c r="G8570" s="69">
        <v>6.7637540453074435E-2</v>
      </c>
    </row>
    <row r="8571" spans="1:7" x14ac:dyDescent="0.3">
      <c r="A8571" s="24">
        <v>43449</v>
      </c>
      <c r="B8571" s="66">
        <v>1549.79873</v>
      </c>
      <c r="C8571" s="66">
        <v>2009.8</v>
      </c>
      <c r="D8571" s="70">
        <v>0</v>
      </c>
      <c r="E8571" s="111">
        <f t="shared" si="137"/>
        <v>138710</v>
      </c>
      <c r="F8571" s="69">
        <v>7.1291471545206417E-2</v>
      </c>
      <c r="G8571" s="69">
        <v>6.7637540453074435E-2</v>
      </c>
    </row>
    <row r="8572" spans="1:7" x14ac:dyDescent="0.3">
      <c r="A8572" s="24">
        <v>43450</v>
      </c>
      <c r="B8572" s="66">
        <v>1549.79873</v>
      </c>
      <c r="C8572" s="66">
        <v>2009.8</v>
      </c>
      <c r="D8572" s="70">
        <v>0</v>
      </c>
      <c r="E8572" s="111">
        <f t="shared" si="137"/>
        <v>138710</v>
      </c>
      <c r="F8572" s="69">
        <v>7.1291471545206417E-2</v>
      </c>
      <c r="G8572" s="69">
        <v>6.7637540453074435E-2</v>
      </c>
    </row>
    <row r="8573" spans="1:7" x14ac:dyDescent="0.3">
      <c r="A8573" s="24">
        <v>43451</v>
      </c>
      <c r="B8573" s="66">
        <v>1549.79873</v>
      </c>
      <c r="C8573" s="66">
        <v>1950</v>
      </c>
      <c r="D8573" s="70">
        <v>0</v>
      </c>
      <c r="E8573" s="111">
        <f t="shared" si="137"/>
        <v>138710</v>
      </c>
      <c r="F8573" s="69">
        <v>7.1291471545206417E-2</v>
      </c>
      <c r="G8573" s="69">
        <v>6.25748502994012E-2</v>
      </c>
    </row>
    <row r="8574" spans="1:7" x14ac:dyDescent="0.3">
      <c r="A8574" s="24">
        <v>43452</v>
      </c>
      <c r="B8574" s="66">
        <v>1549.79873</v>
      </c>
      <c r="C8574" s="66">
        <v>1986.5</v>
      </c>
      <c r="D8574" s="70">
        <v>0</v>
      </c>
      <c r="E8574" s="111">
        <f t="shared" si="137"/>
        <v>138710</v>
      </c>
      <c r="F8574" s="69">
        <v>7.1291471545206417E-2</v>
      </c>
      <c r="G8574" s="69">
        <v>6.2202380952380953E-2</v>
      </c>
    </row>
    <row r="8575" spans="1:7" x14ac:dyDescent="0.3">
      <c r="A8575" s="24">
        <v>43453</v>
      </c>
      <c r="B8575" s="66">
        <v>1549.79873</v>
      </c>
      <c r="C8575" s="66">
        <v>1990</v>
      </c>
      <c r="D8575" s="70">
        <v>0</v>
      </c>
      <c r="E8575" s="111">
        <f t="shared" si="137"/>
        <v>138710</v>
      </c>
      <c r="F8575" s="69">
        <v>7.1291471545206417E-2</v>
      </c>
      <c r="G8575" s="69">
        <v>6.219497678847756E-2</v>
      </c>
    </row>
    <row r="8576" spans="1:7" x14ac:dyDescent="0.3">
      <c r="A8576" s="24">
        <v>43454</v>
      </c>
      <c r="B8576" s="66">
        <v>1549.79873</v>
      </c>
      <c r="C8576" s="66">
        <v>1960</v>
      </c>
      <c r="D8576" s="70">
        <v>17.5</v>
      </c>
      <c r="E8576" s="111">
        <f t="shared" si="137"/>
        <v>138710</v>
      </c>
      <c r="F8576" s="69">
        <v>7.1973686583916521E-2</v>
      </c>
      <c r="G8576" s="69">
        <v>6.2797619047619047E-2</v>
      </c>
    </row>
    <row r="8577" spans="1:7" x14ac:dyDescent="0.3">
      <c r="A8577" s="24">
        <v>43455</v>
      </c>
      <c r="B8577" s="66">
        <v>1549.79873</v>
      </c>
      <c r="C8577" s="66">
        <v>1964.8</v>
      </c>
      <c r="D8577" s="70">
        <v>0</v>
      </c>
      <c r="E8577" s="111">
        <f t="shared" si="137"/>
        <v>138710</v>
      </c>
      <c r="F8577" s="69">
        <v>7.1973686583916521E-2</v>
      </c>
      <c r="G8577" s="69">
        <v>6.3173652694610782E-2</v>
      </c>
    </row>
    <row r="8578" spans="1:7" x14ac:dyDescent="0.3">
      <c r="A8578" s="24">
        <v>43456</v>
      </c>
      <c r="B8578" s="66">
        <v>1549.79873</v>
      </c>
      <c r="C8578" s="66">
        <v>1964.8</v>
      </c>
      <c r="D8578" s="70">
        <v>0</v>
      </c>
      <c r="E8578" s="111">
        <f t="shared" si="137"/>
        <v>138710</v>
      </c>
      <c r="F8578" s="69">
        <v>7.1973686583916521E-2</v>
      </c>
      <c r="G8578" s="69">
        <v>6.3173652694610782E-2</v>
      </c>
    </row>
    <row r="8579" spans="1:7" x14ac:dyDescent="0.3">
      <c r="A8579" s="24">
        <v>43457</v>
      </c>
      <c r="B8579" s="66">
        <v>1549.79873</v>
      </c>
      <c r="C8579" s="66">
        <v>1964.8</v>
      </c>
      <c r="D8579" s="70">
        <v>0</v>
      </c>
      <c r="E8579" s="111">
        <f t="shared" si="137"/>
        <v>138710</v>
      </c>
      <c r="F8579" s="69">
        <v>7.1973686583916521E-2</v>
      </c>
      <c r="G8579" s="69">
        <v>6.3173652694610782E-2</v>
      </c>
    </row>
    <row r="8580" spans="1:7" x14ac:dyDescent="0.3">
      <c r="A8580" s="24">
        <v>43458</v>
      </c>
      <c r="B8580" s="66">
        <v>1549.79873</v>
      </c>
      <c r="C8580" s="66">
        <v>1950</v>
      </c>
      <c r="D8580" s="70">
        <v>0</v>
      </c>
      <c r="E8580" s="111">
        <f t="shared" si="137"/>
        <v>138710</v>
      </c>
      <c r="F8580" s="69">
        <v>7.1973686583916521E-2</v>
      </c>
      <c r="G8580" s="69">
        <v>6.3173652694610782E-2</v>
      </c>
    </row>
    <row r="8581" spans="1:7" x14ac:dyDescent="0.3">
      <c r="A8581" s="24">
        <v>43459</v>
      </c>
      <c r="B8581" s="66">
        <v>1549.79873</v>
      </c>
      <c r="C8581" s="66">
        <v>1950</v>
      </c>
      <c r="D8581" s="70">
        <v>0</v>
      </c>
      <c r="E8581" s="111">
        <f t="shared" si="137"/>
        <v>138710</v>
      </c>
      <c r="F8581" s="69">
        <v>7.1973686583916521E-2</v>
      </c>
      <c r="G8581" s="69">
        <v>6.3173652694610782E-2</v>
      </c>
    </row>
    <row r="8582" spans="1:7" x14ac:dyDescent="0.3">
      <c r="A8582" s="24">
        <v>43460</v>
      </c>
      <c r="B8582" s="66">
        <v>1549.79873</v>
      </c>
      <c r="C8582" s="66">
        <v>1950</v>
      </c>
      <c r="D8582" s="70">
        <v>0</v>
      </c>
      <c r="E8582" s="111">
        <f t="shared" si="137"/>
        <v>138710</v>
      </c>
      <c r="F8582" s="69">
        <v>7.1973686583916521E-2</v>
      </c>
      <c r="G8582" s="69">
        <v>6.3173652694610782E-2</v>
      </c>
    </row>
    <row r="8583" spans="1:7" x14ac:dyDescent="0.3">
      <c r="A8583" s="24">
        <v>43461</v>
      </c>
      <c r="B8583" s="66">
        <v>1549.79873</v>
      </c>
      <c r="C8583" s="66">
        <v>1947.9</v>
      </c>
      <c r="D8583" s="70">
        <v>0</v>
      </c>
      <c r="E8583" s="111">
        <f t="shared" si="137"/>
        <v>138710</v>
      </c>
      <c r="F8583" s="69">
        <v>7.1973686583916521E-2</v>
      </c>
      <c r="G8583" s="69">
        <v>6.3173652694610782E-2</v>
      </c>
    </row>
    <row r="8584" spans="1:7" x14ac:dyDescent="0.3">
      <c r="A8584" s="24">
        <v>43462</v>
      </c>
      <c r="B8584" s="66">
        <v>1549.79873</v>
      </c>
      <c r="C8584" s="66">
        <v>1947.5</v>
      </c>
      <c r="D8584" s="70">
        <v>0</v>
      </c>
      <c r="E8584" s="111">
        <f t="shared" si="137"/>
        <v>138710</v>
      </c>
      <c r="F8584" s="69">
        <v>7.1973686583916521E-2</v>
      </c>
      <c r="G8584" s="69">
        <v>6.3169870067660616E-2</v>
      </c>
    </row>
    <row r="8585" spans="1:7" x14ac:dyDescent="0.3">
      <c r="A8585" s="24">
        <v>43463</v>
      </c>
      <c r="B8585" s="66">
        <v>1549.79873</v>
      </c>
      <c r="C8585" s="66">
        <v>1947.5</v>
      </c>
      <c r="D8585" s="70">
        <v>0</v>
      </c>
      <c r="E8585" s="111">
        <f t="shared" ref="E8585:E8648" si="138">+E8584</f>
        <v>138710</v>
      </c>
      <c r="F8585" s="69">
        <v>7.1973686583916521E-2</v>
      </c>
      <c r="G8585" s="69">
        <v>6.3169870067660616E-2</v>
      </c>
    </row>
    <row r="8586" spans="1:7" x14ac:dyDescent="0.3">
      <c r="A8586" s="24">
        <v>43464</v>
      </c>
      <c r="B8586" s="66">
        <v>1549.79873</v>
      </c>
      <c r="C8586" s="66">
        <v>1947.5</v>
      </c>
      <c r="D8586" s="70">
        <v>0</v>
      </c>
      <c r="E8586" s="111">
        <f t="shared" si="138"/>
        <v>138710</v>
      </c>
      <c r="F8586" s="69">
        <v>7.1973686583916521E-2</v>
      </c>
      <c r="G8586" s="69">
        <v>6.3169870067660616E-2</v>
      </c>
    </row>
    <row r="8587" spans="1:7" x14ac:dyDescent="0.3">
      <c r="A8587" s="24">
        <v>43465</v>
      </c>
      <c r="B8587" s="66">
        <v>1549.79873</v>
      </c>
      <c r="C8587" s="66">
        <v>1947.5</v>
      </c>
      <c r="D8587" s="70">
        <v>0</v>
      </c>
      <c r="E8587" s="111">
        <f t="shared" si="138"/>
        <v>138710</v>
      </c>
      <c r="F8587" s="69">
        <v>7.1973686583916521E-2</v>
      </c>
      <c r="G8587" s="69">
        <v>6.3169870067660616E-2</v>
      </c>
    </row>
    <row r="8588" spans="1:7" x14ac:dyDescent="0.3">
      <c r="A8588" s="24">
        <v>43466</v>
      </c>
      <c r="B8588" s="66">
        <v>1549.79873</v>
      </c>
      <c r="C8588" s="66">
        <v>1947.5</v>
      </c>
      <c r="D8588" s="70">
        <v>0</v>
      </c>
      <c r="E8588" s="111">
        <f t="shared" si="138"/>
        <v>138710</v>
      </c>
      <c r="F8588" s="69">
        <v>7.1973686583916521E-2</v>
      </c>
      <c r="G8588" s="69">
        <v>6.1517828508119772E-2</v>
      </c>
    </row>
    <row r="8589" spans="1:7" x14ac:dyDescent="0.3">
      <c r="A8589" s="24">
        <v>43467</v>
      </c>
      <c r="B8589" s="66">
        <v>1549.79873</v>
      </c>
      <c r="C8589" s="66">
        <v>1975.5</v>
      </c>
      <c r="D8589" s="70">
        <v>0</v>
      </c>
      <c r="E8589" s="111">
        <f t="shared" si="138"/>
        <v>138710</v>
      </c>
      <c r="F8589" s="69">
        <v>7.1973686583916521E-2</v>
      </c>
      <c r="G8589" s="69">
        <v>5.9436619718309859E-2</v>
      </c>
    </row>
    <row r="8590" spans="1:7" x14ac:dyDescent="0.3">
      <c r="A8590" s="24">
        <v>43468</v>
      </c>
      <c r="B8590" s="66">
        <v>1549.79873</v>
      </c>
      <c r="C8590" s="66">
        <v>1980</v>
      </c>
      <c r="D8590" s="70">
        <v>0</v>
      </c>
      <c r="E8590" s="111">
        <f t="shared" si="138"/>
        <v>138710</v>
      </c>
      <c r="F8590" s="69">
        <v>7.1973686583916521E-2</v>
      </c>
      <c r="G8590" s="69">
        <v>5.9433271364993524E-2</v>
      </c>
    </row>
    <row r="8591" spans="1:7" x14ac:dyDescent="0.3">
      <c r="A8591" s="24">
        <v>43469</v>
      </c>
      <c r="B8591" s="66">
        <v>1549.79873</v>
      </c>
      <c r="C8591" s="66">
        <v>1995</v>
      </c>
      <c r="D8591" s="70">
        <v>0</v>
      </c>
      <c r="E8591" s="111">
        <f t="shared" si="138"/>
        <v>138710</v>
      </c>
      <c r="F8591" s="69">
        <v>7.1973686583916521E-2</v>
      </c>
      <c r="G8591" s="69">
        <v>5.9353023909985939E-2</v>
      </c>
    </row>
    <row r="8592" spans="1:7" x14ac:dyDescent="0.3">
      <c r="A8592" s="24">
        <v>43470</v>
      </c>
      <c r="B8592" s="66">
        <v>1549.79873</v>
      </c>
      <c r="C8592" s="66">
        <v>1995</v>
      </c>
      <c r="D8592" s="70">
        <v>0</v>
      </c>
      <c r="E8592" s="111">
        <f t="shared" si="138"/>
        <v>138710</v>
      </c>
      <c r="F8592" s="69">
        <v>7.1973686583916521E-2</v>
      </c>
      <c r="G8592" s="69">
        <v>5.9353023909985939E-2</v>
      </c>
    </row>
    <row r="8593" spans="1:7" x14ac:dyDescent="0.3">
      <c r="A8593" s="24">
        <v>43471</v>
      </c>
      <c r="B8593" s="66">
        <v>1549.79873</v>
      </c>
      <c r="C8593" s="66">
        <v>1995</v>
      </c>
      <c r="D8593" s="70">
        <v>0</v>
      </c>
      <c r="E8593" s="111">
        <f t="shared" si="138"/>
        <v>138710</v>
      </c>
      <c r="F8593" s="69">
        <v>7.1973686583916521E-2</v>
      </c>
      <c r="G8593" s="69">
        <v>5.9353023909985939E-2</v>
      </c>
    </row>
    <row r="8594" spans="1:7" x14ac:dyDescent="0.3">
      <c r="A8594" s="24">
        <v>43472</v>
      </c>
      <c r="B8594" s="66">
        <v>1549.79873</v>
      </c>
      <c r="C8594" s="66">
        <v>1994.5</v>
      </c>
      <c r="D8594" s="70">
        <v>0</v>
      </c>
      <c r="E8594" s="111">
        <f t="shared" si="138"/>
        <v>138710</v>
      </c>
      <c r="F8594" s="69">
        <v>7.1973686583916521E-2</v>
      </c>
      <c r="G8594" s="69">
        <v>6.2797619047619047E-2</v>
      </c>
    </row>
    <row r="8595" spans="1:7" x14ac:dyDescent="0.3">
      <c r="A8595" s="24">
        <v>43473</v>
      </c>
      <c r="B8595" s="66">
        <v>1549.79873</v>
      </c>
      <c r="C8595" s="66">
        <v>1993.9</v>
      </c>
      <c r="D8595" s="70">
        <v>0</v>
      </c>
      <c r="E8595" s="111">
        <f t="shared" si="138"/>
        <v>138710</v>
      </c>
      <c r="F8595" s="69">
        <v>7.1973686583916521E-2</v>
      </c>
      <c r="G8595" s="69">
        <v>6.2797619047619047E-2</v>
      </c>
    </row>
    <row r="8596" spans="1:7" x14ac:dyDescent="0.3">
      <c r="A8596" s="24">
        <v>43474</v>
      </c>
      <c r="B8596" s="66">
        <v>1549.79873</v>
      </c>
      <c r="C8596" s="66">
        <v>1993.6</v>
      </c>
      <c r="D8596" s="70">
        <v>0</v>
      </c>
      <c r="E8596" s="111">
        <f t="shared" si="138"/>
        <v>138710</v>
      </c>
      <c r="F8596" s="69">
        <v>7.1973686583916521E-2</v>
      </c>
      <c r="G8596" s="69">
        <v>6.3535079795242394E-2</v>
      </c>
    </row>
    <row r="8597" spans="1:7" x14ac:dyDescent="0.3">
      <c r="A8597" s="24">
        <v>43475</v>
      </c>
      <c r="B8597" s="66">
        <v>1549.79873</v>
      </c>
      <c r="C8597" s="66">
        <v>1995</v>
      </c>
      <c r="D8597" s="70">
        <v>0</v>
      </c>
      <c r="E8597" s="111">
        <f t="shared" si="138"/>
        <v>138710</v>
      </c>
      <c r="F8597" s="69">
        <v>7.1973686583916521E-2</v>
      </c>
      <c r="G8597" s="69">
        <v>6.4055859137826354E-2</v>
      </c>
    </row>
    <row r="8598" spans="1:7" x14ac:dyDescent="0.3">
      <c r="A8598" s="24">
        <v>43476</v>
      </c>
      <c r="B8598" s="66">
        <v>1549.79873</v>
      </c>
      <c r="C8598" s="66">
        <v>1995</v>
      </c>
      <c r="D8598" s="70">
        <v>0</v>
      </c>
      <c r="E8598" s="111">
        <f t="shared" si="138"/>
        <v>138710</v>
      </c>
      <c r="F8598" s="69">
        <v>7.1973686583916521E-2</v>
      </c>
      <c r="G8598" s="69">
        <v>6.3939393939393935E-2</v>
      </c>
    </row>
    <row r="8599" spans="1:7" x14ac:dyDescent="0.3">
      <c r="A8599" s="24">
        <v>43477</v>
      </c>
      <c r="B8599" s="66">
        <v>1549.79873</v>
      </c>
      <c r="C8599" s="66">
        <v>1995</v>
      </c>
      <c r="D8599" s="70">
        <v>0</v>
      </c>
      <c r="E8599" s="111">
        <f t="shared" si="138"/>
        <v>138710</v>
      </c>
      <c r="F8599" s="69">
        <v>7.1973686583916521E-2</v>
      </c>
      <c r="G8599" s="69">
        <v>6.3939393939393935E-2</v>
      </c>
    </row>
    <row r="8600" spans="1:7" x14ac:dyDescent="0.3">
      <c r="A8600" s="24">
        <v>43478</v>
      </c>
      <c r="B8600" s="66">
        <v>1549.79873</v>
      </c>
      <c r="C8600" s="66">
        <v>1995</v>
      </c>
      <c r="D8600" s="70">
        <v>0</v>
      </c>
      <c r="E8600" s="111">
        <f t="shared" si="138"/>
        <v>138710</v>
      </c>
      <c r="F8600" s="69">
        <v>7.1973686583916521E-2</v>
      </c>
      <c r="G8600" s="69">
        <v>6.3939393939393935E-2</v>
      </c>
    </row>
    <row r="8601" spans="1:7" x14ac:dyDescent="0.3">
      <c r="A8601" s="24">
        <v>43479</v>
      </c>
      <c r="B8601" s="66">
        <v>1549.79873</v>
      </c>
      <c r="C8601" s="66">
        <v>1994.8</v>
      </c>
      <c r="D8601" s="70">
        <v>0</v>
      </c>
      <c r="E8601" s="111">
        <f t="shared" si="138"/>
        <v>138710</v>
      </c>
      <c r="F8601" s="69">
        <v>7.1973686583916521E-2</v>
      </c>
      <c r="G8601" s="69">
        <v>6.3939393939393935E-2</v>
      </c>
    </row>
    <row r="8602" spans="1:7" x14ac:dyDescent="0.3">
      <c r="A8602" s="24">
        <v>43480</v>
      </c>
      <c r="B8602" s="66">
        <v>1549.79873</v>
      </c>
      <c r="C8602" s="66">
        <v>1993.7</v>
      </c>
      <c r="D8602" s="70">
        <v>0</v>
      </c>
      <c r="E8602" s="111">
        <f t="shared" si="138"/>
        <v>138710</v>
      </c>
      <c r="F8602" s="69">
        <v>7.1973686583916521E-2</v>
      </c>
      <c r="G8602" s="69">
        <v>6.3939393939393935E-2</v>
      </c>
    </row>
    <row r="8603" spans="1:7" x14ac:dyDescent="0.3">
      <c r="A8603" s="24">
        <v>43481</v>
      </c>
      <c r="B8603" s="66">
        <v>1549.79873</v>
      </c>
      <c r="C8603" s="66">
        <v>1983.6</v>
      </c>
      <c r="D8603" s="70">
        <v>0</v>
      </c>
      <c r="E8603" s="111">
        <f t="shared" si="138"/>
        <v>138710</v>
      </c>
      <c r="F8603" s="69">
        <v>7.1973686583916521E-2</v>
      </c>
      <c r="G8603" s="69">
        <v>6.3939393939393935E-2</v>
      </c>
    </row>
    <row r="8604" spans="1:7" x14ac:dyDescent="0.3">
      <c r="A8604" s="24">
        <v>43482</v>
      </c>
      <c r="B8604" s="66">
        <v>1549.79873</v>
      </c>
      <c r="C8604" s="66">
        <v>1980</v>
      </c>
      <c r="D8604" s="70">
        <v>0</v>
      </c>
      <c r="E8604" s="111">
        <f t="shared" si="138"/>
        <v>138710</v>
      </c>
      <c r="F8604" s="69">
        <v>7.1973686583916521E-2</v>
      </c>
      <c r="G8604" s="69">
        <v>6.2797619047619047E-2</v>
      </c>
    </row>
    <row r="8605" spans="1:7" x14ac:dyDescent="0.3">
      <c r="A8605" s="24">
        <v>43483</v>
      </c>
      <c r="B8605" s="66">
        <v>1549.79873</v>
      </c>
      <c r="C8605" s="66">
        <v>1974.7</v>
      </c>
      <c r="D8605" s="70">
        <v>0</v>
      </c>
      <c r="E8605" s="111">
        <f t="shared" si="138"/>
        <v>138710</v>
      </c>
      <c r="F8605" s="69">
        <v>7.1973686583916521E-2</v>
      </c>
      <c r="G8605" s="69">
        <v>6.2797619047619047E-2</v>
      </c>
    </row>
    <row r="8606" spans="1:7" x14ac:dyDescent="0.3">
      <c r="A8606" s="24">
        <v>43484</v>
      </c>
      <c r="B8606" s="66">
        <v>1549.79873</v>
      </c>
      <c r="C8606" s="66">
        <v>1974.7</v>
      </c>
      <c r="D8606" s="70">
        <v>0</v>
      </c>
      <c r="E8606" s="111">
        <f t="shared" si="138"/>
        <v>138710</v>
      </c>
      <c r="F8606" s="69">
        <v>7.1973686583916521E-2</v>
      </c>
      <c r="G8606" s="69">
        <v>6.2797619047619047E-2</v>
      </c>
    </row>
    <row r="8607" spans="1:7" x14ac:dyDescent="0.3">
      <c r="A8607" s="24">
        <v>43485</v>
      </c>
      <c r="B8607" s="66">
        <v>1549.79873</v>
      </c>
      <c r="C8607" s="66">
        <v>1974.7</v>
      </c>
      <c r="D8607" s="70">
        <v>0</v>
      </c>
      <c r="E8607" s="111">
        <f t="shared" si="138"/>
        <v>138710</v>
      </c>
      <c r="F8607" s="69">
        <v>7.1973686583916521E-2</v>
      </c>
      <c r="G8607" s="69">
        <v>6.2797619047619047E-2</v>
      </c>
    </row>
    <row r="8608" spans="1:7" x14ac:dyDescent="0.3">
      <c r="A8608" s="24">
        <v>43486</v>
      </c>
      <c r="B8608" s="66">
        <v>1549.79873</v>
      </c>
      <c r="C8608" s="66">
        <v>1973.9</v>
      </c>
      <c r="D8608" s="70">
        <v>0</v>
      </c>
      <c r="E8608" s="111">
        <f t="shared" si="138"/>
        <v>138710</v>
      </c>
      <c r="F8608" s="69">
        <v>7.1973686583916521E-2</v>
      </c>
      <c r="G8608" s="69">
        <v>6.2426035502958582E-2</v>
      </c>
    </row>
    <row r="8609" spans="1:7" x14ac:dyDescent="0.3">
      <c r="A8609" s="24">
        <v>43487</v>
      </c>
      <c r="B8609" s="66">
        <v>1549.79873</v>
      </c>
      <c r="C8609" s="66">
        <v>1974.7</v>
      </c>
      <c r="D8609" s="70">
        <v>0</v>
      </c>
      <c r="E8609" s="111">
        <f t="shared" si="138"/>
        <v>138710</v>
      </c>
      <c r="F8609" s="69">
        <v>7.1973686583916521E-2</v>
      </c>
      <c r="G8609" s="69">
        <v>6.2426035502958582E-2</v>
      </c>
    </row>
    <row r="8610" spans="1:7" x14ac:dyDescent="0.3">
      <c r="A8610" s="24">
        <v>43488</v>
      </c>
      <c r="B8610" s="66">
        <v>1549.79873</v>
      </c>
      <c r="C8610" s="66">
        <v>1974.1</v>
      </c>
      <c r="D8610" s="70">
        <v>0</v>
      </c>
      <c r="E8610" s="111">
        <f t="shared" si="138"/>
        <v>138710</v>
      </c>
      <c r="F8610" s="69">
        <v>7.1973686583916521E-2</v>
      </c>
      <c r="G8610" s="69">
        <v>6.2426035502958582E-2</v>
      </c>
    </row>
    <row r="8611" spans="1:7" x14ac:dyDescent="0.3">
      <c r="A8611" s="24">
        <v>43489</v>
      </c>
      <c r="B8611" s="66">
        <v>1549.79873</v>
      </c>
      <c r="C8611" s="66">
        <v>1974</v>
      </c>
      <c r="D8611" s="70">
        <v>0</v>
      </c>
      <c r="E8611" s="111">
        <f t="shared" si="138"/>
        <v>138710</v>
      </c>
      <c r="F8611" s="69">
        <v>7.1973686583916521E-2</v>
      </c>
      <c r="G8611" s="69">
        <v>6.0877091748413159E-2</v>
      </c>
    </row>
    <row r="8612" spans="1:7" x14ac:dyDescent="0.3">
      <c r="A8612" s="24">
        <v>43490</v>
      </c>
      <c r="B8612" s="66">
        <v>1549.79873</v>
      </c>
      <c r="C8612" s="66">
        <v>1974</v>
      </c>
      <c r="D8612" s="70">
        <v>0</v>
      </c>
      <c r="E8612" s="111">
        <f t="shared" si="138"/>
        <v>138710</v>
      </c>
      <c r="F8612" s="69">
        <v>7.1973686583916521E-2</v>
      </c>
      <c r="G8612" s="69">
        <v>5.9269662921348318E-2</v>
      </c>
    </row>
    <row r="8613" spans="1:7" x14ac:dyDescent="0.3">
      <c r="A8613" s="24">
        <v>43491</v>
      </c>
      <c r="B8613" s="66">
        <v>1549.79873</v>
      </c>
      <c r="C8613" s="66">
        <v>1974</v>
      </c>
      <c r="D8613" s="70">
        <v>0</v>
      </c>
      <c r="E8613" s="111">
        <f t="shared" si="138"/>
        <v>138710</v>
      </c>
      <c r="F8613" s="69">
        <v>7.1973686583916521E-2</v>
      </c>
      <c r="G8613" s="69">
        <v>5.9269662921348318E-2</v>
      </c>
    </row>
    <row r="8614" spans="1:7" x14ac:dyDescent="0.3">
      <c r="A8614" s="24">
        <v>43492</v>
      </c>
      <c r="B8614" s="66">
        <v>1549.79873</v>
      </c>
      <c r="C8614" s="66">
        <v>1974</v>
      </c>
      <c r="D8614" s="70">
        <v>0</v>
      </c>
      <c r="E8614" s="111">
        <f t="shared" si="138"/>
        <v>138710</v>
      </c>
      <c r="F8614" s="69">
        <v>7.1973686583916521E-2</v>
      </c>
      <c r="G8614" s="69">
        <v>5.9269662921348318E-2</v>
      </c>
    </row>
    <row r="8615" spans="1:7" x14ac:dyDescent="0.3">
      <c r="A8615" s="24">
        <v>43493</v>
      </c>
      <c r="B8615" s="66">
        <v>1549.79873</v>
      </c>
      <c r="C8615" s="66">
        <v>2000</v>
      </c>
      <c r="D8615" s="70">
        <v>0</v>
      </c>
      <c r="E8615" s="111">
        <f t="shared" si="138"/>
        <v>138710</v>
      </c>
      <c r="F8615" s="69">
        <v>7.1973686583916521E-2</v>
      </c>
      <c r="G8615" s="69">
        <v>5.9269662921348318E-2</v>
      </c>
    </row>
    <row r="8616" spans="1:7" x14ac:dyDescent="0.3">
      <c r="A8616" s="24">
        <v>43494</v>
      </c>
      <c r="B8616" s="66">
        <v>1549.79873</v>
      </c>
      <c r="C8616" s="66">
        <v>1995</v>
      </c>
      <c r="D8616" s="70">
        <v>0</v>
      </c>
      <c r="E8616" s="111">
        <f t="shared" si="138"/>
        <v>138710</v>
      </c>
      <c r="F8616" s="69">
        <v>7.1973686583916521E-2</v>
      </c>
      <c r="G8616" s="69">
        <v>5.9269662921348318E-2</v>
      </c>
    </row>
    <row r="8617" spans="1:7" x14ac:dyDescent="0.3">
      <c r="A8617" s="24">
        <v>43495</v>
      </c>
      <c r="B8617" s="66">
        <v>1549.79873</v>
      </c>
      <c r="C8617" s="66">
        <v>2000</v>
      </c>
      <c r="D8617" s="70">
        <v>0</v>
      </c>
      <c r="E8617" s="111">
        <f t="shared" si="138"/>
        <v>138710</v>
      </c>
      <c r="F8617" s="69">
        <v>7.1973686583916521E-2</v>
      </c>
      <c r="G8617" s="69">
        <v>5.9269662921348318E-2</v>
      </c>
    </row>
    <row r="8618" spans="1:7" x14ac:dyDescent="0.3">
      <c r="A8618" s="24">
        <v>43496</v>
      </c>
      <c r="B8618" s="66">
        <v>1549.79873</v>
      </c>
      <c r="C8618" s="66">
        <v>2000</v>
      </c>
      <c r="D8618" s="70">
        <v>0</v>
      </c>
      <c r="E8618" s="111">
        <f t="shared" si="138"/>
        <v>138710</v>
      </c>
      <c r="F8618" s="69">
        <v>7.1973686583916521E-2</v>
      </c>
      <c r="G8618" s="69">
        <v>6.0117385606017433E-2</v>
      </c>
    </row>
    <row r="8619" spans="1:7" x14ac:dyDescent="0.3">
      <c r="A8619" s="24">
        <v>43497</v>
      </c>
      <c r="B8619" s="66">
        <v>1549.79873</v>
      </c>
      <c r="C8619" s="66">
        <v>2000</v>
      </c>
      <c r="D8619" s="70">
        <v>0</v>
      </c>
      <c r="E8619" s="111">
        <f t="shared" si="138"/>
        <v>138710</v>
      </c>
      <c r="F8619" s="69">
        <v>7.1973686583916521E-2</v>
      </c>
      <c r="G8619" s="69">
        <v>6.0285714285714283E-2</v>
      </c>
    </row>
    <row r="8620" spans="1:7" x14ac:dyDescent="0.3">
      <c r="A8620" s="24">
        <v>43498</v>
      </c>
      <c r="B8620" s="66">
        <v>1549.79873</v>
      </c>
      <c r="C8620" s="66">
        <v>2000</v>
      </c>
      <c r="D8620" s="70">
        <v>0</v>
      </c>
      <c r="E8620" s="111">
        <f t="shared" si="138"/>
        <v>138710</v>
      </c>
      <c r="F8620" s="69">
        <v>7.1973686583916521E-2</v>
      </c>
      <c r="G8620" s="69">
        <v>6.0285714285714283E-2</v>
      </c>
    </row>
    <row r="8621" spans="1:7" x14ac:dyDescent="0.3">
      <c r="A8621" s="24">
        <v>43499</v>
      </c>
      <c r="B8621" s="66">
        <v>1549.79873</v>
      </c>
      <c r="C8621" s="66">
        <v>2000</v>
      </c>
      <c r="D8621" s="70">
        <v>0</v>
      </c>
      <c r="E8621" s="111">
        <f t="shared" si="138"/>
        <v>138710</v>
      </c>
      <c r="F8621" s="69">
        <v>7.1973686583916521E-2</v>
      </c>
      <c r="G8621" s="69">
        <v>6.0285714285714283E-2</v>
      </c>
    </row>
    <row r="8622" spans="1:7" x14ac:dyDescent="0.3">
      <c r="A8622" s="24">
        <v>43500</v>
      </c>
      <c r="B8622" s="66">
        <v>1549.79873</v>
      </c>
      <c r="C8622" s="66">
        <v>2000</v>
      </c>
      <c r="D8622" s="70">
        <v>0</v>
      </c>
      <c r="E8622" s="111">
        <f t="shared" si="138"/>
        <v>138710</v>
      </c>
      <c r="F8622" s="69">
        <v>7.1973686583916521E-2</v>
      </c>
      <c r="G8622" s="69">
        <v>5.9943181818181819E-2</v>
      </c>
    </row>
    <row r="8623" spans="1:7" x14ac:dyDescent="0.3">
      <c r="A8623" s="24">
        <v>43501</v>
      </c>
      <c r="B8623" s="66">
        <v>1549.79873</v>
      </c>
      <c r="C8623" s="66">
        <v>2000</v>
      </c>
      <c r="D8623" s="70">
        <v>0</v>
      </c>
      <c r="E8623" s="111">
        <f t="shared" si="138"/>
        <v>138710</v>
      </c>
      <c r="F8623" s="69">
        <v>7.1973686583916521E-2</v>
      </c>
      <c r="G8623" s="69">
        <v>6.0285714285714283E-2</v>
      </c>
    </row>
    <row r="8624" spans="1:7" x14ac:dyDescent="0.3">
      <c r="A8624" s="24">
        <v>43502</v>
      </c>
      <c r="B8624" s="66">
        <v>1549.79873</v>
      </c>
      <c r="C8624" s="66">
        <v>2000</v>
      </c>
      <c r="D8624" s="70">
        <v>0</v>
      </c>
      <c r="E8624" s="111">
        <f t="shared" si="138"/>
        <v>138710</v>
      </c>
      <c r="F8624" s="69">
        <v>7.1973686583916521E-2</v>
      </c>
      <c r="G8624" s="69">
        <v>5.9604519774011301E-2</v>
      </c>
    </row>
    <row r="8625" spans="1:7" x14ac:dyDescent="0.3">
      <c r="A8625" s="24">
        <v>43503</v>
      </c>
      <c r="B8625" s="66">
        <v>1549.79873</v>
      </c>
      <c r="C8625" s="66">
        <v>2000</v>
      </c>
      <c r="D8625" s="70">
        <v>0</v>
      </c>
      <c r="E8625" s="111">
        <f t="shared" si="138"/>
        <v>138710</v>
      </c>
      <c r="F8625" s="69">
        <v>7.1973686583916521E-2</v>
      </c>
      <c r="G8625" s="69">
        <v>6.0285714285714283E-2</v>
      </c>
    </row>
    <row r="8626" spans="1:7" x14ac:dyDescent="0.3">
      <c r="A8626" s="24">
        <v>43504</v>
      </c>
      <c r="B8626" s="66">
        <v>1549.79873</v>
      </c>
      <c r="C8626" s="66">
        <v>2005</v>
      </c>
      <c r="D8626" s="70">
        <v>0</v>
      </c>
      <c r="E8626" s="111">
        <f t="shared" si="138"/>
        <v>138710</v>
      </c>
      <c r="F8626" s="69">
        <v>7.1973686583916521E-2</v>
      </c>
      <c r="G8626" s="69">
        <v>6.0285714285714283E-2</v>
      </c>
    </row>
    <row r="8627" spans="1:7" x14ac:dyDescent="0.3">
      <c r="A8627" s="24">
        <v>43505</v>
      </c>
      <c r="B8627" s="66">
        <v>1549.79873</v>
      </c>
      <c r="C8627" s="66">
        <v>2005</v>
      </c>
      <c r="D8627" s="70">
        <v>0</v>
      </c>
      <c r="E8627" s="111">
        <f t="shared" si="138"/>
        <v>138710</v>
      </c>
      <c r="F8627" s="69">
        <v>7.1973686583916521E-2</v>
      </c>
      <c r="G8627" s="69">
        <v>6.0285714285714283E-2</v>
      </c>
    </row>
    <row r="8628" spans="1:7" x14ac:dyDescent="0.3">
      <c r="A8628" s="24">
        <v>43506</v>
      </c>
      <c r="B8628" s="66">
        <v>1549.79873</v>
      </c>
      <c r="C8628" s="66">
        <v>2005</v>
      </c>
      <c r="D8628" s="70">
        <v>0</v>
      </c>
      <c r="E8628" s="111">
        <f t="shared" si="138"/>
        <v>138710</v>
      </c>
      <c r="F8628" s="69">
        <v>7.1973686583916521E-2</v>
      </c>
      <c r="G8628" s="69">
        <v>6.0285714285714283E-2</v>
      </c>
    </row>
    <row r="8629" spans="1:7" x14ac:dyDescent="0.3">
      <c r="A8629" s="24">
        <v>43507</v>
      </c>
      <c r="B8629" s="66">
        <v>1549.79873</v>
      </c>
      <c r="C8629" s="66">
        <v>2000</v>
      </c>
      <c r="D8629" s="70">
        <v>0</v>
      </c>
      <c r="E8629" s="111">
        <f t="shared" si="138"/>
        <v>138710</v>
      </c>
      <c r="F8629" s="69">
        <v>7.1973686583916521E-2</v>
      </c>
      <c r="G8629" s="69">
        <v>5.9943181818181819E-2</v>
      </c>
    </row>
    <row r="8630" spans="1:7" x14ac:dyDescent="0.3">
      <c r="A8630" s="24">
        <v>43508</v>
      </c>
      <c r="B8630" s="66">
        <v>1549.79873</v>
      </c>
      <c r="C8630" s="66">
        <v>2010.4</v>
      </c>
      <c r="D8630" s="70">
        <v>0</v>
      </c>
      <c r="E8630" s="111">
        <f t="shared" si="138"/>
        <v>138710</v>
      </c>
      <c r="F8630" s="69">
        <v>7.1973686583916521E-2</v>
      </c>
      <c r="G8630" s="69">
        <v>5.9943181818181819E-2</v>
      </c>
    </row>
    <row r="8631" spans="1:7" x14ac:dyDescent="0.3">
      <c r="A8631" s="24">
        <v>43509</v>
      </c>
      <c r="B8631" s="66">
        <v>1549.79873</v>
      </c>
      <c r="C8631" s="66">
        <v>2043.2</v>
      </c>
      <c r="D8631" s="70">
        <v>0</v>
      </c>
      <c r="E8631" s="111">
        <f t="shared" si="138"/>
        <v>138710</v>
      </c>
      <c r="F8631" s="69">
        <v>7.1973686583916521E-2</v>
      </c>
      <c r="G8631" s="69">
        <v>5.9943181818181819E-2</v>
      </c>
    </row>
    <row r="8632" spans="1:7" x14ac:dyDescent="0.3">
      <c r="A8632" s="24">
        <v>43510</v>
      </c>
      <c r="B8632" s="66">
        <v>1549.79873</v>
      </c>
      <c r="C8632" s="66">
        <v>2051</v>
      </c>
      <c r="D8632" s="70">
        <v>0</v>
      </c>
      <c r="E8632" s="111">
        <f t="shared" si="138"/>
        <v>138710</v>
      </c>
      <c r="F8632" s="69">
        <v>7.1973686583916521E-2</v>
      </c>
      <c r="G8632" s="69">
        <v>6.0285714285714283E-2</v>
      </c>
    </row>
    <row r="8633" spans="1:7" x14ac:dyDescent="0.3">
      <c r="A8633" s="24">
        <v>43511</v>
      </c>
      <c r="B8633" s="66">
        <v>1549.79873</v>
      </c>
      <c r="C8633" s="66">
        <v>2090</v>
      </c>
      <c r="D8633" s="70">
        <v>0</v>
      </c>
      <c r="E8633" s="111">
        <f t="shared" si="138"/>
        <v>138710</v>
      </c>
      <c r="F8633" s="69">
        <v>7.1973686583916521E-2</v>
      </c>
      <c r="G8633" s="69">
        <v>6.0285714285714283E-2</v>
      </c>
    </row>
    <row r="8634" spans="1:7" x14ac:dyDescent="0.3">
      <c r="A8634" s="24">
        <v>43512</v>
      </c>
      <c r="B8634" s="66">
        <v>1549.79873</v>
      </c>
      <c r="C8634" s="66">
        <v>2090</v>
      </c>
      <c r="D8634" s="70">
        <v>0</v>
      </c>
      <c r="E8634" s="111">
        <f t="shared" si="138"/>
        <v>138710</v>
      </c>
      <c r="F8634" s="69">
        <v>7.1973686583916521E-2</v>
      </c>
      <c r="G8634" s="69">
        <v>6.0285714285714283E-2</v>
      </c>
    </row>
    <row r="8635" spans="1:7" x14ac:dyDescent="0.3">
      <c r="A8635" s="24">
        <v>43513</v>
      </c>
      <c r="B8635" s="66">
        <v>1549.79873</v>
      </c>
      <c r="C8635" s="66">
        <v>2090</v>
      </c>
      <c r="D8635" s="70">
        <v>0</v>
      </c>
      <c r="E8635" s="111">
        <f t="shared" si="138"/>
        <v>138710</v>
      </c>
      <c r="F8635" s="69">
        <v>7.1973686583916521E-2</v>
      </c>
      <c r="G8635" s="69">
        <v>6.0285714285714283E-2</v>
      </c>
    </row>
    <row r="8636" spans="1:7" x14ac:dyDescent="0.3">
      <c r="A8636" s="24">
        <v>43514</v>
      </c>
      <c r="B8636" s="66">
        <v>1549.79873</v>
      </c>
      <c r="C8636" s="66">
        <v>2130</v>
      </c>
      <c r="D8636" s="70">
        <v>0</v>
      </c>
      <c r="E8636" s="111">
        <f t="shared" si="138"/>
        <v>138710</v>
      </c>
      <c r="F8636" s="69">
        <v>7.1973686583916521E-2</v>
      </c>
      <c r="G8636" s="69">
        <v>5.9943181818181819E-2</v>
      </c>
    </row>
    <row r="8637" spans="1:7" x14ac:dyDescent="0.3">
      <c r="A8637" s="24">
        <v>43515</v>
      </c>
      <c r="B8637" s="66">
        <v>1549.79873</v>
      </c>
      <c r="C8637" s="66">
        <v>2161.6</v>
      </c>
      <c r="D8637" s="70">
        <v>0</v>
      </c>
      <c r="E8637" s="111">
        <f t="shared" si="138"/>
        <v>138710</v>
      </c>
      <c r="F8637" s="69">
        <v>7.1973686583916521E-2</v>
      </c>
      <c r="G8637" s="69">
        <v>5.9943181818181819E-2</v>
      </c>
    </row>
    <row r="8638" spans="1:7" x14ac:dyDescent="0.3">
      <c r="A8638" s="24">
        <v>43516</v>
      </c>
      <c r="B8638" s="66">
        <v>1549.79873</v>
      </c>
      <c r="C8638" s="66">
        <v>2160</v>
      </c>
      <c r="D8638" s="70">
        <v>0</v>
      </c>
      <c r="E8638" s="111">
        <f t="shared" si="138"/>
        <v>138710</v>
      </c>
      <c r="F8638" s="69">
        <v>7.1973686583916521E-2</v>
      </c>
      <c r="G8638" s="69">
        <v>5.989213738291229E-2</v>
      </c>
    </row>
    <row r="8639" spans="1:7" x14ac:dyDescent="0.3">
      <c r="A8639" s="24">
        <v>43517</v>
      </c>
      <c r="B8639" s="66">
        <v>1549.79873</v>
      </c>
      <c r="C8639" s="66">
        <v>2160</v>
      </c>
      <c r="D8639" s="70">
        <v>0</v>
      </c>
      <c r="E8639" s="111">
        <f t="shared" si="138"/>
        <v>138710</v>
      </c>
      <c r="F8639" s="69">
        <v>7.1973686583916521E-2</v>
      </c>
      <c r="G8639" s="69">
        <v>5.989213738291229E-2</v>
      </c>
    </row>
    <row r="8640" spans="1:7" x14ac:dyDescent="0.3">
      <c r="A8640" s="24">
        <v>43518</v>
      </c>
      <c r="B8640" s="66">
        <v>1549.79873</v>
      </c>
      <c r="C8640" s="66">
        <v>2160</v>
      </c>
      <c r="D8640" s="70">
        <v>0</v>
      </c>
      <c r="E8640" s="111">
        <f t="shared" si="138"/>
        <v>138710</v>
      </c>
      <c r="F8640" s="69">
        <v>7.1973686583916521E-2</v>
      </c>
      <c r="G8640" s="69">
        <v>5.9436619718309859E-2</v>
      </c>
    </row>
    <row r="8641" spans="1:7" x14ac:dyDescent="0.3">
      <c r="A8641" s="24">
        <v>43519</v>
      </c>
      <c r="B8641" s="66">
        <v>1549.79873</v>
      </c>
      <c r="C8641" s="66">
        <v>2160</v>
      </c>
      <c r="D8641" s="70">
        <v>0</v>
      </c>
      <c r="E8641" s="111">
        <f t="shared" si="138"/>
        <v>138710</v>
      </c>
      <c r="F8641" s="69">
        <v>7.1973686583916521E-2</v>
      </c>
      <c r="G8641" s="69">
        <v>5.9436619718309859E-2</v>
      </c>
    </row>
    <row r="8642" spans="1:7" x14ac:dyDescent="0.3">
      <c r="A8642" s="24">
        <v>43520</v>
      </c>
      <c r="B8642" s="66">
        <v>1549.79873</v>
      </c>
      <c r="C8642" s="66">
        <v>2160</v>
      </c>
      <c r="D8642" s="70">
        <v>0</v>
      </c>
      <c r="E8642" s="111">
        <f t="shared" si="138"/>
        <v>138710</v>
      </c>
      <c r="F8642" s="69">
        <v>7.1973686583916521E-2</v>
      </c>
      <c r="G8642" s="69">
        <v>5.9436619718309859E-2</v>
      </c>
    </row>
    <row r="8643" spans="1:7" x14ac:dyDescent="0.3">
      <c r="A8643" s="24">
        <v>43521</v>
      </c>
      <c r="B8643" s="66">
        <v>1549.79873</v>
      </c>
      <c r="C8643" s="66">
        <v>2150</v>
      </c>
      <c r="D8643" s="70">
        <v>0</v>
      </c>
      <c r="E8643" s="111">
        <f t="shared" si="138"/>
        <v>138710</v>
      </c>
      <c r="F8643" s="69">
        <v>7.1973686583916521E-2</v>
      </c>
      <c r="G8643" s="69">
        <v>5.9436619718309859E-2</v>
      </c>
    </row>
    <row r="8644" spans="1:7" x14ac:dyDescent="0.3">
      <c r="A8644" s="24">
        <v>43522</v>
      </c>
      <c r="B8644" s="66">
        <v>1549.79873</v>
      </c>
      <c r="C8644" s="66">
        <v>2149.8000000000002</v>
      </c>
      <c r="D8644" s="70">
        <v>0</v>
      </c>
      <c r="E8644" s="111">
        <f t="shared" si="138"/>
        <v>138710</v>
      </c>
      <c r="F8644" s="69">
        <v>7.1973686583916521E-2</v>
      </c>
      <c r="G8644" s="69">
        <v>6.0285714285714283E-2</v>
      </c>
    </row>
    <row r="8645" spans="1:7" x14ac:dyDescent="0.3">
      <c r="A8645" s="24">
        <v>43523</v>
      </c>
      <c r="B8645" s="66">
        <v>1570.6993</v>
      </c>
      <c r="C8645" s="66">
        <v>2140</v>
      </c>
      <c r="D8645" s="70">
        <v>0</v>
      </c>
      <c r="E8645" s="111">
        <f t="shared" si="138"/>
        <v>138710</v>
      </c>
      <c r="F8645" s="69">
        <v>7.1875058121714644E-2</v>
      </c>
      <c r="G8645" s="69">
        <v>6.0285714285714283E-2</v>
      </c>
    </row>
    <row r="8646" spans="1:7" x14ac:dyDescent="0.3">
      <c r="A8646" s="24">
        <v>43524</v>
      </c>
      <c r="B8646" s="66">
        <v>1570.6993</v>
      </c>
      <c r="C8646" s="66">
        <v>2142.8000000000002</v>
      </c>
      <c r="D8646" s="70">
        <v>0</v>
      </c>
      <c r="E8646" s="111">
        <f t="shared" si="138"/>
        <v>138710</v>
      </c>
      <c r="F8646" s="69">
        <v>7.1875058121714644E-2</v>
      </c>
      <c r="G8646" s="69">
        <v>6.0285714285714283E-2</v>
      </c>
    </row>
    <row r="8647" spans="1:7" x14ac:dyDescent="0.3">
      <c r="A8647" s="24">
        <v>43525</v>
      </c>
      <c r="B8647" s="66">
        <v>1570.6993</v>
      </c>
      <c r="C8647" s="66">
        <v>2145</v>
      </c>
      <c r="D8647" s="70">
        <v>0</v>
      </c>
      <c r="E8647" s="111">
        <f t="shared" si="138"/>
        <v>138710</v>
      </c>
      <c r="F8647" s="69">
        <v>7.1875058121714644E-2</v>
      </c>
      <c r="G8647" s="69">
        <v>5.9436619718309859E-2</v>
      </c>
    </row>
    <row r="8648" spans="1:7" x14ac:dyDescent="0.3">
      <c r="A8648" s="24">
        <v>43526</v>
      </c>
      <c r="B8648" s="66">
        <v>1570.6993</v>
      </c>
      <c r="C8648" s="66">
        <v>2145</v>
      </c>
      <c r="D8648" s="70">
        <v>0</v>
      </c>
      <c r="E8648" s="111">
        <f t="shared" si="138"/>
        <v>138710</v>
      </c>
      <c r="F8648" s="69">
        <v>7.1875058121714644E-2</v>
      </c>
      <c r="G8648" s="69">
        <v>5.9436619718309859E-2</v>
      </c>
    </row>
    <row r="8649" spans="1:7" x14ac:dyDescent="0.3">
      <c r="A8649" s="24">
        <v>43527</v>
      </c>
      <c r="B8649" s="66">
        <v>1570.6993</v>
      </c>
      <c r="C8649" s="66">
        <v>2145</v>
      </c>
      <c r="D8649" s="70">
        <v>0</v>
      </c>
      <c r="E8649" s="111">
        <f t="shared" ref="E8649:E8712" si="139">+E8648</f>
        <v>138710</v>
      </c>
      <c r="F8649" s="69">
        <v>7.1875058121714644E-2</v>
      </c>
      <c r="G8649" s="69">
        <v>5.9436619718309859E-2</v>
      </c>
    </row>
    <row r="8650" spans="1:7" x14ac:dyDescent="0.3">
      <c r="A8650" s="24">
        <v>43528</v>
      </c>
      <c r="B8650" s="66">
        <v>1570.6993</v>
      </c>
      <c r="C8650" s="66">
        <v>2139.9</v>
      </c>
      <c r="D8650" s="70">
        <v>0</v>
      </c>
      <c r="E8650" s="111">
        <f t="shared" si="139"/>
        <v>138710</v>
      </c>
      <c r="F8650" s="69">
        <v>7.1875058121714644E-2</v>
      </c>
      <c r="G8650" s="69">
        <v>5.9436619718309859E-2</v>
      </c>
    </row>
    <row r="8651" spans="1:7" x14ac:dyDescent="0.3">
      <c r="A8651" s="24">
        <v>43529</v>
      </c>
      <c r="B8651" s="66">
        <v>1570.6993</v>
      </c>
      <c r="C8651" s="66">
        <v>2139.9</v>
      </c>
      <c r="D8651" s="70">
        <v>0</v>
      </c>
      <c r="E8651" s="111">
        <f t="shared" si="139"/>
        <v>138710</v>
      </c>
      <c r="F8651" s="69">
        <v>7.1875058121714644E-2</v>
      </c>
      <c r="G8651" s="69">
        <v>5.9439968448926697E-2</v>
      </c>
    </row>
    <row r="8652" spans="1:7" x14ac:dyDescent="0.3">
      <c r="A8652" s="24">
        <v>43530</v>
      </c>
      <c r="B8652" s="66">
        <v>1570.6993</v>
      </c>
      <c r="C8652" s="66">
        <v>2110.1</v>
      </c>
      <c r="D8652" s="70">
        <v>0</v>
      </c>
      <c r="E8652" s="111">
        <f t="shared" si="139"/>
        <v>138710</v>
      </c>
      <c r="F8652" s="69">
        <v>7.1875058121714644E-2</v>
      </c>
      <c r="G8652" s="69">
        <v>5.9269662921348318E-2</v>
      </c>
    </row>
    <row r="8653" spans="1:7" x14ac:dyDescent="0.3">
      <c r="A8653" s="24">
        <v>43531</v>
      </c>
      <c r="B8653" s="66">
        <v>1570.6993</v>
      </c>
      <c r="C8653" s="66">
        <v>2104.9</v>
      </c>
      <c r="D8653" s="70">
        <v>0</v>
      </c>
      <c r="E8653" s="111">
        <f t="shared" si="139"/>
        <v>138710</v>
      </c>
      <c r="F8653" s="69">
        <v>7.1875058121714644E-2</v>
      </c>
      <c r="G8653" s="69">
        <v>6.0251284980011421E-2</v>
      </c>
    </row>
    <row r="8654" spans="1:7" x14ac:dyDescent="0.3">
      <c r="A8654" s="24">
        <v>43532</v>
      </c>
      <c r="B8654" s="66">
        <v>1570.6993</v>
      </c>
      <c r="C8654" s="66">
        <v>2110</v>
      </c>
      <c r="D8654" s="70">
        <v>0</v>
      </c>
      <c r="E8654" s="111">
        <f t="shared" si="139"/>
        <v>138710</v>
      </c>
      <c r="F8654" s="69">
        <v>7.1875058121714644E-2</v>
      </c>
      <c r="G8654" s="69">
        <v>5.9773371104815863E-2</v>
      </c>
    </row>
    <row r="8655" spans="1:7" x14ac:dyDescent="0.3">
      <c r="A8655" s="24">
        <v>43533</v>
      </c>
      <c r="B8655" s="66">
        <v>1570.6993</v>
      </c>
      <c r="C8655" s="66">
        <v>2110</v>
      </c>
      <c r="D8655" s="70">
        <v>0</v>
      </c>
      <c r="E8655" s="111">
        <f t="shared" si="139"/>
        <v>138710</v>
      </c>
      <c r="F8655" s="69">
        <v>7.1875058121714644E-2</v>
      </c>
      <c r="G8655" s="69">
        <v>5.9773371104815863E-2</v>
      </c>
    </row>
    <row r="8656" spans="1:7" x14ac:dyDescent="0.3">
      <c r="A8656" s="24">
        <v>43534</v>
      </c>
      <c r="B8656" s="66">
        <v>1570.6993</v>
      </c>
      <c r="C8656" s="66">
        <v>2110</v>
      </c>
      <c r="D8656" s="70">
        <v>0</v>
      </c>
      <c r="E8656" s="111">
        <f t="shared" si="139"/>
        <v>138710</v>
      </c>
      <c r="F8656" s="69">
        <v>7.1875058121714644E-2</v>
      </c>
      <c r="G8656" s="69">
        <v>5.9773371104815863E-2</v>
      </c>
    </row>
    <row r="8657" spans="1:7" x14ac:dyDescent="0.3">
      <c r="A8657" s="24">
        <v>43535</v>
      </c>
      <c r="B8657" s="66">
        <v>1570.6993</v>
      </c>
      <c r="C8657" s="66">
        <v>2110</v>
      </c>
      <c r="D8657" s="70">
        <v>0</v>
      </c>
      <c r="E8657" s="111">
        <f t="shared" si="139"/>
        <v>138710</v>
      </c>
      <c r="F8657" s="69">
        <v>7.1875058121714644E-2</v>
      </c>
      <c r="G8657" s="69">
        <v>5.9607887451268431E-2</v>
      </c>
    </row>
    <row r="8658" spans="1:7" x14ac:dyDescent="0.3">
      <c r="A8658" s="24">
        <v>43536</v>
      </c>
      <c r="B8658" s="66">
        <v>1570.6993</v>
      </c>
      <c r="C8658" s="66">
        <v>2117.5</v>
      </c>
      <c r="D8658" s="70">
        <v>0</v>
      </c>
      <c r="E8658" s="111">
        <f t="shared" si="139"/>
        <v>138710</v>
      </c>
      <c r="F8658" s="69">
        <v>7.1875058121714644E-2</v>
      </c>
      <c r="G8658" s="69">
        <v>5.9604519774011301E-2</v>
      </c>
    </row>
    <row r="8659" spans="1:7" x14ac:dyDescent="0.3">
      <c r="A8659" s="24">
        <v>43537</v>
      </c>
      <c r="B8659" s="66">
        <v>1570.6993</v>
      </c>
      <c r="C8659" s="66">
        <v>2140.8000000000002</v>
      </c>
      <c r="D8659" s="70">
        <v>0</v>
      </c>
      <c r="E8659" s="111">
        <f t="shared" si="139"/>
        <v>138710</v>
      </c>
      <c r="F8659" s="69">
        <v>7.1875058121714644E-2</v>
      </c>
      <c r="G8659" s="69">
        <v>5.9436619718309859E-2</v>
      </c>
    </row>
    <row r="8660" spans="1:7" x14ac:dyDescent="0.3">
      <c r="A8660" s="24">
        <v>43538</v>
      </c>
      <c r="B8660" s="66">
        <v>1570.6993</v>
      </c>
      <c r="C8660" s="66">
        <v>2140</v>
      </c>
      <c r="D8660" s="70">
        <v>0</v>
      </c>
      <c r="E8660" s="111">
        <f t="shared" si="139"/>
        <v>138710</v>
      </c>
      <c r="F8660" s="69">
        <v>7.1875058121714644E-2</v>
      </c>
      <c r="G8660" s="69">
        <v>5.9103641456582631E-2</v>
      </c>
    </row>
    <row r="8661" spans="1:7" x14ac:dyDescent="0.3">
      <c r="A8661" s="24">
        <v>43539</v>
      </c>
      <c r="B8661" s="66">
        <v>1570.6993</v>
      </c>
      <c r="C8661" s="66">
        <v>2156.3000000000002</v>
      </c>
      <c r="D8661" s="70">
        <v>0</v>
      </c>
      <c r="E8661" s="111">
        <f t="shared" si="139"/>
        <v>138710</v>
      </c>
      <c r="F8661" s="69">
        <v>7.1875058121714644E-2</v>
      </c>
      <c r="G8661" s="69">
        <v>5.890563930764936E-2</v>
      </c>
    </row>
    <row r="8662" spans="1:7" x14ac:dyDescent="0.3">
      <c r="A8662" s="24">
        <v>43540</v>
      </c>
      <c r="B8662" s="66">
        <v>1570.6993</v>
      </c>
      <c r="C8662" s="66">
        <v>2156.3000000000002</v>
      </c>
      <c r="D8662" s="70">
        <v>0</v>
      </c>
      <c r="E8662" s="111">
        <f t="shared" si="139"/>
        <v>138710</v>
      </c>
      <c r="F8662" s="69">
        <v>7.1875058121714644E-2</v>
      </c>
      <c r="G8662" s="69">
        <v>5.890563930764936E-2</v>
      </c>
    </row>
    <row r="8663" spans="1:7" x14ac:dyDescent="0.3">
      <c r="A8663" s="24">
        <v>43541</v>
      </c>
      <c r="B8663" s="66">
        <v>1570.6993</v>
      </c>
      <c r="C8663" s="66">
        <v>2156.3000000000002</v>
      </c>
      <c r="D8663" s="70">
        <v>0</v>
      </c>
      <c r="E8663" s="111">
        <f t="shared" si="139"/>
        <v>138710</v>
      </c>
      <c r="F8663" s="69">
        <v>7.1875058121714644E-2</v>
      </c>
      <c r="G8663" s="69">
        <v>5.890563930764936E-2</v>
      </c>
    </row>
    <row r="8664" spans="1:7" x14ac:dyDescent="0.3">
      <c r="A8664" s="24">
        <v>43542</v>
      </c>
      <c r="B8664" s="66">
        <v>1570.6993</v>
      </c>
      <c r="C8664" s="66">
        <v>2179.9</v>
      </c>
      <c r="D8664" s="70">
        <v>0</v>
      </c>
      <c r="E8664" s="111">
        <f t="shared" si="139"/>
        <v>138710</v>
      </c>
      <c r="F8664" s="69">
        <v>7.1875058121714644E-2</v>
      </c>
      <c r="G8664" s="69">
        <v>5.8643690939410784E-2</v>
      </c>
    </row>
    <row r="8665" spans="1:7" x14ac:dyDescent="0.3">
      <c r="A8665" s="24">
        <v>43543</v>
      </c>
      <c r="B8665" s="66">
        <v>1570.6993</v>
      </c>
      <c r="C8665" s="66">
        <v>2180.1999999999998</v>
      </c>
      <c r="D8665" s="70">
        <v>0</v>
      </c>
      <c r="E8665" s="111">
        <f t="shared" si="139"/>
        <v>138710</v>
      </c>
      <c r="F8665" s="69">
        <v>7.1875058121714644E-2</v>
      </c>
      <c r="G8665" s="69">
        <v>5.8640431326774503E-2</v>
      </c>
    </row>
    <row r="8666" spans="1:7" x14ac:dyDescent="0.3">
      <c r="A8666" s="24">
        <v>43544</v>
      </c>
      <c r="B8666" s="66">
        <v>1570.6993</v>
      </c>
      <c r="C8666" s="66">
        <v>2196.6</v>
      </c>
      <c r="D8666" s="70">
        <v>0</v>
      </c>
      <c r="E8666" s="111">
        <f t="shared" si="139"/>
        <v>138710</v>
      </c>
      <c r="F8666" s="69">
        <v>7.1875058121714644E-2</v>
      </c>
      <c r="G8666" s="69">
        <v>5.8604599488945669E-2</v>
      </c>
    </row>
    <row r="8667" spans="1:7" x14ac:dyDescent="0.3">
      <c r="A8667" s="24">
        <v>43545</v>
      </c>
      <c r="B8667" s="66">
        <v>1570.6993</v>
      </c>
      <c r="C8667" s="66">
        <v>2220.1999999999998</v>
      </c>
      <c r="D8667" s="70">
        <v>0</v>
      </c>
      <c r="E8667" s="111">
        <f t="shared" si="139"/>
        <v>138710</v>
      </c>
      <c r="F8667" s="69">
        <v>7.1875058121714644E-2</v>
      </c>
      <c r="G8667" s="69">
        <v>5.8555808403174779E-2</v>
      </c>
    </row>
    <row r="8668" spans="1:7" x14ac:dyDescent="0.3">
      <c r="A8668" s="24">
        <v>43546</v>
      </c>
      <c r="B8668" s="66">
        <v>1570.6993</v>
      </c>
      <c r="C8668" s="66">
        <v>2210.1</v>
      </c>
      <c r="D8668" s="70">
        <v>0</v>
      </c>
      <c r="E8668" s="111">
        <f t="shared" si="139"/>
        <v>138710</v>
      </c>
      <c r="F8668" s="69">
        <v>7.1875058121714644E-2</v>
      </c>
      <c r="G8668" s="69">
        <v>5.8251891115896418E-2</v>
      </c>
    </row>
    <row r="8669" spans="1:7" x14ac:dyDescent="0.3">
      <c r="A8669" s="24">
        <v>43547</v>
      </c>
      <c r="B8669" s="66">
        <v>1570.6993</v>
      </c>
      <c r="C8669" s="66">
        <v>2210.1</v>
      </c>
      <c r="D8669" s="70">
        <v>0</v>
      </c>
      <c r="E8669" s="111">
        <f t="shared" si="139"/>
        <v>138710</v>
      </c>
      <c r="F8669" s="69">
        <v>7.1875058121714644E-2</v>
      </c>
      <c r="G8669" s="69">
        <v>5.8251891115896418E-2</v>
      </c>
    </row>
    <row r="8670" spans="1:7" x14ac:dyDescent="0.3">
      <c r="A8670" s="24">
        <v>43548</v>
      </c>
      <c r="B8670" s="66">
        <v>1570.6993</v>
      </c>
      <c r="C8670" s="66">
        <v>2210.1</v>
      </c>
      <c r="D8670" s="70">
        <v>0</v>
      </c>
      <c r="E8670" s="111">
        <f t="shared" si="139"/>
        <v>138710</v>
      </c>
      <c r="F8670" s="69">
        <v>7.1875058121714644E-2</v>
      </c>
      <c r="G8670" s="69">
        <v>5.8251891115896418E-2</v>
      </c>
    </row>
    <row r="8671" spans="1:7" x14ac:dyDescent="0.3">
      <c r="A8671" s="24">
        <v>43549</v>
      </c>
      <c r="B8671" s="66">
        <v>1570.6993</v>
      </c>
      <c r="C8671" s="66">
        <v>2200</v>
      </c>
      <c r="D8671" s="70">
        <v>0</v>
      </c>
      <c r="E8671" s="111">
        <f t="shared" si="139"/>
        <v>138710</v>
      </c>
      <c r="F8671" s="69">
        <v>7.1875058121714644E-2</v>
      </c>
      <c r="G8671" s="69">
        <v>5.81267217630854E-2</v>
      </c>
    </row>
    <row r="8672" spans="1:7" x14ac:dyDescent="0.3">
      <c r="A8672" s="24">
        <v>43550</v>
      </c>
      <c r="B8672" s="66">
        <v>1570.6993</v>
      </c>
      <c r="C8672" s="66">
        <v>2230</v>
      </c>
      <c r="D8672" s="70">
        <v>0</v>
      </c>
      <c r="E8672" s="111">
        <f t="shared" si="139"/>
        <v>138710</v>
      </c>
      <c r="F8672" s="69">
        <v>7.1875058121714644E-2</v>
      </c>
      <c r="G8672" s="69">
        <v>5.7807902422452484E-2</v>
      </c>
    </row>
    <row r="8673" spans="1:7" x14ac:dyDescent="0.3">
      <c r="A8673" s="24">
        <v>43551</v>
      </c>
      <c r="B8673" s="66">
        <v>1570.6993</v>
      </c>
      <c r="C8673" s="66">
        <v>2245</v>
      </c>
      <c r="D8673" s="70">
        <v>0</v>
      </c>
      <c r="E8673" s="111">
        <f t="shared" si="139"/>
        <v>138710</v>
      </c>
      <c r="F8673" s="69">
        <v>7.1875058121714644E-2</v>
      </c>
      <c r="G8673" s="69">
        <v>5.7729138166894664E-2</v>
      </c>
    </row>
    <row r="8674" spans="1:7" x14ac:dyDescent="0.3">
      <c r="A8674" s="24">
        <v>43552</v>
      </c>
      <c r="B8674" s="66">
        <v>1570.6993</v>
      </c>
      <c r="C8674" s="66">
        <v>2239.3000000000002</v>
      </c>
      <c r="D8674" s="70">
        <v>13</v>
      </c>
      <c r="E8674" s="111">
        <f t="shared" si="139"/>
        <v>138710</v>
      </c>
      <c r="F8674" s="69">
        <v>7.1875058121714644E-2</v>
      </c>
      <c r="G8674" s="69">
        <v>5.7729138166894664E-2</v>
      </c>
    </row>
    <row r="8675" spans="1:7" x14ac:dyDescent="0.3">
      <c r="A8675" s="24">
        <v>43553</v>
      </c>
      <c r="B8675" s="66">
        <v>1570.6993</v>
      </c>
      <c r="C8675" s="66">
        <v>2237.9</v>
      </c>
      <c r="D8675" s="70">
        <v>0</v>
      </c>
      <c r="E8675" s="111">
        <f t="shared" si="139"/>
        <v>138710</v>
      </c>
      <c r="F8675" s="69">
        <v>7.1875058121714644E-2</v>
      </c>
      <c r="G8675" s="69">
        <v>5.7729138166894664E-2</v>
      </c>
    </row>
    <row r="8676" spans="1:7" x14ac:dyDescent="0.3">
      <c r="A8676" s="24">
        <v>43554</v>
      </c>
      <c r="B8676" s="66">
        <v>1570.6993</v>
      </c>
      <c r="C8676" s="66">
        <v>2237.9</v>
      </c>
      <c r="D8676" s="70">
        <v>0</v>
      </c>
      <c r="E8676" s="111">
        <f t="shared" si="139"/>
        <v>138710</v>
      </c>
      <c r="F8676" s="69">
        <v>7.1875058121714644E-2</v>
      </c>
      <c r="G8676" s="69">
        <v>5.7729138166894664E-2</v>
      </c>
    </row>
    <row r="8677" spans="1:7" x14ac:dyDescent="0.3">
      <c r="A8677" s="24">
        <v>43555</v>
      </c>
      <c r="B8677" s="66">
        <v>1570.6993</v>
      </c>
      <c r="C8677" s="66">
        <v>2237.9</v>
      </c>
      <c r="D8677" s="70">
        <v>0</v>
      </c>
      <c r="E8677" s="111">
        <f t="shared" si="139"/>
        <v>138710</v>
      </c>
      <c r="F8677" s="69">
        <v>7.1875058121714644E-2</v>
      </c>
      <c r="G8677" s="69">
        <v>5.7729138166894664E-2</v>
      </c>
    </row>
    <row r="8678" spans="1:7" x14ac:dyDescent="0.3">
      <c r="A8678" s="24">
        <v>43556</v>
      </c>
      <c r="B8678" s="66">
        <v>1570.6993</v>
      </c>
      <c r="C8678" s="66">
        <v>2239</v>
      </c>
      <c r="D8678" s="70">
        <v>0</v>
      </c>
      <c r="E8678" s="111">
        <f t="shared" si="139"/>
        <v>138710</v>
      </c>
      <c r="F8678" s="69">
        <v>7.1875058121714644E-2</v>
      </c>
      <c r="G8678" s="69">
        <v>5.7336956521739132E-2</v>
      </c>
    </row>
    <row r="8679" spans="1:7" x14ac:dyDescent="0.3">
      <c r="A8679" s="24">
        <v>43557</v>
      </c>
      <c r="B8679" s="66">
        <v>1570.6993</v>
      </c>
      <c r="C8679" s="66">
        <v>2223.5</v>
      </c>
      <c r="D8679" s="70">
        <v>0</v>
      </c>
      <c r="E8679" s="111">
        <f t="shared" si="139"/>
        <v>138710</v>
      </c>
      <c r="F8679" s="69">
        <v>7.1875058121714644E-2</v>
      </c>
      <c r="G8679" s="69">
        <v>5.6414095502914284E-2</v>
      </c>
    </row>
    <row r="8680" spans="1:7" x14ac:dyDescent="0.3">
      <c r="A8680" s="24">
        <v>43558</v>
      </c>
      <c r="B8680" s="66">
        <v>1570.6993</v>
      </c>
      <c r="C8680" s="66">
        <v>2225</v>
      </c>
      <c r="D8680" s="70">
        <v>0</v>
      </c>
      <c r="E8680" s="111">
        <f t="shared" si="139"/>
        <v>138710</v>
      </c>
      <c r="F8680" s="69">
        <v>7.1875058121714644E-2</v>
      </c>
      <c r="G8680" s="69">
        <v>5.4805194805194808E-2</v>
      </c>
    </row>
    <row r="8681" spans="1:7" x14ac:dyDescent="0.3">
      <c r="A8681" s="24">
        <v>43559</v>
      </c>
      <c r="B8681" s="66">
        <v>1570.6993</v>
      </c>
      <c r="C8681" s="66">
        <v>2218.8000000000002</v>
      </c>
      <c r="D8681" s="70">
        <v>0</v>
      </c>
      <c r="E8681" s="111">
        <f t="shared" si="139"/>
        <v>138710</v>
      </c>
      <c r="F8681" s="69">
        <v>7.1875058121714644E-2</v>
      </c>
      <c r="G8681" s="69">
        <v>5.6568364611260052E-2</v>
      </c>
    </row>
    <row r="8682" spans="1:7" x14ac:dyDescent="0.3">
      <c r="A8682" s="24">
        <v>43560</v>
      </c>
      <c r="B8682" s="66">
        <v>1570.6993</v>
      </c>
      <c r="C8682" s="66">
        <v>2219.9</v>
      </c>
      <c r="D8682" s="70">
        <v>0</v>
      </c>
      <c r="E8682" s="111">
        <f t="shared" si="139"/>
        <v>138710</v>
      </c>
      <c r="F8682" s="69">
        <v>7.1875058121714644E-2</v>
      </c>
      <c r="G8682" s="69">
        <v>5.6117021276595742E-2</v>
      </c>
    </row>
    <row r="8683" spans="1:7" x14ac:dyDescent="0.3">
      <c r="A8683" s="24">
        <v>43561</v>
      </c>
      <c r="B8683" s="66">
        <v>1570.6993</v>
      </c>
      <c r="C8683" s="66">
        <v>2219.9</v>
      </c>
      <c r="D8683" s="70"/>
      <c r="E8683" s="111">
        <f t="shared" si="139"/>
        <v>138710</v>
      </c>
      <c r="F8683" s="69">
        <v>7.1875058121714644E-2</v>
      </c>
      <c r="G8683" s="69">
        <v>5.6117021276595742E-2</v>
      </c>
    </row>
    <row r="8684" spans="1:7" x14ac:dyDescent="0.3">
      <c r="A8684" s="24">
        <v>43562</v>
      </c>
      <c r="B8684" s="66">
        <v>1570.6993</v>
      </c>
      <c r="C8684" s="66">
        <v>2219.9</v>
      </c>
      <c r="D8684" s="70">
        <v>0</v>
      </c>
      <c r="E8684" s="111">
        <f t="shared" si="139"/>
        <v>138710</v>
      </c>
      <c r="F8684" s="69">
        <v>7.1875058121714644E-2</v>
      </c>
      <c r="G8684" s="69">
        <v>5.6117021276595742E-2</v>
      </c>
    </row>
    <row r="8685" spans="1:7" x14ac:dyDescent="0.3">
      <c r="A8685" s="24">
        <v>43563</v>
      </c>
      <c r="B8685" s="66">
        <v>1570.6993</v>
      </c>
      <c r="C8685" s="66">
        <v>2217.1</v>
      </c>
      <c r="D8685" s="70">
        <v>0</v>
      </c>
      <c r="E8685" s="111">
        <f t="shared" si="139"/>
        <v>138710</v>
      </c>
      <c r="F8685" s="69">
        <v>7.1875058121714644E-2</v>
      </c>
      <c r="G8685" s="69">
        <v>5.6117021276595742E-2</v>
      </c>
    </row>
    <row r="8686" spans="1:7" x14ac:dyDescent="0.3">
      <c r="A8686" s="24">
        <v>43564</v>
      </c>
      <c r="B8686" s="66">
        <v>1570.6993</v>
      </c>
      <c r="C8686" s="66">
        <v>2219</v>
      </c>
      <c r="D8686" s="70">
        <v>0</v>
      </c>
      <c r="E8686" s="111">
        <f t="shared" si="139"/>
        <v>138710</v>
      </c>
      <c r="F8686" s="69">
        <v>7.1875058121714644E-2</v>
      </c>
      <c r="G8686" s="69">
        <v>5.6176783812566564E-2</v>
      </c>
    </row>
    <row r="8687" spans="1:7" x14ac:dyDescent="0.3">
      <c r="A8687" s="24">
        <v>43565</v>
      </c>
      <c r="B8687" s="66">
        <v>1570.6993</v>
      </c>
      <c r="C8687" s="66">
        <v>2218.6</v>
      </c>
      <c r="D8687" s="70">
        <v>0</v>
      </c>
      <c r="E8687" s="111">
        <f t="shared" si="139"/>
        <v>138710</v>
      </c>
      <c r="F8687" s="69">
        <v>7.1875058121714644E-2</v>
      </c>
      <c r="G8687" s="69">
        <v>5.6176783812566564E-2</v>
      </c>
    </row>
    <row r="8688" spans="1:7" x14ac:dyDescent="0.3">
      <c r="A8688" s="24">
        <v>43566</v>
      </c>
      <c r="B8688" s="66">
        <v>1570.6993</v>
      </c>
      <c r="C8688" s="66">
        <v>2199</v>
      </c>
      <c r="D8688" s="70">
        <v>0</v>
      </c>
      <c r="E8688" s="111">
        <f t="shared" si="139"/>
        <v>138710</v>
      </c>
      <c r="F8688" s="69">
        <v>7.1875058121714644E-2</v>
      </c>
      <c r="G8688" s="69">
        <v>5.6191744340878827E-2</v>
      </c>
    </row>
    <row r="8689" spans="1:7" x14ac:dyDescent="0.3">
      <c r="A8689" s="24">
        <v>43567</v>
      </c>
      <c r="B8689" s="66">
        <v>1570.6993</v>
      </c>
      <c r="C8689" s="66">
        <v>2180</v>
      </c>
      <c r="D8689" s="70">
        <v>0</v>
      </c>
      <c r="E8689" s="111">
        <f t="shared" si="139"/>
        <v>138710</v>
      </c>
      <c r="F8689" s="69">
        <v>7.1875058121714644E-2</v>
      </c>
      <c r="G8689" s="69">
        <v>5.6417112299465243E-2</v>
      </c>
    </row>
    <row r="8690" spans="1:7" x14ac:dyDescent="0.3">
      <c r="A8690" s="24">
        <v>43568</v>
      </c>
      <c r="B8690" s="66">
        <v>1570.6993</v>
      </c>
      <c r="C8690" s="66">
        <v>2180</v>
      </c>
      <c r="D8690" s="70">
        <v>0</v>
      </c>
      <c r="E8690" s="111">
        <f t="shared" si="139"/>
        <v>138710</v>
      </c>
      <c r="F8690" s="69">
        <v>7.1875058121714644E-2</v>
      </c>
      <c r="G8690" s="69">
        <v>5.6417112299465243E-2</v>
      </c>
    </row>
    <row r="8691" spans="1:7" x14ac:dyDescent="0.3">
      <c r="A8691" s="24">
        <v>43569</v>
      </c>
      <c r="B8691" s="66">
        <v>1570.6993</v>
      </c>
      <c r="C8691" s="66">
        <v>2180</v>
      </c>
      <c r="D8691" s="70">
        <v>0</v>
      </c>
      <c r="E8691" s="111">
        <f t="shared" si="139"/>
        <v>138710</v>
      </c>
      <c r="F8691" s="69">
        <v>7.1875058121714644E-2</v>
      </c>
      <c r="G8691" s="69">
        <v>5.6417112299465243E-2</v>
      </c>
    </row>
    <row r="8692" spans="1:7" x14ac:dyDescent="0.3">
      <c r="A8692" s="24">
        <v>43570</v>
      </c>
      <c r="B8692" s="66">
        <v>1570.6993</v>
      </c>
      <c r="C8692" s="66">
        <v>2180</v>
      </c>
      <c r="D8692" s="70">
        <v>0</v>
      </c>
      <c r="E8692" s="111">
        <f t="shared" si="139"/>
        <v>138710</v>
      </c>
      <c r="F8692" s="69">
        <v>7.1875058121714644E-2</v>
      </c>
      <c r="G8692" s="69">
        <v>5.6450318369094116E-2</v>
      </c>
    </row>
    <row r="8693" spans="1:7" x14ac:dyDescent="0.3">
      <c r="A8693" s="24">
        <v>43571</v>
      </c>
      <c r="B8693" s="66">
        <v>1570.6993</v>
      </c>
      <c r="C8693" s="66">
        <v>2198</v>
      </c>
      <c r="D8693" s="70">
        <v>0</v>
      </c>
      <c r="E8693" s="111">
        <f t="shared" si="139"/>
        <v>138710</v>
      </c>
      <c r="F8693" s="69">
        <v>7.1875058121714644E-2</v>
      </c>
      <c r="G8693" s="69">
        <v>5.7027027027027027E-2</v>
      </c>
    </row>
    <row r="8694" spans="1:7" x14ac:dyDescent="0.3">
      <c r="A8694" s="24">
        <v>43572</v>
      </c>
      <c r="B8694" s="66">
        <v>1570.6993</v>
      </c>
      <c r="C8694" s="66">
        <v>2177.1999999999998</v>
      </c>
      <c r="D8694" s="70">
        <v>0</v>
      </c>
      <c r="E8694" s="111">
        <f t="shared" si="139"/>
        <v>138710</v>
      </c>
      <c r="F8694" s="69">
        <v>7.1875058121714644E-2</v>
      </c>
      <c r="G8694" s="69">
        <v>5.7030109735661381E-2</v>
      </c>
    </row>
    <row r="8695" spans="1:7" x14ac:dyDescent="0.3">
      <c r="A8695" s="24">
        <v>43573</v>
      </c>
      <c r="B8695" s="66">
        <v>1570.6993</v>
      </c>
      <c r="C8695" s="66">
        <v>2180.5</v>
      </c>
      <c r="D8695" s="70">
        <v>0</v>
      </c>
      <c r="E8695" s="111">
        <f t="shared" si="139"/>
        <v>138710</v>
      </c>
      <c r="F8695" s="69">
        <v>7.1875058121714644E-2</v>
      </c>
      <c r="G8695" s="69">
        <v>5.7336956521739132E-2</v>
      </c>
    </row>
    <row r="8696" spans="1:7" x14ac:dyDescent="0.3">
      <c r="A8696" s="24">
        <v>43574</v>
      </c>
      <c r="B8696" s="66">
        <v>1570.6993</v>
      </c>
      <c r="C8696" s="66">
        <v>2180.5</v>
      </c>
      <c r="D8696" s="70">
        <v>0</v>
      </c>
      <c r="E8696" s="111">
        <f t="shared" si="139"/>
        <v>138710</v>
      </c>
      <c r="F8696" s="69">
        <v>7.1875058121714644E-2</v>
      </c>
      <c r="G8696" s="69">
        <v>5.7336956521739132E-2</v>
      </c>
    </row>
    <row r="8697" spans="1:7" x14ac:dyDescent="0.3">
      <c r="A8697" s="24">
        <v>43575</v>
      </c>
      <c r="B8697" s="66">
        <v>1570.6993</v>
      </c>
      <c r="C8697" s="66">
        <v>2180.5</v>
      </c>
      <c r="D8697" s="70">
        <v>0</v>
      </c>
      <c r="E8697" s="111">
        <f t="shared" si="139"/>
        <v>138710</v>
      </c>
      <c r="F8697" s="69">
        <v>7.1875058121714644E-2</v>
      </c>
      <c r="G8697" s="69">
        <v>5.7336956521739132E-2</v>
      </c>
    </row>
    <row r="8698" spans="1:7" x14ac:dyDescent="0.3">
      <c r="A8698" s="24">
        <v>43576</v>
      </c>
      <c r="B8698" s="66">
        <v>1570.6993</v>
      </c>
      <c r="C8698" s="66">
        <v>2180.5</v>
      </c>
      <c r="D8698" s="70">
        <v>0</v>
      </c>
      <c r="E8698" s="111">
        <f t="shared" si="139"/>
        <v>138710</v>
      </c>
      <c r="F8698" s="69">
        <v>7.1875058121714644E-2</v>
      </c>
      <c r="G8698" s="69">
        <v>5.7336956521739132E-2</v>
      </c>
    </row>
    <row r="8699" spans="1:7" x14ac:dyDescent="0.3">
      <c r="A8699" s="24">
        <v>43577</v>
      </c>
      <c r="B8699" s="66">
        <v>1570.6993</v>
      </c>
      <c r="C8699" s="66">
        <v>2193.8000000000002</v>
      </c>
      <c r="D8699" s="70">
        <v>0</v>
      </c>
      <c r="E8699" s="111">
        <f t="shared" si="139"/>
        <v>138710</v>
      </c>
      <c r="F8699" s="69">
        <v>7.1875058121714644E-2</v>
      </c>
      <c r="G8699" s="69">
        <v>5.7650273224043716E-2</v>
      </c>
    </row>
    <row r="8700" spans="1:7" x14ac:dyDescent="0.3">
      <c r="A8700" s="24">
        <v>43578</v>
      </c>
      <c r="B8700" s="66">
        <v>1570.6993</v>
      </c>
      <c r="C8700" s="66">
        <v>2189</v>
      </c>
      <c r="D8700" s="70">
        <v>0</v>
      </c>
      <c r="E8700" s="111">
        <f t="shared" si="139"/>
        <v>138710</v>
      </c>
      <c r="F8700" s="69">
        <v>7.1875058121714644E-2</v>
      </c>
      <c r="G8700" s="69">
        <v>5.7653423684354332E-2</v>
      </c>
    </row>
    <row r="8701" spans="1:7" x14ac:dyDescent="0.3">
      <c r="A8701" s="24">
        <v>43579</v>
      </c>
      <c r="B8701" s="66">
        <v>1570.6993</v>
      </c>
      <c r="C8701" s="66">
        <v>2180.1</v>
      </c>
      <c r="D8701" s="70">
        <v>0</v>
      </c>
      <c r="E8701" s="111">
        <f t="shared" si="139"/>
        <v>138710</v>
      </c>
      <c r="F8701" s="69">
        <v>7.1875058121714644E-2</v>
      </c>
      <c r="G8701" s="69">
        <v>5.7650273224043716E-2</v>
      </c>
    </row>
    <row r="8702" spans="1:7" x14ac:dyDescent="0.3">
      <c r="A8702" s="24">
        <v>43580</v>
      </c>
      <c r="B8702" s="66">
        <v>1570.6993</v>
      </c>
      <c r="C8702" s="66">
        <v>2175.1999999999998</v>
      </c>
      <c r="D8702" s="70">
        <v>0</v>
      </c>
      <c r="E8702" s="111">
        <f t="shared" si="139"/>
        <v>138710</v>
      </c>
      <c r="F8702" s="69">
        <v>7.1875058121714644E-2</v>
      </c>
      <c r="G8702" s="69">
        <v>5.7650273224043716E-2</v>
      </c>
    </row>
    <row r="8703" spans="1:7" x14ac:dyDescent="0.3">
      <c r="A8703" s="24">
        <v>43581</v>
      </c>
      <c r="B8703" s="66">
        <v>1570.6993</v>
      </c>
      <c r="C8703" s="66">
        <v>2178</v>
      </c>
      <c r="D8703" s="70">
        <v>0</v>
      </c>
      <c r="E8703" s="111">
        <f t="shared" si="139"/>
        <v>138710</v>
      </c>
      <c r="F8703" s="69">
        <v>7.1875058121714644E-2</v>
      </c>
      <c r="G8703" s="69">
        <v>5.7650273224043716E-2</v>
      </c>
    </row>
    <row r="8704" spans="1:7" x14ac:dyDescent="0.3">
      <c r="A8704" s="24">
        <v>43582</v>
      </c>
      <c r="B8704" s="66">
        <v>1570.6993</v>
      </c>
      <c r="C8704" s="66">
        <v>2178</v>
      </c>
      <c r="D8704" s="70">
        <v>0</v>
      </c>
      <c r="E8704" s="111">
        <f t="shared" si="139"/>
        <v>138710</v>
      </c>
      <c r="F8704" s="69">
        <v>7.1875058121714644E-2</v>
      </c>
      <c r="G8704" s="69">
        <v>5.7650273224043716E-2</v>
      </c>
    </row>
    <row r="8705" spans="1:7" x14ac:dyDescent="0.3">
      <c r="A8705" s="24">
        <v>43583</v>
      </c>
      <c r="B8705" s="66">
        <v>1570.6993</v>
      </c>
      <c r="C8705" s="66">
        <v>2178</v>
      </c>
      <c r="D8705" s="70">
        <v>0</v>
      </c>
      <c r="E8705" s="111">
        <f t="shared" si="139"/>
        <v>138710</v>
      </c>
      <c r="F8705" s="69">
        <v>7.1875058121714644E-2</v>
      </c>
      <c r="G8705" s="69">
        <v>5.7650273224043716E-2</v>
      </c>
    </row>
    <row r="8706" spans="1:7" x14ac:dyDescent="0.3">
      <c r="A8706" s="24">
        <v>43584</v>
      </c>
      <c r="B8706" s="66">
        <v>1570.6993</v>
      </c>
      <c r="C8706" s="66">
        <v>2178.1</v>
      </c>
      <c r="D8706" s="70">
        <v>0</v>
      </c>
      <c r="E8706" s="111">
        <f t="shared" si="139"/>
        <v>138710</v>
      </c>
      <c r="F8706" s="69">
        <v>7.0831240594677075E-2</v>
      </c>
      <c r="G8706" s="69">
        <v>5.7650273224043716E-2</v>
      </c>
    </row>
    <row r="8707" spans="1:7" x14ac:dyDescent="0.3">
      <c r="A8707" s="24">
        <v>43585</v>
      </c>
      <c r="B8707" s="66">
        <v>1570.6993</v>
      </c>
      <c r="C8707" s="66">
        <v>2182.8000000000002</v>
      </c>
      <c r="D8707" s="70">
        <v>0</v>
      </c>
      <c r="E8707" s="111">
        <f t="shared" si="139"/>
        <v>138710</v>
      </c>
      <c r="F8707" s="69">
        <v>7.0831240594677075E-2</v>
      </c>
      <c r="G8707" s="69">
        <v>5.7650273224043716E-2</v>
      </c>
    </row>
    <row r="8708" spans="1:7" x14ac:dyDescent="0.3">
      <c r="A8708" s="24">
        <v>43586</v>
      </c>
      <c r="B8708" s="66">
        <v>1570.6993</v>
      </c>
      <c r="C8708" s="66">
        <v>2182.8000000000002</v>
      </c>
      <c r="D8708" s="70">
        <v>0</v>
      </c>
      <c r="E8708" s="111">
        <f t="shared" si="139"/>
        <v>138710</v>
      </c>
      <c r="F8708" s="69">
        <v>7.0831240594677075E-2</v>
      </c>
      <c r="G8708" s="69">
        <v>5.7650273224043716E-2</v>
      </c>
    </row>
    <row r="8709" spans="1:7" x14ac:dyDescent="0.3">
      <c r="A8709" s="24">
        <v>43587</v>
      </c>
      <c r="B8709" s="66">
        <v>1570.6993</v>
      </c>
      <c r="C8709" s="66">
        <v>2193</v>
      </c>
      <c r="D8709" s="70">
        <v>0</v>
      </c>
      <c r="E8709" s="111">
        <f t="shared" si="139"/>
        <v>138710</v>
      </c>
      <c r="F8709" s="69">
        <v>7.0831240594677075E-2</v>
      </c>
      <c r="G8709" s="69">
        <v>5.7650273224043716E-2</v>
      </c>
    </row>
    <row r="8710" spans="1:7" x14ac:dyDescent="0.3">
      <c r="A8710" s="24">
        <v>43588</v>
      </c>
      <c r="B8710" s="66">
        <v>1570.6993</v>
      </c>
      <c r="C8710" s="66">
        <v>2200</v>
      </c>
      <c r="D8710" s="70">
        <v>0</v>
      </c>
      <c r="E8710" s="111">
        <f t="shared" si="139"/>
        <v>138710</v>
      </c>
      <c r="F8710" s="69">
        <v>7.0831240594677075E-2</v>
      </c>
      <c r="G8710" s="69">
        <v>5.7653423684354332E-2</v>
      </c>
    </row>
    <row r="8711" spans="1:7" x14ac:dyDescent="0.3">
      <c r="A8711" s="24">
        <v>43589</v>
      </c>
      <c r="B8711" s="66">
        <v>1570.6993</v>
      </c>
      <c r="C8711" s="66">
        <v>2200</v>
      </c>
      <c r="D8711" s="70">
        <v>0</v>
      </c>
      <c r="E8711" s="111">
        <f t="shared" si="139"/>
        <v>138710</v>
      </c>
      <c r="F8711" s="69">
        <v>7.0831240594677075E-2</v>
      </c>
      <c r="G8711" s="69">
        <v>5.7653423684354332E-2</v>
      </c>
    </row>
    <row r="8712" spans="1:7" x14ac:dyDescent="0.3">
      <c r="A8712" s="24">
        <v>43590</v>
      </c>
      <c r="B8712" s="66">
        <v>1570.6993</v>
      </c>
      <c r="C8712" s="66">
        <v>2200</v>
      </c>
      <c r="D8712" s="70">
        <v>0</v>
      </c>
      <c r="E8712" s="111">
        <f t="shared" si="139"/>
        <v>138710</v>
      </c>
      <c r="F8712" s="69">
        <v>7.0831240594677075E-2</v>
      </c>
      <c r="G8712" s="69">
        <v>5.7653423684354332E-2</v>
      </c>
    </row>
    <row r="8713" spans="1:7" x14ac:dyDescent="0.3">
      <c r="A8713" s="24">
        <v>43591</v>
      </c>
      <c r="B8713" s="66">
        <v>1570.6993</v>
      </c>
      <c r="C8713" s="66">
        <v>2210.8000000000002</v>
      </c>
      <c r="D8713" s="70">
        <v>0</v>
      </c>
      <c r="E8713" s="111">
        <f t="shared" ref="E8713:E8776" si="140">+E8712</f>
        <v>138710</v>
      </c>
      <c r="F8713" s="69">
        <v>7.0831240594677075E-2</v>
      </c>
      <c r="G8713" s="69">
        <v>5.8306620979330162E-2</v>
      </c>
    </row>
    <row r="8714" spans="1:7" x14ac:dyDescent="0.3">
      <c r="A8714" s="24">
        <v>43592</v>
      </c>
      <c r="B8714" s="66">
        <v>1570.6993</v>
      </c>
      <c r="C8714" s="66">
        <v>2260.6999999999998</v>
      </c>
      <c r="D8714" s="70">
        <v>0</v>
      </c>
      <c r="E8714" s="111">
        <f t="shared" si="140"/>
        <v>138710</v>
      </c>
      <c r="F8714" s="69">
        <v>7.0831240594677075E-2</v>
      </c>
      <c r="G8714" s="69">
        <v>5.828729281767956E-2</v>
      </c>
    </row>
    <row r="8715" spans="1:7" x14ac:dyDescent="0.3">
      <c r="A8715" s="24">
        <v>43593</v>
      </c>
      <c r="B8715" s="66">
        <v>1570.6993</v>
      </c>
      <c r="C8715" s="66">
        <v>2260.8000000000002</v>
      </c>
      <c r="D8715" s="70">
        <v>0</v>
      </c>
      <c r="E8715" s="111">
        <f t="shared" si="140"/>
        <v>138710</v>
      </c>
      <c r="F8715" s="69">
        <v>7.0831240594677075E-2</v>
      </c>
      <c r="G8715" s="69">
        <v>5.8290513288026959E-2</v>
      </c>
    </row>
    <row r="8716" spans="1:7" x14ac:dyDescent="0.3">
      <c r="A8716" s="24">
        <v>43594</v>
      </c>
      <c r="B8716" s="66">
        <v>1570.6993</v>
      </c>
      <c r="C8716" s="66">
        <v>2260</v>
      </c>
      <c r="D8716" s="70">
        <v>0</v>
      </c>
      <c r="E8716" s="111">
        <f t="shared" si="140"/>
        <v>138710</v>
      </c>
      <c r="F8716" s="69">
        <v>7.0831240594677075E-2</v>
      </c>
      <c r="G8716" s="69">
        <v>5.8319513543394139E-2</v>
      </c>
    </row>
    <row r="8717" spans="1:7" x14ac:dyDescent="0.3">
      <c r="A8717" s="24">
        <v>43595</v>
      </c>
      <c r="B8717" s="66">
        <v>1570.6993</v>
      </c>
      <c r="C8717" s="66">
        <v>2197.5</v>
      </c>
      <c r="D8717" s="70">
        <v>38</v>
      </c>
      <c r="E8717" s="111">
        <f t="shared" si="140"/>
        <v>138710</v>
      </c>
      <c r="F8717" s="69">
        <v>6.6467230510644834E-2</v>
      </c>
      <c r="G8717" s="69">
        <v>5.4729393554093647E-2</v>
      </c>
    </row>
    <row r="8718" spans="1:7" x14ac:dyDescent="0.3">
      <c r="A8718" s="24">
        <v>43596</v>
      </c>
      <c r="B8718" s="66">
        <v>1570.6993</v>
      </c>
      <c r="C8718" s="66">
        <v>2197.5</v>
      </c>
      <c r="D8718" s="70">
        <v>0</v>
      </c>
      <c r="E8718" s="111">
        <f t="shared" si="140"/>
        <v>138710</v>
      </c>
      <c r="F8718" s="69">
        <v>6.6467230510644834E-2</v>
      </c>
      <c r="G8718" s="69">
        <v>5.4729393554093647E-2</v>
      </c>
    </row>
    <row r="8719" spans="1:7" x14ac:dyDescent="0.3">
      <c r="A8719" s="24">
        <v>43597</v>
      </c>
      <c r="B8719" s="66">
        <v>1570.6993</v>
      </c>
      <c r="C8719" s="66">
        <v>2197.5</v>
      </c>
      <c r="D8719" s="70">
        <v>0</v>
      </c>
      <c r="E8719" s="111">
        <f t="shared" si="140"/>
        <v>138710</v>
      </c>
      <c r="F8719" s="69">
        <v>6.6467230510644834E-2</v>
      </c>
      <c r="G8719" s="69">
        <v>5.4729393554093647E-2</v>
      </c>
    </row>
    <row r="8720" spans="1:7" x14ac:dyDescent="0.3">
      <c r="A8720" s="24">
        <v>43598</v>
      </c>
      <c r="B8720" s="66">
        <v>1570.6993</v>
      </c>
      <c r="C8720" s="66">
        <v>2200</v>
      </c>
      <c r="D8720" s="70">
        <v>0</v>
      </c>
      <c r="E8720" s="111">
        <f t="shared" si="140"/>
        <v>138710</v>
      </c>
      <c r="F8720" s="69">
        <v>6.6467230510644834E-2</v>
      </c>
      <c r="G8720" s="69">
        <v>5.4789971774863021E-2</v>
      </c>
    </row>
    <row r="8721" spans="1:7" x14ac:dyDescent="0.3">
      <c r="A8721" s="24">
        <v>43599</v>
      </c>
      <c r="B8721" s="66">
        <v>1570.6993</v>
      </c>
      <c r="C8721" s="66">
        <v>2234.9</v>
      </c>
      <c r="D8721" s="70">
        <v>0</v>
      </c>
      <c r="E8721" s="111">
        <f t="shared" si="140"/>
        <v>138710</v>
      </c>
      <c r="F8721" s="69">
        <v>6.6467230510644834E-2</v>
      </c>
      <c r="G8721" s="69">
        <v>5.4847949296117977E-2</v>
      </c>
    </row>
    <row r="8722" spans="1:7" x14ac:dyDescent="0.3">
      <c r="A8722" s="24">
        <v>43600</v>
      </c>
      <c r="B8722" s="66">
        <v>1570.6993</v>
      </c>
      <c r="C8722" s="66">
        <v>2299.5</v>
      </c>
      <c r="D8722" s="70">
        <v>0</v>
      </c>
      <c r="E8722" s="111">
        <f t="shared" si="140"/>
        <v>138710</v>
      </c>
      <c r="F8722" s="69">
        <v>6.6467230510644834E-2</v>
      </c>
      <c r="G8722" s="69">
        <v>5.4862842892768077E-2</v>
      </c>
    </row>
    <row r="8723" spans="1:7" x14ac:dyDescent="0.3">
      <c r="A8723" s="24">
        <v>43601</v>
      </c>
      <c r="B8723" s="66">
        <v>1570.6993</v>
      </c>
      <c r="C8723" s="66">
        <v>2300</v>
      </c>
      <c r="D8723" s="70">
        <v>0</v>
      </c>
      <c r="E8723" s="111">
        <f t="shared" si="140"/>
        <v>138710</v>
      </c>
      <c r="F8723" s="69">
        <v>6.6467230510644834E-2</v>
      </c>
      <c r="G8723" s="69">
        <v>5.4789971774863021E-2</v>
      </c>
    </row>
    <row r="8724" spans="1:7" x14ac:dyDescent="0.3">
      <c r="A8724" s="24">
        <v>43602</v>
      </c>
      <c r="B8724" s="66">
        <v>1570.6993</v>
      </c>
      <c r="C8724" s="66">
        <v>2300</v>
      </c>
      <c r="D8724" s="70">
        <v>0</v>
      </c>
      <c r="E8724" s="111">
        <f t="shared" si="140"/>
        <v>138710</v>
      </c>
      <c r="F8724" s="69">
        <v>6.6467230510644834E-2</v>
      </c>
      <c r="G8724" s="69">
        <v>5.4696132596685085E-2</v>
      </c>
    </row>
    <row r="8725" spans="1:7" x14ac:dyDescent="0.3">
      <c r="A8725" s="24">
        <v>43603</v>
      </c>
      <c r="B8725" s="66">
        <v>1570.6993</v>
      </c>
      <c r="C8725" s="66">
        <v>2300</v>
      </c>
      <c r="D8725" s="70">
        <v>0</v>
      </c>
      <c r="E8725" s="111">
        <f t="shared" si="140"/>
        <v>138710</v>
      </c>
      <c r="F8725" s="69">
        <v>6.6467230510644834E-2</v>
      </c>
      <c r="G8725" s="69">
        <v>5.4696132596685085E-2</v>
      </c>
    </row>
    <row r="8726" spans="1:7" x14ac:dyDescent="0.3">
      <c r="A8726" s="24">
        <v>43604</v>
      </c>
      <c r="B8726" s="66">
        <v>1570.6993</v>
      </c>
      <c r="C8726" s="66">
        <v>2300</v>
      </c>
      <c r="D8726" s="70">
        <v>0</v>
      </c>
      <c r="E8726" s="111">
        <f t="shared" si="140"/>
        <v>138710</v>
      </c>
      <c r="F8726" s="69">
        <v>6.6467230510644834E-2</v>
      </c>
      <c r="G8726" s="69">
        <v>5.4696132596685085E-2</v>
      </c>
    </row>
    <row r="8727" spans="1:7" x14ac:dyDescent="0.3">
      <c r="A8727" s="24">
        <v>43605</v>
      </c>
      <c r="B8727" s="66">
        <v>1570.6993</v>
      </c>
      <c r="C8727" s="66">
        <v>2270</v>
      </c>
      <c r="D8727" s="70">
        <v>0</v>
      </c>
      <c r="E8727" s="111">
        <f t="shared" si="140"/>
        <v>138710</v>
      </c>
      <c r="F8727" s="69">
        <v>6.6467230510644834E-2</v>
      </c>
      <c r="G8727" s="69">
        <v>5.4696132596685085E-2</v>
      </c>
    </row>
    <row r="8728" spans="1:7" x14ac:dyDescent="0.3">
      <c r="A8728" s="24">
        <v>43606</v>
      </c>
      <c r="B8728" s="66">
        <v>1570.6993</v>
      </c>
      <c r="C8728" s="66">
        <v>2270</v>
      </c>
      <c r="D8728" s="70">
        <v>0</v>
      </c>
      <c r="E8728" s="111">
        <f t="shared" si="140"/>
        <v>138710</v>
      </c>
      <c r="F8728" s="69">
        <v>6.6467230510644834E-2</v>
      </c>
      <c r="G8728" s="69">
        <v>5.4696132596685085E-2</v>
      </c>
    </row>
    <row r="8729" spans="1:7" x14ac:dyDescent="0.3">
      <c r="A8729" s="24">
        <v>43607</v>
      </c>
      <c r="B8729" s="66">
        <v>1570.6993</v>
      </c>
      <c r="C8729" s="66">
        <v>2299.9</v>
      </c>
      <c r="D8729" s="70">
        <v>0</v>
      </c>
      <c r="E8729" s="111">
        <f t="shared" si="140"/>
        <v>138710</v>
      </c>
      <c r="F8729" s="69">
        <v>6.6467230510644834E-2</v>
      </c>
      <c r="G8729" s="69">
        <v>5.3513513513513515E-2</v>
      </c>
    </row>
    <row r="8730" spans="1:7" x14ac:dyDescent="0.3">
      <c r="A8730" s="24">
        <v>43608</v>
      </c>
      <c r="B8730" s="66">
        <v>1570.6993</v>
      </c>
      <c r="C8730" s="66">
        <v>2300</v>
      </c>
      <c r="D8730" s="70">
        <v>0</v>
      </c>
      <c r="E8730" s="111">
        <f t="shared" si="140"/>
        <v>138710</v>
      </c>
      <c r="F8730" s="69">
        <v>6.6467230510644834E-2</v>
      </c>
      <c r="G8730" s="69">
        <v>5.3571428571428568E-2</v>
      </c>
    </row>
    <row r="8731" spans="1:7" x14ac:dyDescent="0.3">
      <c r="A8731" s="24">
        <v>43609</v>
      </c>
      <c r="B8731" s="66">
        <v>1570.6993</v>
      </c>
      <c r="C8731" s="66">
        <v>2301.5</v>
      </c>
      <c r="D8731" s="70">
        <v>0</v>
      </c>
      <c r="E8731" s="111">
        <f t="shared" si="140"/>
        <v>138710</v>
      </c>
      <c r="F8731" s="69">
        <v>6.6467230510644834E-2</v>
      </c>
      <c r="G8731" s="69">
        <v>5.3804347826086958E-2</v>
      </c>
    </row>
    <row r="8732" spans="1:7" x14ac:dyDescent="0.3">
      <c r="A8732" s="24">
        <v>43610</v>
      </c>
      <c r="B8732" s="66">
        <v>1570.6993</v>
      </c>
      <c r="C8732" s="66">
        <v>2301.5</v>
      </c>
      <c r="D8732" s="70">
        <v>0</v>
      </c>
      <c r="E8732" s="111">
        <f t="shared" si="140"/>
        <v>138710</v>
      </c>
      <c r="F8732" s="69">
        <v>6.6467230510644834E-2</v>
      </c>
      <c r="G8732" s="69">
        <v>5.3804347826086958E-2</v>
      </c>
    </row>
    <row r="8733" spans="1:7" x14ac:dyDescent="0.3">
      <c r="A8733" s="24">
        <v>43611</v>
      </c>
      <c r="B8733" s="66">
        <v>1570.6993</v>
      </c>
      <c r="C8733" s="66">
        <v>2301.5</v>
      </c>
      <c r="D8733" s="70">
        <v>0</v>
      </c>
      <c r="E8733" s="111">
        <f t="shared" si="140"/>
        <v>138710</v>
      </c>
      <c r="F8733" s="69">
        <v>6.6467230510644834E-2</v>
      </c>
      <c r="G8733" s="69">
        <v>5.3804347826086958E-2</v>
      </c>
    </row>
    <row r="8734" spans="1:7" x14ac:dyDescent="0.3">
      <c r="A8734" s="24">
        <v>43612</v>
      </c>
      <c r="B8734" s="66">
        <v>1570.6993</v>
      </c>
      <c r="C8734" s="66">
        <v>2340</v>
      </c>
      <c r="D8734" s="70">
        <v>0</v>
      </c>
      <c r="E8734" s="111">
        <f t="shared" si="140"/>
        <v>138710</v>
      </c>
      <c r="F8734" s="69">
        <v>6.6467230510644834E-2</v>
      </c>
      <c r="G8734" s="69">
        <v>5.3804347826086958E-2</v>
      </c>
    </row>
    <row r="8735" spans="1:7" x14ac:dyDescent="0.3">
      <c r="A8735" s="24">
        <v>43613</v>
      </c>
      <c r="B8735" s="66">
        <v>1570.6993</v>
      </c>
      <c r="C8735" s="66">
        <v>2351</v>
      </c>
      <c r="D8735" s="70">
        <v>0</v>
      </c>
      <c r="E8735" s="111">
        <f t="shared" si="140"/>
        <v>138710</v>
      </c>
      <c r="F8735" s="69">
        <v>6.6467230510644834E-2</v>
      </c>
      <c r="G8735" s="69">
        <v>5.3865825126503071E-2</v>
      </c>
    </row>
    <row r="8736" spans="1:7" x14ac:dyDescent="0.3">
      <c r="A8736" s="24">
        <v>43614</v>
      </c>
      <c r="B8736" s="66">
        <v>1570.6993</v>
      </c>
      <c r="C8736" s="66">
        <v>2360</v>
      </c>
      <c r="D8736" s="70">
        <v>0</v>
      </c>
      <c r="E8736" s="111">
        <f t="shared" si="140"/>
        <v>138710</v>
      </c>
      <c r="F8736" s="69">
        <v>6.6467230510644834E-2</v>
      </c>
      <c r="G8736" s="69">
        <v>5.4841568801240859E-2</v>
      </c>
    </row>
    <row r="8737" spans="1:7" x14ac:dyDescent="0.3">
      <c r="A8737" s="24">
        <v>43615</v>
      </c>
      <c r="B8737" s="66">
        <v>1613.1</v>
      </c>
      <c r="C8737" s="66">
        <v>2375</v>
      </c>
      <c r="D8737" s="70">
        <v>0</v>
      </c>
      <c r="E8737" s="111">
        <f t="shared" si="140"/>
        <v>138710</v>
      </c>
      <c r="F8737" s="69">
        <v>6.6467230510644834E-2</v>
      </c>
      <c r="G8737" s="69">
        <v>5.3965658217497957E-2</v>
      </c>
    </row>
    <row r="8738" spans="1:7" x14ac:dyDescent="0.3">
      <c r="A8738" s="24">
        <v>43616</v>
      </c>
      <c r="B8738" s="66">
        <v>1613.1</v>
      </c>
      <c r="C8738" s="66">
        <v>2360</v>
      </c>
      <c r="D8738" s="70">
        <v>0</v>
      </c>
      <c r="E8738" s="111">
        <f t="shared" si="140"/>
        <v>138710</v>
      </c>
      <c r="F8738" s="69">
        <v>6.6467230510644834E-2</v>
      </c>
      <c r="G8738" s="69">
        <v>5.4098360655737705E-2</v>
      </c>
    </row>
    <row r="8739" spans="1:7" x14ac:dyDescent="0.3">
      <c r="A8739" s="24">
        <v>43617</v>
      </c>
      <c r="B8739" s="66">
        <v>1613.1</v>
      </c>
      <c r="C8739" s="66">
        <v>2360</v>
      </c>
      <c r="D8739" s="70">
        <v>0</v>
      </c>
      <c r="E8739" s="111">
        <f t="shared" si="140"/>
        <v>138710</v>
      </c>
      <c r="F8739" s="69">
        <v>6.6467230510644834E-2</v>
      </c>
      <c r="G8739" s="69">
        <v>5.4098360655737705E-2</v>
      </c>
    </row>
    <row r="8740" spans="1:7" x14ac:dyDescent="0.3">
      <c r="A8740" s="24">
        <v>43618</v>
      </c>
      <c r="B8740" s="66">
        <v>1613.1</v>
      </c>
      <c r="C8740" s="66">
        <v>2360</v>
      </c>
      <c r="D8740" s="70">
        <v>0</v>
      </c>
      <c r="E8740" s="111">
        <f t="shared" si="140"/>
        <v>138710</v>
      </c>
      <c r="F8740" s="69">
        <v>6.6467230510644834E-2</v>
      </c>
      <c r="G8740" s="69">
        <v>5.4098360655737705E-2</v>
      </c>
    </row>
    <row r="8741" spans="1:7" x14ac:dyDescent="0.3">
      <c r="A8741" s="24">
        <v>43619</v>
      </c>
      <c r="B8741" s="66">
        <v>1613.1</v>
      </c>
      <c r="C8741" s="66">
        <v>2359.6999999999998</v>
      </c>
      <c r="D8741" s="70">
        <v>0</v>
      </c>
      <c r="E8741" s="111">
        <f t="shared" si="140"/>
        <v>138710</v>
      </c>
      <c r="F8741" s="69">
        <v>6.6467230510644834E-2</v>
      </c>
      <c r="G8741" s="69">
        <v>5.3950953678474113E-2</v>
      </c>
    </row>
    <row r="8742" spans="1:7" x14ac:dyDescent="0.3">
      <c r="A8742" s="24">
        <v>43620</v>
      </c>
      <c r="B8742" s="66">
        <v>1613.1</v>
      </c>
      <c r="C8742" s="66">
        <v>2360.1</v>
      </c>
      <c r="D8742" s="70">
        <v>0</v>
      </c>
      <c r="E8742" s="111">
        <f t="shared" si="140"/>
        <v>138710</v>
      </c>
      <c r="F8742" s="69">
        <v>6.6467230510644834E-2</v>
      </c>
      <c r="G8742" s="69">
        <v>5.3965658217497957E-2</v>
      </c>
    </row>
    <row r="8743" spans="1:7" x14ac:dyDescent="0.3">
      <c r="A8743" s="24">
        <v>43621</v>
      </c>
      <c r="B8743" s="66">
        <v>1613.1</v>
      </c>
      <c r="C8743" s="66">
        <v>2380</v>
      </c>
      <c r="D8743" s="70">
        <v>0</v>
      </c>
      <c r="E8743" s="111">
        <f t="shared" si="140"/>
        <v>138710</v>
      </c>
      <c r="F8743" s="69">
        <v>6.6467230510644834E-2</v>
      </c>
      <c r="G8743" s="69">
        <v>5.3950953678474113E-2</v>
      </c>
    </row>
    <row r="8744" spans="1:7" x14ac:dyDescent="0.3">
      <c r="A8744" s="24">
        <v>43622</v>
      </c>
      <c r="B8744" s="66">
        <v>1613.1</v>
      </c>
      <c r="C8744" s="66">
        <v>2362.4</v>
      </c>
      <c r="D8744" s="70">
        <v>0</v>
      </c>
      <c r="E8744" s="111">
        <f t="shared" si="140"/>
        <v>138710</v>
      </c>
      <c r="F8744" s="69">
        <v>6.6467230510644834E-2</v>
      </c>
      <c r="G8744" s="69">
        <v>5.3956834532374105E-2</v>
      </c>
    </row>
    <row r="8745" spans="1:7" x14ac:dyDescent="0.3">
      <c r="A8745" s="24">
        <v>43623</v>
      </c>
      <c r="B8745" s="66">
        <v>1613.1</v>
      </c>
      <c r="C8745" s="66">
        <v>2360</v>
      </c>
      <c r="D8745" s="70">
        <v>0</v>
      </c>
      <c r="E8745" s="111">
        <f t="shared" si="140"/>
        <v>138710</v>
      </c>
      <c r="F8745" s="69">
        <v>6.6467230510644834E-2</v>
      </c>
      <c r="G8745" s="69">
        <v>5.3950953678474113E-2</v>
      </c>
    </row>
    <row r="8746" spans="1:7" x14ac:dyDescent="0.3">
      <c r="A8746" s="24">
        <v>43624</v>
      </c>
      <c r="B8746" s="66">
        <v>1613.1</v>
      </c>
      <c r="C8746" s="66">
        <v>2360</v>
      </c>
      <c r="D8746" s="70">
        <v>0</v>
      </c>
      <c r="E8746" s="111">
        <f t="shared" si="140"/>
        <v>138710</v>
      </c>
      <c r="F8746" s="69">
        <v>6.6467230510644834E-2</v>
      </c>
      <c r="G8746" s="69">
        <v>5.3950953678474113E-2</v>
      </c>
    </row>
    <row r="8747" spans="1:7" x14ac:dyDescent="0.3">
      <c r="A8747" s="24">
        <v>43625</v>
      </c>
      <c r="B8747" s="66">
        <v>1613.1</v>
      </c>
      <c r="C8747" s="66">
        <v>2360</v>
      </c>
      <c r="D8747" s="70">
        <v>0</v>
      </c>
      <c r="E8747" s="111">
        <f t="shared" si="140"/>
        <v>138710</v>
      </c>
      <c r="F8747" s="69">
        <v>6.6467230510644834E-2</v>
      </c>
      <c r="G8747" s="69">
        <v>5.3950953678474113E-2</v>
      </c>
    </row>
    <row r="8748" spans="1:7" x14ac:dyDescent="0.3">
      <c r="A8748" s="24">
        <v>43626</v>
      </c>
      <c r="B8748" s="66">
        <v>1613.1</v>
      </c>
      <c r="C8748" s="66">
        <v>2380.5</v>
      </c>
      <c r="D8748" s="70">
        <v>0</v>
      </c>
      <c r="E8748" s="111">
        <f t="shared" si="140"/>
        <v>138710</v>
      </c>
      <c r="F8748" s="69">
        <v>6.6467230510644834E-2</v>
      </c>
      <c r="G8748" s="69">
        <v>5.3950953678474113E-2</v>
      </c>
    </row>
    <row r="8749" spans="1:7" x14ac:dyDescent="0.3">
      <c r="A8749" s="24">
        <v>43627</v>
      </c>
      <c r="B8749" s="66">
        <v>1613.1</v>
      </c>
      <c r="C8749" s="66">
        <v>2378</v>
      </c>
      <c r="D8749" s="70">
        <v>0</v>
      </c>
      <c r="E8749" s="111">
        <f t="shared" si="140"/>
        <v>138710</v>
      </c>
      <c r="F8749" s="69">
        <v>6.6467230510644834E-2</v>
      </c>
      <c r="G8749" s="69">
        <v>5.3950953678474113E-2</v>
      </c>
    </row>
    <row r="8750" spans="1:7" x14ac:dyDescent="0.3">
      <c r="A8750" s="24">
        <v>43628</v>
      </c>
      <c r="B8750" s="66">
        <v>1613.1</v>
      </c>
      <c r="C8750" s="66">
        <v>2373.9</v>
      </c>
      <c r="D8750" s="70">
        <v>0</v>
      </c>
      <c r="E8750" s="111">
        <f t="shared" si="140"/>
        <v>138710</v>
      </c>
      <c r="F8750" s="69">
        <v>6.6467230510644834E-2</v>
      </c>
      <c r="G8750" s="69">
        <v>5.3950953678474113E-2</v>
      </c>
    </row>
    <row r="8751" spans="1:7" x14ac:dyDescent="0.3">
      <c r="A8751" s="24">
        <v>43629</v>
      </c>
      <c r="B8751" s="66">
        <v>1613.1</v>
      </c>
      <c r="C8751" s="66">
        <v>2390</v>
      </c>
      <c r="D8751" s="70">
        <v>0</v>
      </c>
      <c r="E8751" s="111">
        <f t="shared" si="140"/>
        <v>138710</v>
      </c>
      <c r="F8751" s="69">
        <v>6.6467230510644834E-2</v>
      </c>
      <c r="G8751" s="69">
        <v>5.3950953678474113E-2</v>
      </c>
    </row>
    <row r="8752" spans="1:7" x14ac:dyDescent="0.3">
      <c r="A8752" s="24">
        <v>43630</v>
      </c>
      <c r="B8752" s="66">
        <v>1613.1</v>
      </c>
      <c r="C8752" s="66">
        <v>2390</v>
      </c>
      <c r="D8752" s="70">
        <v>0</v>
      </c>
      <c r="E8752" s="111">
        <f t="shared" si="140"/>
        <v>138710</v>
      </c>
      <c r="F8752" s="69">
        <v>6.6467230510644834E-2</v>
      </c>
      <c r="G8752" s="69">
        <v>5.3951541706176637E-2</v>
      </c>
    </row>
    <row r="8753" spans="1:7" x14ac:dyDescent="0.3">
      <c r="A8753" s="24">
        <v>43631</v>
      </c>
      <c r="B8753" s="66">
        <v>1613.1</v>
      </c>
      <c r="C8753" s="66">
        <v>2390</v>
      </c>
      <c r="D8753" s="70">
        <v>0</v>
      </c>
      <c r="E8753" s="111">
        <f t="shared" si="140"/>
        <v>138710</v>
      </c>
      <c r="F8753" s="69">
        <v>6.6467230510644834E-2</v>
      </c>
      <c r="G8753" s="69">
        <v>5.3951541706176637E-2</v>
      </c>
    </row>
    <row r="8754" spans="1:7" x14ac:dyDescent="0.3">
      <c r="A8754" s="24">
        <v>43632</v>
      </c>
      <c r="B8754" s="66">
        <v>1613.1</v>
      </c>
      <c r="C8754" s="66">
        <v>2390</v>
      </c>
      <c r="D8754" s="70">
        <v>0</v>
      </c>
      <c r="E8754" s="111">
        <f t="shared" si="140"/>
        <v>138710</v>
      </c>
      <c r="F8754" s="69">
        <v>6.6467230510644834E-2</v>
      </c>
      <c r="G8754" s="69">
        <v>5.3951541706176637E-2</v>
      </c>
    </row>
    <row r="8755" spans="1:7" x14ac:dyDescent="0.3">
      <c r="A8755" s="24">
        <v>43633</v>
      </c>
      <c r="B8755" s="66">
        <v>1613.1</v>
      </c>
      <c r="C8755" s="66">
        <v>2401.1</v>
      </c>
      <c r="D8755" s="70">
        <v>0</v>
      </c>
      <c r="E8755" s="111">
        <f t="shared" si="140"/>
        <v>138710</v>
      </c>
      <c r="F8755" s="69">
        <v>6.6467230510644834E-2</v>
      </c>
      <c r="G8755" s="69">
        <v>5.3804347826086958E-2</v>
      </c>
    </row>
    <row r="8756" spans="1:7" x14ac:dyDescent="0.3">
      <c r="A8756" s="24">
        <v>43634</v>
      </c>
      <c r="B8756" s="66">
        <v>1613.1</v>
      </c>
      <c r="C8756" s="66">
        <v>2390</v>
      </c>
      <c r="D8756" s="70">
        <v>0</v>
      </c>
      <c r="E8756" s="111">
        <f t="shared" si="140"/>
        <v>138710</v>
      </c>
      <c r="F8756" s="69">
        <v>6.6467230510644834E-2</v>
      </c>
      <c r="G8756" s="69">
        <v>5.3658536585365853E-2</v>
      </c>
    </row>
    <row r="8757" spans="1:7" x14ac:dyDescent="0.3">
      <c r="A8757" s="24">
        <v>43635</v>
      </c>
      <c r="B8757" s="66">
        <v>1613.1</v>
      </c>
      <c r="C8757" s="66">
        <v>2390</v>
      </c>
      <c r="D8757" s="70">
        <v>0</v>
      </c>
      <c r="E8757" s="111">
        <f t="shared" si="140"/>
        <v>138710</v>
      </c>
      <c r="F8757" s="69">
        <v>6.6467230510644834E-2</v>
      </c>
      <c r="G8757" s="69">
        <v>5.322552029290166E-2</v>
      </c>
    </row>
    <row r="8758" spans="1:7" x14ac:dyDescent="0.3">
      <c r="A8758" s="24">
        <v>43636</v>
      </c>
      <c r="B8758" s="66">
        <v>1613.1</v>
      </c>
      <c r="C8758" s="66">
        <v>2375</v>
      </c>
      <c r="D8758" s="70">
        <v>0</v>
      </c>
      <c r="E8758" s="111">
        <f t="shared" si="140"/>
        <v>138710</v>
      </c>
      <c r="F8758" s="69">
        <v>6.6467230510644834E-2</v>
      </c>
      <c r="G8758" s="69">
        <v>5.32258064516129E-2</v>
      </c>
    </row>
    <row r="8759" spans="1:7" x14ac:dyDescent="0.3">
      <c r="A8759" s="24">
        <v>43637</v>
      </c>
      <c r="B8759" s="66">
        <v>1613.1</v>
      </c>
      <c r="C8759" s="66">
        <v>2380</v>
      </c>
      <c r="D8759" s="70">
        <v>0</v>
      </c>
      <c r="E8759" s="111">
        <f t="shared" si="140"/>
        <v>138710</v>
      </c>
      <c r="F8759" s="69">
        <v>6.6467230510644834E-2</v>
      </c>
      <c r="G8759" s="69">
        <v>5.3369272237196765E-2</v>
      </c>
    </row>
    <row r="8760" spans="1:7" x14ac:dyDescent="0.3">
      <c r="A8760" s="24">
        <v>43638</v>
      </c>
      <c r="B8760" s="66">
        <v>1613.1</v>
      </c>
      <c r="C8760" s="66">
        <v>2380</v>
      </c>
      <c r="D8760" s="70">
        <v>0</v>
      </c>
      <c r="E8760" s="111">
        <f t="shared" si="140"/>
        <v>138710</v>
      </c>
      <c r="F8760" s="69">
        <v>6.6467230510644834E-2</v>
      </c>
      <c r="G8760" s="69">
        <v>5.3369272237196765E-2</v>
      </c>
    </row>
    <row r="8761" spans="1:7" x14ac:dyDescent="0.3">
      <c r="A8761" s="24">
        <v>43639</v>
      </c>
      <c r="B8761" s="66">
        <v>1613.1</v>
      </c>
      <c r="C8761" s="66">
        <v>2380</v>
      </c>
      <c r="D8761" s="70">
        <v>0</v>
      </c>
      <c r="E8761" s="111">
        <f t="shared" si="140"/>
        <v>138710</v>
      </c>
      <c r="F8761" s="69">
        <v>6.6467230510644834E-2</v>
      </c>
      <c r="G8761" s="69">
        <v>5.3369272237196765E-2</v>
      </c>
    </row>
    <row r="8762" spans="1:7" x14ac:dyDescent="0.3">
      <c r="A8762" s="24">
        <v>43640</v>
      </c>
      <c r="B8762" s="66">
        <v>1613.1</v>
      </c>
      <c r="C8762" s="66">
        <v>2360.6</v>
      </c>
      <c r="D8762" s="70">
        <v>0</v>
      </c>
      <c r="E8762" s="111">
        <f t="shared" si="140"/>
        <v>138710</v>
      </c>
      <c r="F8762" s="69">
        <v>6.6467230510644834E-2</v>
      </c>
      <c r="G8762" s="69">
        <v>5.3513513513513515E-2</v>
      </c>
    </row>
    <row r="8763" spans="1:7" x14ac:dyDescent="0.3">
      <c r="A8763" s="24">
        <v>43641</v>
      </c>
      <c r="B8763" s="66">
        <v>1613.1</v>
      </c>
      <c r="C8763" s="66">
        <v>2360</v>
      </c>
      <c r="D8763" s="70">
        <v>13.5</v>
      </c>
      <c r="E8763" s="111">
        <f t="shared" si="140"/>
        <v>138710</v>
      </c>
      <c r="F8763" s="69">
        <v>6.6802923594031935E-2</v>
      </c>
      <c r="G8763" s="69">
        <v>5.3783783783783783E-2</v>
      </c>
    </row>
    <row r="8764" spans="1:7" x14ac:dyDescent="0.3">
      <c r="A8764" s="24">
        <v>43642</v>
      </c>
      <c r="B8764" s="66">
        <v>1613.1</v>
      </c>
      <c r="C8764" s="66">
        <v>2360</v>
      </c>
      <c r="D8764" s="70">
        <v>0</v>
      </c>
      <c r="E8764" s="111">
        <f t="shared" si="140"/>
        <v>138710</v>
      </c>
      <c r="F8764" s="69">
        <v>6.6802923594031935E-2</v>
      </c>
      <c r="G8764" s="69">
        <v>5.3638814016172508E-2</v>
      </c>
    </row>
    <row r="8765" spans="1:7" x14ac:dyDescent="0.3">
      <c r="A8765" s="24">
        <v>43643</v>
      </c>
      <c r="B8765" s="66">
        <v>1613.1</v>
      </c>
      <c r="C8765" s="66">
        <v>2400</v>
      </c>
      <c r="D8765" s="70">
        <v>0</v>
      </c>
      <c r="E8765" s="111">
        <f t="shared" si="140"/>
        <v>138710</v>
      </c>
      <c r="F8765" s="69">
        <v>6.6802923594031935E-2</v>
      </c>
      <c r="G8765" s="69">
        <v>5.3783783783783783E-2</v>
      </c>
    </row>
    <row r="8766" spans="1:7" x14ac:dyDescent="0.3">
      <c r="A8766" s="24">
        <v>43644</v>
      </c>
      <c r="B8766" s="66">
        <v>1613.1</v>
      </c>
      <c r="C8766" s="66">
        <v>2399.9</v>
      </c>
      <c r="D8766" s="70">
        <v>0</v>
      </c>
      <c r="E8766" s="111">
        <f t="shared" si="140"/>
        <v>138710</v>
      </c>
      <c r="F8766" s="69">
        <v>6.6802923594031935E-2</v>
      </c>
      <c r="G8766" s="69">
        <v>5.3494623655913981E-2</v>
      </c>
    </row>
    <row r="8767" spans="1:7" x14ac:dyDescent="0.3">
      <c r="A8767" s="24">
        <v>43645</v>
      </c>
      <c r="B8767" s="66">
        <v>1613.1</v>
      </c>
      <c r="C8767" s="66">
        <v>2399.9</v>
      </c>
      <c r="D8767" s="70">
        <v>0</v>
      </c>
      <c r="E8767" s="111">
        <f t="shared" si="140"/>
        <v>138710</v>
      </c>
      <c r="F8767" s="69">
        <v>6.6802923594031935E-2</v>
      </c>
      <c r="G8767" s="69">
        <v>5.3494623655913981E-2</v>
      </c>
    </row>
    <row r="8768" spans="1:7" x14ac:dyDescent="0.3">
      <c r="A8768" s="24">
        <v>43646</v>
      </c>
      <c r="B8768" s="66">
        <v>1613.1</v>
      </c>
      <c r="C8768" s="66">
        <v>2399.9</v>
      </c>
      <c r="D8768" s="70">
        <v>0</v>
      </c>
      <c r="E8768" s="111">
        <f t="shared" si="140"/>
        <v>138710</v>
      </c>
      <c r="F8768" s="69">
        <v>6.6802923594031935E-2</v>
      </c>
      <c r="G8768" s="69">
        <v>5.3494623655913981E-2</v>
      </c>
    </row>
    <row r="8769" spans="1:7" x14ac:dyDescent="0.3">
      <c r="A8769" s="24">
        <v>43647</v>
      </c>
      <c r="B8769" s="66">
        <v>1613.1</v>
      </c>
      <c r="C8769" s="66">
        <v>2387.6999999999998</v>
      </c>
      <c r="D8769" s="70">
        <v>0</v>
      </c>
      <c r="E8769" s="111">
        <f t="shared" si="140"/>
        <v>138710</v>
      </c>
      <c r="F8769" s="69">
        <v>6.6802923594031935E-2</v>
      </c>
      <c r="G8769" s="69">
        <v>5.3494623655913981E-2</v>
      </c>
    </row>
    <row r="8770" spans="1:7" x14ac:dyDescent="0.3">
      <c r="A8770" s="24">
        <v>43648</v>
      </c>
      <c r="B8770" s="66">
        <v>1613.1</v>
      </c>
      <c r="C8770" s="66">
        <v>2379.5</v>
      </c>
      <c r="D8770" s="70">
        <v>0</v>
      </c>
      <c r="E8770" s="111">
        <f t="shared" si="140"/>
        <v>138710</v>
      </c>
      <c r="F8770" s="69">
        <v>6.6802923594031935E-2</v>
      </c>
      <c r="G8770" s="69">
        <v>5.3494623655913981E-2</v>
      </c>
    </row>
    <row r="8771" spans="1:7" x14ac:dyDescent="0.3">
      <c r="A8771" s="24">
        <v>43649</v>
      </c>
      <c r="B8771" s="66">
        <v>1613.1</v>
      </c>
      <c r="C8771" s="66">
        <v>2355.6</v>
      </c>
      <c r="D8771" s="70">
        <v>0</v>
      </c>
      <c r="E8771" s="111">
        <f t="shared" si="140"/>
        <v>138710</v>
      </c>
      <c r="F8771" s="69">
        <v>6.6802923594031935E-2</v>
      </c>
      <c r="G8771" s="69">
        <v>5.3351206434316352E-2</v>
      </c>
    </row>
    <row r="8772" spans="1:7" x14ac:dyDescent="0.3">
      <c r="A8772" s="24">
        <v>43650</v>
      </c>
      <c r="B8772" s="66">
        <v>1613.1</v>
      </c>
      <c r="C8772" s="66">
        <v>2360</v>
      </c>
      <c r="D8772" s="70">
        <v>0</v>
      </c>
      <c r="E8772" s="111">
        <f t="shared" si="140"/>
        <v>138710</v>
      </c>
      <c r="F8772" s="69">
        <v>6.6802923594031935E-2</v>
      </c>
      <c r="G8772" s="69">
        <v>5.3211401679234181E-2</v>
      </c>
    </row>
    <row r="8773" spans="1:7" x14ac:dyDescent="0.3">
      <c r="A8773" s="24">
        <v>43651</v>
      </c>
      <c r="B8773" s="66">
        <v>1613.1</v>
      </c>
      <c r="C8773" s="66">
        <v>2400</v>
      </c>
      <c r="D8773" s="70">
        <v>0</v>
      </c>
      <c r="E8773" s="111">
        <f t="shared" si="140"/>
        <v>138710</v>
      </c>
      <c r="F8773" s="69">
        <v>6.6802923594031935E-2</v>
      </c>
      <c r="G8773" s="69">
        <v>5.2925531914893617E-2</v>
      </c>
    </row>
    <row r="8774" spans="1:7" x14ac:dyDescent="0.3">
      <c r="A8774" s="24">
        <v>43652</v>
      </c>
      <c r="B8774" s="66">
        <v>1613.1</v>
      </c>
      <c r="C8774" s="66">
        <v>2400</v>
      </c>
      <c r="D8774" s="70">
        <v>0</v>
      </c>
      <c r="E8774" s="111">
        <f t="shared" si="140"/>
        <v>138710</v>
      </c>
      <c r="F8774" s="69">
        <v>6.6802923594031935E-2</v>
      </c>
      <c r="G8774" s="69">
        <v>5.2925531914893617E-2</v>
      </c>
    </row>
    <row r="8775" spans="1:7" x14ac:dyDescent="0.3">
      <c r="A8775" s="24">
        <v>43653</v>
      </c>
      <c r="B8775" s="66">
        <v>1613.1</v>
      </c>
      <c r="C8775" s="66">
        <v>2400</v>
      </c>
      <c r="D8775" s="70">
        <v>0</v>
      </c>
      <c r="E8775" s="111">
        <f t="shared" si="140"/>
        <v>138710</v>
      </c>
      <c r="F8775" s="69">
        <v>6.6802923594031935E-2</v>
      </c>
      <c r="G8775" s="69">
        <v>5.2925531914893617E-2</v>
      </c>
    </row>
    <row r="8776" spans="1:7" x14ac:dyDescent="0.3">
      <c r="A8776" s="24">
        <v>43654</v>
      </c>
      <c r="B8776" s="66">
        <v>1613.1</v>
      </c>
      <c r="C8776" s="66">
        <v>2380.4</v>
      </c>
      <c r="D8776" s="70">
        <v>0</v>
      </c>
      <c r="E8776" s="111">
        <f t="shared" si="140"/>
        <v>138710</v>
      </c>
      <c r="F8776" s="69">
        <v>6.6802923594031935E-2</v>
      </c>
      <c r="G8776" s="69">
        <v>5.2368421052631578E-2</v>
      </c>
    </row>
    <row r="8777" spans="1:7" x14ac:dyDescent="0.3">
      <c r="A8777" s="24">
        <v>43655</v>
      </c>
      <c r="B8777" s="66">
        <v>1613.1</v>
      </c>
      <c r="C8777" s="66">
        <v>2400</v>
      </c>
      <c r="D8777" s="70">
        <v>0</v>
      </c>
      <c r="E8777" s="111">
        <f t="shared" ref="E8777:E8840" si="141">+E8776</f>
        <v>138710</v>
      </c>
      <c r="F8777" s="69">
        <v>6.6802923594031935E-2</v>
      </c>
      <c r="G8777" s="69">
        <v>5.2365664965001842E-2</v>
      </c>
    </row>
    <row r="8778" spans="1:7" x14ac:dyDescent="0.3">
      <c r="A8778" s="24">
        <v>43656</v>
      </c>
      <c r="B8778" s="66">
        <v>1613.1</v>
      </c>
      <c r="C8778" s="66">
        <v>2399.9</v>
      </c>
      <c r="D8778" s="70">
        <v>0</v>
      </c>
      <c r="E8778" s="111">
        <f t="shared" si="141"/>
        <v>138710</v>
      </c>
      <c r="F8778" s="69">
        <v>6.6802923594031935E-2</v>
      </c>
      <c r="G8778" s="69">
        <v>5.2094240837696336E-2</v>
      </c>
    </row>
    <row r="8779" spans="1:7" x14ac:dyDescent="0.3">
      <c r="A8779" s="24">
        <v>43657</v>
      </c>
      <c r="B8779" s="66">
        <v>1613.1</v>
      </c>
      <c r="C8779" s="66">
        <v>2400</v>
      </c>
      <c r="D8779" s="70">
        <v>0</v>
      </c>
      <c r="E8779" s="111">
        <f t="shared" si="141"/>
        <v>138710</v>
      </c>
      <c r="F8779" s="69">
        <v>6.6802923594031935E-2</v>
      </c>
      <c r="G8779" s="69">
        <v>5.1025641025641028E-2</v>
      </c>
    </row>
    <row r="8780" spans="1:7" x14ac:dyDescent="0.3">
      <c r="A8780" s="24">
        <v>43658</v>
      </c>
      <c r="B8780" s="66">
        <v>1613.1</v>
      </c>
      <c r="C8780" s="66">
        <v>2400.5</v>
      </c>
      <c r="D8780" s="70">
        <v>0</v>
      </c>
      <c r="E8780" s="111">
        <f t="shared" si="141"/>
        <v>138710</v>
      </c>
      <c r="F8780" s="69">
        <v>6.6802923594031935E-2</v>
      </c>
      <c r="G8780" s="69">
        <v>5.1025641025641028E-2</v>
      </c>
    </row>
    <row r="8781" spans="1:7" x14ac:dyDescent="0.3">
      <c r="A8781" s="24">
        <v>43659</v>
      </c>
      <c r="B8781" s="66">
        <v>1613.1</v>
      </c>
      <c r="C8781" s="66">
        <v>2400.5</v>
      </c>
      <c r="D8781" s="70">
        <v>0</v>
      </c>
      <c r="E8781" s="111">
        <f t="shared" si="141"/>
        <v>138710</v>
      </c>
      <c r="F8781" s="69">
        <v>6.6802923594031935E-2</v>
      </c>
      <c r="G8781" s="69">
        <v>5.1025641025641028E-2</v>
      </c>
    </row>
    <row r="8782" spans="1:7" x14ac:dyDescent="0.3">
      <c r="A8782" s="24">
        <v>43660</v>
      </c>
      <c r="B8782" s="66">
        <v>1613.1</v>
      </c>
      <c r="C8782" s="66">
        <v>2400.5</v>
      </c>
      <c r="D8782" s="70">
        <v>0</v>
      </c>
      <c r="E8782" s="111">
        <f t="shared" si="141"/>
        <v>138710</v>
      </c>
      <c r="F8782" s="69">
        <v>6.6802923594031935E-2</v>
      </c>
      <c r="G8782" s="69">
        <v>5.1025641025641028E-2</v>
      </c>
    </row>
    <row r="8783" spans="1:7" x14ac:dyDescent="0.3">
      <c r="A8783" s="24">
        <v>43661</v>
      </c>
      <c r="B8783" s="66">
        <v>1613.1</v>
      </c>
      <c r="C8783" s="66">
        <v>2410.1</v>
      </c>
      <c r="D8783" s="70">
        <v>0</v>
      </c>
      <c r="E8783" s="111">
        <f t="shared" si="141"/>
        <v>138710</v>
      </c>
      <c r="F8783" s="69">
        <v>6.6802923594031935E-2</v>
      </c>
      <c r="G8783" s="69">
        <v>5.1025641025641028E-2</v>
      </c>
    </row>
    <row r="8784" spans="1:7" x14ac:dyDescent="0.3">
      <c r="A8784" s="24">
        <v>43662</v>
      </c>
      <c r="B8784" s="66">
        <v>1613.1</v>
      </c>
      <c r="C8784" s="66">
        <v>2410.1</v>
      </c>
      <c r="D8784" s="70">
        <v>0</v>
      </c>
      <c r="E8784" s="111">
        <f t="shared" si="141"/>
        <v>138710</v>
      </c>
      <c r="F8784" s="69">
        <v>6.6802923594031935E-2</v>
      </c>
      <c r="G8784" s="69">
        <v>5.0947260624679983E-2</v>
      </c>
    </row>
    <row r="8785" spans="1:7" x14ac:dyDescent="0.3">
      <c r="A8785" s="24">
        <v>43663</v>
      </c>
      <c r="B8785" s="66">
        <v>1613.1</v>
      </c>
      <c r="C8785" s="66">
        <v>2435</v>
      </c>
      <c r="D8785" s="70">
        <v>0</v>
      </c>
      <c r="E8785" s="111">
        <f t="shared" si="141"/>
        <v>138710</v>
      </c>
      <c r="F8785" s="69">
        <v>6.6802923594031935E-2</v>
      </c>
      <c r="G8785" s="69">
        <v>5.1025641025641028E-2</v>
      </c>
    </row>
    <row r="8786" spans="1:7" x14ac:dyDescent="0.3">
      <c r="A8786" s="24">
        <v>43664</v>
      </c>
      <c r="B8786" s="66">
        <v>1613.1</v>
      </c>
      <c r="C8786" s="66">
        <v>2513.1</v>
      </c>
      <c r="D8786" s="70">
        <v>0</v>
      </c>
      <c r="E8786" s="111">
        <f t="shared" si="141"/>
        <v>138710</v>
      </c>
      <c r="F8786" s="69">
        <v>6.6802923594031935E-2</v>
      </c>
      <c r="G8786" s="69">
        <v>5.1025641025641028E-2</v>
      </c>
    </row>
    <row r="8787" spans="1:7" x14ac:dyDescent="0.3">
      <c r="A8787" s="24">
        <v>43665</v>
      </c>
      <c r="B8787" s="66">
        <v>1613.1</v>
      </c>
      <c r="C8787" s="66">
        <v>2545</v>
      </c>
      <c r="D8787" s="70">
        <v>0</v>
      </c>
      <c r="E8787" s="111">
        <f t="shared" si="141"/>
        <v>138710</v>
      </c>
      <c r="F8787" s="69">
        <v>6.6802923594031935E-2</v>
      </c>
      <c r="G8787" s="69">
        <v>5.0765306122448978E-2</v>
      </c>
    </row>
    <row r="8788" spans="1:7" x14ac:dyDescent="0.3">
      <c r="A8788" s="24">
        <v>43666</v>
      </c>
      <c r="B8788" s="66">
        <v>1613.1</v>
      </c>
      <c r="C8788" s="66">
        <v>2545</v>
      </c>
      <c r="D8788" s="70">
        <v>0</v>
      </c>
      <c r="E8788" s="111">
        <f t="shared" si="141"/>
        <v>138710</v>
      </c>
      <c r="F8788" s="69">
        <v>6.6802923594031935E-2</v>
      </c>
      <c r="G8788" s="69">
        <v>5.0765306122448978E-2</v>
      </c>
    </row>
    <row r="8789" spans="1:7" x14ac:dyDescent="0.3">
      <c r="A8789" s="24">
        <v>43667</v>
      </c>
      <c r="B8789" s="66">
        <v>1613.1</v>
      </c>
      <c r="C8789" s="66">
        <v>2545</v>
      </c>
      <c r="D8789" s="70">
        <v>0</v>
      </c>
      <c r="E8789" s="111">
        <f t="shared" si="141"/>
        <v>138710</v>
      </c>
      <c r="F8789" s="69">
        <v>6.6802923594031935E-2</v>
      </c>
      <c r="G8789" s="69">
        <v>5.0765306122448978E-2</v>
      </c>
    </row>
    <row r="8790" spans="1:7" x14ac:dyDescent="0.3">
      <c r="A8790" s="24">
        <v>43668</v>
      </c>
      <c r="B8790" s="66">
        <v>1613.1</v>
      </c>
      <c r="C8790" s="66">
        <v>2550.3000000000002</v>
      </c>
      <c r="D8790" s="70">
        <v>0</v>
      </c>
      <c r="E8790" s="111">
        <f t="shared" si="141"/>
        <v>138710</v>
      </c>
      <c r="F8790" s="69">
        <v>6.6802923594031935E-2</v>
      </c>
      <c r="G8790" s="69">
        <v>5.0765565130434336E-2</v>
      </c>
    </row>
    <row r="8791" spans="1:7" x14ac:dyDescent="0.3">
      <c r="A8791" s="24">
        <v>43669</v>
      </c>
      <c r="B8791" s="66">
        <v>1613.1</v>
      </c>
      <c r="C8791" s="66">
        <v>2552</v>
      </c>
      <c r="D8791" s="70">
        <v>0</v>
      </c>
      <c r="E8791" s="111">
        <f t="shared" si="141"/>
        <v>138710</v>
      </c>
      <c r="F8791" s="69">
        <v>6.6802923594031935E-2</v>
      </c>
      <c r="G8791" s="69">
        <v>5.0765306122448978E-2</v>
      </c>
    </row>
    <row r="8792" spans="1:7" x14ac:dyDescent="0.3">
      <c r="A8792" s="24">
        <v>43670</v>
      </c>
      <c r="B8792" s="66">
        <v>1613.1</v>
      </c>
      <c r="C8792" s="66">
        <v>2565</v>
      </c>
      <c r="D8792" s="70">
        <v>0</v>
      </c>
      <c r="E8792" s="111">
        <f t="shared" si="141"/>
        <v>138710</v>
      </c>
      <c r="F8792" s="69">
        <v>6.6802923594031935E-2</v>
      </c>
      <c r="G8792" s="69">
        <v>5.0765565130434336E-2</v>
      </c>
    </row>
    <row r="8793" spans="1:7" x14ac:dyDescent="0.3">
      <c r="A8793" s="24">
        <v>43671</v>
      </c>
      <c r="B8793" s="66">
        <v>1613.1</v>
      </c>
      <c r="C8793" s="66">
        <v>2610</v>
      </c>
      <c r="D8793" s="70">
        <v>0</v>
      </c>
      <c r="E8793" s="111">
        <f t="shared" si="141"/>
        <v>138710</v>
      </c>
      <c r="F8793" s="69">
        <v>6.6802923594031935E-2</v>
      </c>
      <c r="G8793" s="69">
        <v>5.0765306122448978E-2</v>
      </c>
    </row>
    <row r="8794" spans="1:7" x14ac:dyDescent="0.3">
      <c r="A8794" s="24">
        <v>43672</v>
      </c>
      <c r="B8794" s="66">
        <v>1613.1</v>
      </c>
      <c r="C8794" s="66">
        <v>2610</v>
      </c>
      <c r="D8794" s="70">
        <v>0</v>
      </c>
      <c r="E8794" s="111">
        <f t="shared" si="141"/>
        <v>138710</v>
      </c>
      <c r="F8794" s="69">
        <v>6.6802923594031935E-2</v>
      </c>
      <c r="G8794" s="69">
        <v>5.0765306122448978E-2</v>
      </c>
    </row>
    <row r="8795" spans="1:7" x14ac:dyDescent="0.3">
      <c r="A8795" s="24">
        <v>43673</v>
      </c>
      <c r="B8795" s="66">
        <v>1613.1</v>
      </c>
      <c r="C8795" s="66">
        <v>2610</v>
      </c>
      <c r="D8795" s="70">
        <v>0</v>
      </c>
      <c r="E8795" s="111">
        <f t="shared" si="141"/>
        <v>138710</v>
      </c>
      <c r="F8795" s="69">
        <v>6.6802923594031935E-2</v>
      </c>
      <c r="G8795" s="69">
        <v>5.0765306122448978E-2</v>
      </c>
    </row>
    <row r="8796" spans="1:7" x14ac:dyDescent="0.3">
      <c r="A8796" s="24">
        <v>43674</v>
      </c>
      <c r="B8796" s="66">
        <v>1613.1</v>
      </c>
      <c r="C8796" s="66">
        <v>2610</v>
      </c>
      <c r="D8796" s="70">
        <v>0</v>
      </c>
      <c r="E8796" s="111">
        <f t="shared" si="141"/>
        <v>138710</v>
      </c>
      <c r="F8796" s="69">
        <v>6.6802923594031935E-2</v>
      </c>
      <c r="G8796" s="69">
        <v>5.0765306122448978E-2</v>
      </c>
    </row>
    <row r="8797" spans="1:7" x14ac:dyDescent="0.3">
      <c r="A8797" s="24">
        <v>43675</v>
      </c>
      <c r="B8797" s="66">
        <v>1613.1</v>
      </c>
      <c r="C8797" s="66">
        <v>2610.5</v>
      </c>
      <c r="D8797" s="70">
        <v>0</v>
      </c>
      <c r="E8797" s="111">
        <f t="shared" si="141"/>
        <v>138710</v>
      </c>
      <c r="F8797" s="69">
        <v>6.6802923594031935E-2</v>
      </c>
      <c r="G8797" s="69">
        <v>5.0765306122448978E-2</v>
      </c>
    </row>
    <row r="8798" spans="1:7" x14ac:dyDescent="0.3">
      <c r="A8798" s="24">
        <v>43676</v>
      </c>
      <c r="B8798" s="66">
        <v>1613.1</v>
      </c>
      <c r="C8798" s="66">
        <v>2600</v>
      </c>
      <c r="D8798" s="70">
        <v>0</v>
      </c>
      <c r="E8798" s="111">
        <f t="shared" si="141"/>
        <v>138710</v>
      </c>
      <c r="F8798" s="69">
        <v>6.6802923594031935E-2</v>
      </c>
      <c r="G8798" s="69">
        <v>5.0507614213197972E-2</v>
      </c>
    </row>
    <row r="8799" spans="1:7" x14ac:dyDescent="0.3">
      <c r="A8799" s="24">
        <v>43677</v>
      </c>
      <c r="B8799" s="66">
        <v>1613.1</v>
      </c>
      <c r="C8799" s="66">
        <v>2639.9</v>
      </c>
      <c r="D8799" s="70">
        <v>0</v>
      </c>
      <c r="E8799" s="111">
        <f t="shared" si="141"/>
        <v>138710</v>
      </c>
      <c r="F8799" s="69">
        <v>6.6802923594031935E-2</v>
      </c>
      <c r="G8799" s="69">
        <v>5.063613231552163E-2</v>
      </c>
    </row>
    <row r="8800" spans="1:7" x14ac:dyDescent="0.3">
      <c r="A8800" s="24">
        <v>43678</v>
      </c>
      <c r="B8800" s="66">
        <v>1613.1</v>
      </c>
      <c r="C8800" s="66">
        <v>2644.1</v>
      </c>
      <c r="D8800" s="70">
        <v>0</v>
      </c>
      <c r="E8800" s="111">
        <f t="shared" si="141"/>
        <v>138710</v>
      </c>
      <c r="F8800" s="69">
        <v>6.6802923594031935E-2</v>
      </c>
      <c r="G8800" s="69">
        <v>5.0507357830670917E-2</v>
      </c>
    </row>
    <row r="8801" spans="1:7" x14ac:dyDescent="0.3">
      <c r="A8801" s="24">
        <v>43679</v>
      </c>
      <c r="B8801" s="66">
        <v>1613.1</v>
      </c>
      <c r="C8801" s="66">
        <v>2640</v>
      </c>
      <c r="D8801" s="70">
        <v>0</v>
      </c>
      <c r="E8801" s="111">
        <f t="shared" si="141"/>
        <v>138710</v>
      </c>
      <c r="F8801" s="69">
        <v>6.6802923594031935E-2</v>
      </c>
      <c r="G8801" s="69">
        <v>5.025252525252525E-2</v>
      </c>
    </row>
    <row r="8802" spans="1:7" x14ac:dyDescent="0.3">
      <c r="A8802" s="24">
        <v>43680</v>
      </c>
      <c r="B8802" s="66">
        <v>1613.1</v>
      </c>
      <c r="C8802" s="66">
        <v>2640</v>
      </c>
      <c r="D8802" s="70">
        <v>0</v>
      </c>
      <c r="E8802" s="111">
        <f t="shared" si="141"/>
        <v>138710</v>
      </c>
      <c r="F8802" s="69">
        <v>6.6802923594031935E-2</v>
      </c>
      <c r="G8802" s="69">
        <v>5.025252525252525E-2</v>
      </c>
    </row>
    <row r="8803" spans="1:7" x14ac:dyDescent="0.3">
      <c r="A8803" s="24">
        <v>43681</v>
      </c>
      <c r="B8803" s="66">
        <v>1613.1</v>
      </c>
      <c r="C8803" s="66">
        <v>2640</v>
      </c>
      <c r="D8803" s="70">
        <v>0</v>
      </c>
      <c r="E8803" s="111">
        <f t="shared" si="141"/>
        <v>138710</v>
      </c>
      <c r="F8803" s="69">
        <v>6.6802923594031935E-2</v>
      </c>
      <c r="G8803" s="69">
        <v>5.025252525252525E-2</v>
      </c>
    </row>
    <row r="8804" spans="1:7" x14ac:dyDescent="0.3">
      <c r="A8804" s="24">
        <v>43682</v>
      </c>
      <c r="B8804" s="66">
        <v>1613.1</v>
      </c>
      <c r="C8804" s="66">
        <v>2634.5</v>
      </c>
      <c r="D8804" s="70">
        <v>0</v>
      </c>
      <c r="E8804" s="111">
        <f t="shared" si="141"/>
        <v>138710</v>
      </c>
      <c r="F8804" s="69">
        <v>6.6802923594031935E-2</v>
      </c>
      <c r="G8804" s="69">
        <v>0.05</v>
      </c>
    </row>
    <row r="8805" spans="1:7" x14ac:dyDescent="0.3">
      <c r="A8805" s="24">
        <v>43683</v>
      </c>
      <c r="B8805" s="66">
        <v>1613.1</v>
      </c>
      <c r="C8805" s="66">
        <v>2650</v>
      </c>
      <c r="D8805" s="70">
        <v>0</v>
      </c>
      <c r="E8805" s="111">
        <f t="shared" si="141"/>
        <v>138710</v>
      </c>
      <c r="F8805" s="69">
        <v>6.6802923594031935E-2</v>
      </c>
      <c r="G8805" s="69">
        <v>5.0000251257544003E-2</v>
      </c>
    </row>
    <row r="8806" spans="1:7" x14ac:dyDescent="0.3">
      <c r="A8806" s="24">
        <v>43684</v>
      </c>
      <c r="B8806" s="66">
        <v>1613.1</v>
      </c>
      <c r="C8806" s="66">
        <v>2650</v>
      </c>
      <c r="D8806" s="70">
        <v>0</v>
      </c>
      <c r="E8806" s="111">
        <f t="shared" si="141"/>
        <v>138710</v>
      </c>
      <c r="F8806" s="69">
        <v>6.6802923594031935E-2</v>
      </c>
      <c r="G8806" s="69">
        <v>4.9874686716791981E-2</v>
      </c>
    </row>
    <row r="8807" spans="1:7" x14ac:dyDescent="0.3">
      <c r="A8807" s="24">
        <v>43685</v>
      </c>
      <c r="B8807" s="66">
        <v>1613.1</v>
      </c>
      <c r="C8807" s="66">
        <v>2650</v>
      </c>
      <c r="D8807" s="70">
        <v>0</v>
      </c>
      <c r="E8807" s="111">
        <f t="shared" si="141"/>
        <v>138710</v>
      </c>
      <c r="F8807" s="69">
        <v>6.6802923594031935E-2</v>
      </c>
      <c r="G8807" s="69">
        <v>4.9849699398797596E-2</v>
      </c>
    </row>
    <row r="8808" spans="1:7" x14ac:dyDescent="0.3">
      <c r="A8808" s="24">
        <v>43686</v>
      </c>
      <c r="B8808" s="66">
        <v>1613.1</v>
      </c>
      <c r="C8808" s="66">
        <v>2534.5</v>
      </c>
      <c r="D8808" s="70">
        <v>0</v>
      </c>
      <c r="E8808" s="111">
        <f t="shared" si="141"/>
        <v>138710</v>
      </c>
      <c r="F8808" s="69">
        <v>6.6802923594031935E-2</v>
      </c>
      <c r="G8808" s="69">
        <v>5.0379746835443037E-2</v>
      </c>
    </row>
    <row r="8809" spans="1:7" x14ac:dyDescent="0.3">
      <c r="A8809" s="24">
        <v>43687</v>
      </c>
      <c r="B8809" s="66">
        <v>1613.1</v>
      </c>
      <c r="C8809" s="66">
        <v>2534.5</v>
      </c>
      <c r="D8809" s="70">
        <v>0</v>
      </c>
      <c r="E8809" s="111">
        <f t="shared" si="141"/>
        <v>138710</v>
      </c>
      <c r="F8809" s="69">
        <v>6.6802923594031935E-2</v>
      </c>
      <c r="G8809" s="69">
        <v>5.0379746835443037E-2</v>
      </c>
    </row>
    <row r="8810" spans="1:7" x14ac:dyDescent="0.3">
      <c r="A8810" s="24">
        <v>43688</v>
      </c>
      <c r="B8810" s="66">
        <v>1613.1</v>
      </c>
      <c r="C8810" s="66">
        <v>2534.5</v>
      </c>
      <c r="D8810" s="70">
        <v>0</v>
      </c>
      <c r="E8810" s="111">
        <f t="shared" si="141"/>
        <v>138710</v>
      </c>
      <c r="F8810" s="69">
        <v>6.6802923594031935E-2</v>
      </c>
      <c r="G8810" s="69">
        <v>5.0379746835443037E-2</v>
      </c>
    </row>
    <row r="8811" spans="1:7" x14ac:dyDescent="0.3">
      <c r="A8811" s="24">
        <v>43689</v>
      </c>
      <c r="B8811" s="66">
        <v>1613.1</v>
      </c>
      <c r="C8811" s="66">
        <v>2645.1</v>
      </c>
      <c r="D8811" s="70">
        <v>0</v>
      </c>
      <c r="E8811" s="111">
        <f t="shared" si="141"/>
        <v>138710</v>
      </c>
      <c r="F8811" s="69">
        <v>6.7101592438132046E-2</v>
      </c>
      <c r="G8811" s="69">
        <v>0.05</v>
      </c>
    </row>
    <row r="8812" spans="1:7" x14ac:dyDescent="0.3">
      <c r="A8812" s="24">
        <v>43690</v>
      </c>
      <c r="B8812" s="66">
        <v>1613.1</v>
      </c>
      <c r="C8812" s="66">
        <v>2640</v>
      </c>
      <c r="D8812" s="70">
        <v>0</v>
      </c>
      <c r="E8812" s="111">
        <f t="shared" si="141"/>
        <v>138710</v>
      </c>
      <c r="F8812" s="69">
        <v>6.7101592438132046E-2</v>
      </c>
      <c r="G8812" s="69">
        <v>4.9849699398797596E-2</v>
      </c>
    </row>
    <row r="8813" spans="1:7" x14ac:dyDescent="0.3">
      <c r="A8813" s="24">
        <v>43691</v>
      </c>
      <c r="B8813" s="66">
        <v>1613.1</v>
      </c>
      <c r="C8813" s="66">
        <v>2613.6</v>
      </c>
      <c r="D8813" s="70">
        <v>0</v>
      </c>
      <c r="E8813" s="111">
        <f t="shared" si="141"/>
        <v>138710</v>
      </c>
      <c r="F8813" s="69">
        <v>6.7101592438132046E-2</v>
      </c>
      <c r="G8813" s="69">
        <v>4.9849699398797596E-2</v>
      </c>
    </row>
    <row r="8814" spans="1:7" x14ac:dyDescent="0.3">
      <c r="A8814" s="24">
        <v>43692</v>
      </c>
      <c r="B8814" s="66">
        <v>1613.1</v>
      </c>
      <c r="C8814" s="66">
        <v>2613.6</v>
      </c>
      <c r="D8814" s="70">
        <v>0</v>
      </c>
      <c r="E8814" s="111">
        <f t="shared" si="141"/>
        <v>138710</v>
      </c>
      <c r="F8814" s="69">
        <v>6.7101592438132046E-2</v>
      </c>
      <c r="G8814" s="69">
        <v>4.9902201715231451E-2</v>
      </c>
    </row>
    <row r="8815" spans="1:7" x14ac:dyDescent="0.3">
      <c r="A8815" s="24">
        <v>43693</v>
      </c>
      <c r="B8815" s="66">
        <v>1613.1</v>
      </c>
      <c r="C8815" s="66">
        <v>2648</v>
      </c>
      <c r="D8815" s="70">
        <v>0</v>
      </c>
      <c r="E8815" s="111">
        <f t="shared" si="141"/>
        <v>138710</v>
      </c>
      <c r="F8815" s="69">
        <v>6.7101592438132046E-2</v>
      </c>
      <c r="G8815" s="69">
        <v>4.9909711075441412E-2</v>
      </c>
    </row>
    <row r="8816" spans="1:7" x14ac:dyDescent="0.3">
      <c r="A8816" s="24">
        <v>43694</v>
      </c>
      <c r="B8816" s="66">
        <v>1613.1</v>
      </c>
      <c r="C8816" s="66">
        <v>2648</v>
      </c>
      <c r="D8816" s="70">
        <v>0</v>
      </c>
      <c r="E8816" s="111">
        <f t="shared" si="141"/>
        <v>138710</v>
      </c>
      <c r="F8816" s="69">
        <v>6.7101592438132046E-2</v>
      </c>
      <c r="G8816" s="69">
        <v>4.9909711075441412E-2</v>
      </c>
    </row>
    <row r="8817" spans="1:7" x14ac:dyDescent="0.3">
      <c r="A8817" s="24">
        <v>43695</v>
      </c>
      <c r="B8817" s="66">
        <v>1613.1</v>
      </c>
      <c r="C8817" s="66">
        <v>2648</v>
      </c>
      <c r="D8817" s="70">
        <v>0</v>
      </c>
      <c r="E8817" s="111">
        <f t="shared" si="141"/>
        <v>138710</v>
      </c>
      <c r="F8817" s="69">
        <v>6.7101592438132046E-2</v>
      </c>
      <c r="G8817" s="69">
        <v>4.9909711075441412E-2</v>
      </c>
    </row>
    <row r="8818" spans="1:7" x14ac:dyDescent="0.3">
      <c r="A8818" s="24">
        <v>43696</v>
      </c>
      <c r="B8818" s="66">
        <v>1613.1</v>
      </c>
      <c r="C8818" s="66">
        <v>2650</v>
      </c>
      <c r="D8818" s="70">
        <v>0</v>
      </c>
      <c r="E8818" s="111">
        <f t="shared" si="141"/>
        <v>138710</v>
      </c>
      <c r="F8818" s="69">
        <v>6.7101592438132046E-2</v>
      </c>
      <c r="G8818" s="69">
        <v>4.9924736578023078E-2</v>
      </c>
    </row>
    <row r="8819" spans="1:7" x14ac:dyDescent="0.3">
      <c r="A8819" s="24">
        <v>43697</v>
      </c>
      <c r="B8819" s="66">
        <v>1613.1</v>
      </c>
      <c r="C8819" s="66">
        <v>2649.9</v>
      </c>
      <c r="D8819" s="70">
        <v>0</v>
      </c>
      <c r="E8819" s="111">
        <f t="shared" si="141"/>
        <v>138710</v>
      </c>
      <c r="F8819" s="69">
        <v>6.7101592438132046E-2</v>
      </c>
      <c r="G8819" s="69">
        <v>5.0100704934541794E-2</v>
      </c>
    </row>
    <row r="8820" spans="1:7" x14ac:dyDescent="0.3">
      <c r="A8820" s="24">
        <v>43698</v>
      </c>
      <c r="B8820" s="66">
        <v>1613.1</v>
      </c>
      <c r="C8820" s="66">
        <v>2654.1</v>
      </c>
      <c r="D8820" s="70">
        <v>0</v>
      </c>
      <c r="E8820" s="111">
        <f t="shared" si="141"/>
        <v>138710</v>
      </c>
      <c r="F8820" s="69">
        <v>6.7101592438132046E-2</v>
      </c>
      <c r="G8820" s="69">
        <v>4.9874686716791981E-2</v>
      </c>
    </row>
    <row r="8821" spans="1:7" x14ac:dyDescent="0.3">
      <c r="A8821" s="24">
        <v>43699</v>
      </c>
      <c r="B8821" s="66">
        <v>1613.1</v>
      </c>
      <c r="C8821" s="66">
        <v>2655.1</v>
      </c>
      <c r="D8821" s="70">
        <v>0</v>
      </c>
      <c r="E8821" s="111">
        <f t="shared" si="141"/>
        <v>138710</v>
      </c>
      <c r="F8821" s="69">
        <v>6.7101592438132046E-2</v>
      </c>
      <c r="G8821" s="69">
        <v>4.9939771130295116E-2</v>
      </c>
    </row>
    <row r="8822" spans="1:7" x14ac:dyDescent="0.3">
      <c r="A8822" s="24">
        <v>43700</v>
      </c>
      <c r="B8822" s="66">
        <v>1605.702</v>
      </c>
      <c r="C8822" s="66">
        <v>2655</v>
      </c>
      <c r="D8822" s="70">
        <v>0</v>
      </c>
      <c r="E8822" s="111">
        <f t="shared" si="141"/>
        <v>138710</v>
      </c>
      <c r="F8822" s="69">
        <v>6.7101592438132046E-2</v>
      </c>
      <c r="G8822" s="69">
        <v>4.9899699097291875E-2</v>
      </c>
    </row>
    <row r="8823" spans="1:7" x14ac:dyDescent="0.3">
      <c r="A8823" s="24">
        <v>43701</v>
      </c>
      <c r="B8823" s="66">
        <v>1605.702</v>
      </c>
      <c r="C8823" s="66">
        <v>2655</v>
      </c>
      <c r="D8823" s="70">
        <v>0</v>
      </c>
      <c r="E8823" s="111">
        <f t="shared" si="141"/>
        <v>138710</v>
      </c>
      <c r="F8823" s="69">
        <v>6.7101592438132046E-2</v>
      </c>
      <c r="G8823" s="69">
        <v>4.9899699097291875E-2</v>
      </c>
    </row>
    <row r="8824" spans="1:7" x14ac:dyDescent="0.3">
      <c r="A8824" s="24">
        <v>43702</v>
      </c>
      <c r="B8824" s="66">
        <v>1605.702</v>
      </c>
      <c r="C8824" s="66">
        <v>2655</v>
      </c>
      <c r="D8824" s="70">
        <v>0</v>
      </c>
      <c r="E8824" s="111">
        <f t="shared" si="141"/>
        <v>138710</v>
      </c>
      <c r="F8824" s="69">
        <v>6.7101592438132046E-2</v>
      </c>
      <c r="G8824" s="69">
        <v>4.9899699097291875E-2</v>
      </c>
    </row>
    <row r="8825" spans="1:7" x14ac:dyDescent="0.3">
      <c r="A8825" s="24">
        <v>43703</v>
      </c>
      <c r="B8825" s="66">
        <v>1605.702</v>
      </c>
      <c r="C8825" s="66">
        <v>2650</v>
      </c>
      <c r="D8825" s="70">
        <v>0</v>
      </c>
      <c r="E8825" s="111">
        <f t="shared" si="141"/>
        <v>138710</v>
      </c>
      <c r="F8825" s="69">
        <v>6.7101592438132046E-2</v>
      </c>
      <c r="G8825" s="69">
        <v>5.0125944584382874E-2</v>
      </c>
    </row>
    <row r="8826" spans="1:7" x14ac:dyDescent="0.3">
      <c r="A8826" s="24">
        <v>43704</v>
      </c>
      <c r="B8826" s="66">
        <v>1605.702</v>
      </c>
      <c r="C8826" s="66">
        <v>2667.3</v>
      </c>
      <c r="D8826" s="70">
        <v>0</v>
      </c>
      <c r="E8826" s="111">
        <f t="shared" si="141"/>
        <v>138710</v>
      </c>
      <c r="F8826" s="69">
        <v>6.7101592438132046E-2</v>
      </c>
      <c r="G8826" s="69">
        <v>5.025252525252525E-2</v>
      </c>
    </row>
    <row r="8827" spans="1:7" x14ac:dyDescent="0.3">
      <c r="A8827" s="24">
        <v>43705</v>
      </c>
      <c r="B8827" s="66">
        <v>1605.702</v>
      </c>
      <c r="C8827" s="66">
        <v>2663.4</v>
      </c>
      <c r="D8827" s="70">
        <v>0</v>
      </c>
      <c r="E8827" s="111">
        <f t="shared" si="141"/>
        <v>138710</v>
      </c>
      <c r="F8827" s="69">
        <v>6.7101592438132046E-2</v>
      </c>
      <c r="G8827" s="69">
        <v>4.9762440610152538E-2</v>
      </c>
    </row>
    <row r="8828" spans="1:7" x14ac:dyDescent="0.3">
      <c r="A8828" s="24">
        <v>43706</v>
      </c>
      <c r="B8828" s="66">
        <v>1605.702</v>
      </c>
      <c r="C8828" s="66">
        <v>2677.5</v>
      </c>
      <c r="D8828" s="70">
        <v>0</v>
      </c>
      <c r="E8828" s="111">
        <f t="shared" si="141"/>
        <v>138710</v>
      </c>
      <c r="F8828" s="69">
        <v>6.7101592438132046E-2</v>
      </c>
      <c r="G8828" s="69">
        <v>5.025252525252525E-2</v>
      </c>
    </row>
    <row r="8829" spans="1:7" x14ac:dyDescent="0.3">
      <c r="A8829" s="24">
        <v>43707</v>
      </c>
      <c r="B8829" s="66">
        <v>1605.702</v>
      </c>
      <c r="C8829" s="66">
        <v>2675</v>
      </c>
      <c r="D8829" s="70">
        <v>0</v>
      </c>
      <c r="E8829" s="111">
        <f t="shared" si="141"/>
        <v>138710</v>
      </c>
      <c r="F8829" s="69">
        <v>6.7101592438132046E-2</v>
      </c>
      <c r="G8829" s="69">
        <v>0.05</v>
      </c>
    </row>
    <row r="8830" spans="1:7" x14ac:dyDescent="0.3">
      <c r="A8830" s="24">
        <v>43708</v>
      </c>
      <c r="B8830" s="66">
        <v>1605.702</v>
      </c>
      <c r="C8830" s="66">
        <v>2675</v>
      </c>
      <c r="D8830" s="70">
        <v>0</v>
      </c>
      <c r="E8830" s="111">
        <f t="shared" si="141"/>
        <v>138710</v>
      </c>
      <c r="F8830" s="69">
        <v>6.7101592438132046E-2</v>
      </c>
      <c r="G8830" s="69">
        <v>0.05</v>
      </c>
    </row>
    <row r="8831" spans="1:7" x14ac:dyDescent="0.3">
      <c r="A8831" s="24">
        <v>43709</v>
      </c>
      <c r="B8831" s="66">
        <v>1605.702</v>
      </c>
      <c r="C8831" s="66">
        <v>2675</v>
      </c>
      <c r="D8831" s="70">
        <v>0</v>
      </c>
      <c r="E8831" s="111">
        <f t="shared" si="141"/>
        <v>138710</v>
      </c>
      <c r="F8831" s="69">
        <v>6.7101592438132046E-2</v>
      </c>
      <c r="G8831" s="69">
        <v>0.05</v>
      </c>
    </row>
    <row r="8832" spans="1:7" x14ac:dyDescent="0.3">
      <c r="A8832" s="24">
        <v>43710</v>
      </c>
      <c r="B8832" s="66">
        <v>1605.702</v>
      </c>
      <c r="C8832" s="66">
        <v>2675</v>
      </c>
      <c r="D8832" s="70">
        <v>0</v>
      </c>
      <c r="E8832" s="111">
        <f t="shared" si="141"/>
        <v>138710</v>
      </c>
      <c r="F8832" s="69">
        <v>6.7101592438132046E-2</v>
      </c>
      <c r="G8832" s="69">
        <v>0.05</v>
      </c>
    </row>
    <row r="8833" spans="1:7" x14ac:dyDescent="0.3">
      <c r="A8833" s="24">
        <v>43711</v>
      </c>
      <c r="B8833" s="66">
        <v>1605.702</v>
      </c>
      <c r="C8833" s="66">
        <v>2674</v>
      </c>
      <c r="D8833" s="70">
        <v>0</v>
      </c>
      <c r="E8833" s="111">
        <f t="shared" si="141"/>
        <v>138710</v>
      </c>
      <c r="F8833" s="69">
        <v>6.7101592438132046E-2</v>
      </c>
      <c r="G8833" s="69">
        <v>5.0125944584382874E-2</v>
      </c>
    </row>
    <row r="8834" spans="1:7" x14ac:dyDescent="0.3">
      <c r="A8834" s="24">
        <v>43712</v>
      </c>
      <c r="B8834" s="66">
        <v>1605.702</v>
      </c>
      <c r="C8834" s="66">
        <v>2674</v>
      </c>
      <c r="D8834" s="70">
        <v>0</v>
      </c>
      <c r="E8834" s="111">
        <f t="shared" si="141"/>
        <v>138710</v>
      </c>
      <c r="F8834" s="69">
        <v>6.7101592438132046E-2</v>
      </c>
      <c r="G8834" s="69">
        <v>0.05</v>
      </c>
    </row>
    <row r="8835" spans="1:7" x14ac:dyDescent="0.3">
      <c r="A8835" s="24">
        <v>43713</v>
      </c>
      <c r="B8835" s="66">
        <v>1605.702</v>
      </c>
      <c r="C8835" s="66">
        <v>2665.1</v>
      </c>
      <c r="D8835" s="70">
        <v>0</v>
      </c>
      <c r="E8835" s="111">
        <f t="shared" si="141"/>
        <v>138710</v>
      </c>
      <c r="F8835" s="69">
        <v>6.7101592438132046E-2</v>
      </c>
      <c r="G8835" s="69">
        <v>5.0002512689079848E-2</v>
      </c>
    </row>
    <row r="8836" spans="1:7" x14ac:dyDescent="0.3">
      <c r="A8836" s="24">
        <v>43714</v>
      </c>
      <c r="B8836" s="66">
        <v>1605.702</v>
      </c>
      <c r="C8836" s="66">
        <v>2672.2</v>
      </c>
      <c r="D8836" s="70">
        <v>0</v>
      </c>
      <c r="E8836" s="111">
        <f t="shared" si="141"/>
        <v>138710</v>
      </c>
      <c r="F8836" s="69">
        <v>6.7101592438132046E-2</v>
      </c>
      <c r="G8836" s="69">
        <v>4.9750000000000003E-2</v>
      </c>
    </row>
    <row r="8837" spans="1:7" x14ac:dyDescent="0.3">
      <c r="A8837" s="24">
        <v>43715</v>
      </c>
      <c r="B8837" s="66">
        <v>1605.702</v>
      </c>
      <c r="C8837" s="66">
        <v>2672.2</v>
      </c>
      <c r="D8837" s="70">
        <v>0</v>
      </c>
      <c r="E8837" s="111">
        <f t="shared" si="141"/>
        <v>138710</v>
      </c>
      <c r="F8837" s="69">
        <v>6.7101592438132046E-2</v>
      </c>
      <c r="G8837" s="69">
        <v>4.9750000000000003E-2</v>
      </c>
    </row>
    <row r="8838" spans="1:7" x14ac:dyDescent="0.3">
      <c r="A8838" s="24">
        <v>43716</v>
      </c>
      <c r="B8838" s="66">
        <v>1605.702</v>
      </c>
      <c r="C8838" s="66">
        <v>2672.2</v>
      </c>
      <c r="D8838" s="70">
        <v>0</v>
      </c>
      <c r="E8838" s="111">
        <f t="shared" si="141"/>
        <v>138710</v>
      </c>
      <c r="F8838" s="69">
        <v>6.7101592438132046E-2</v>
      </c>
      <c r="G8838" s="69">
        <v>4.9750000000000003E-2</v>
      </c>
    </row>
    <row r="8839" spans="1:7" x14ac:dyDescent="0.3">
      <c r="A8839" s="24">
        <v>43717</v>
      </c>
      <c r="B8839" s="66">
        <v>1605.702</v>
      </c>
      <c r="C8839" s="66">
        <v>2653.2</v>
      </c>
      <c r="D8839" s="70">
        <v>0</v>
      </c>
      <c r="E8839" s="111">
        <f t="shared" si="141"/>
        <v>138710</v>
      </c>
      <c r="F8839" s="69">
        <v>6.7101592438132046E-2</v>
      </c>
      <c r="G8839" s="69">
        <v>4.9750000000000003E-2</v>
      </c>
    </row>
    <row r="8840" spans="1:7" x14ac:dyDescent="0.3">
      <c r="A8840" s="24">
        <v>43718</v>
      </c>
      <c r="B8840" s="66">
        <v>1605.702</v>
      </c>
      <c r="C8840" s="66">
        <v>2613.6999999999998</v>
      </c>
      <c r="D8840" s="70">
        <v>0</v>
      </c>
      <c r="E8840" s="111">
        <f t="shared" si="141"/>
        <v>138710</v>
      </c>
      <c r="F8840" s="69">
        <v>6.7101592438132046E-2</v>
      </c>
      <c r="G8840" s="69">
        <v>4.9750000000000003E-2</v>
      </c>
    </row>
    <row r="8841" spans="1:7" x14ac:dyDescent="0.3">
      <c r="A8841" s="24">
        <v>43719</v>
      </c>
      <c r="B8841" s="66">
        <v>1605.702</v>
      </c>
      <c r="C8841" s="66">
        <v>2599.6</v>
      </c>
      <c r="D8841" s="70">
        <v>0</v>
      </c>
      <c r="E8841" s="111">
        <f t="shared" ref="E8841:E8904" si="142">+E8840</f>
        <v>138710</v>
      </c>
      <c r="F8841" s="69">
        <v>6.7101592438132046E-2</v>
      </c>
      <c r="G8841" s="69">
        <v>4.95049504950495E-2</v>
      </c>
    </row>
    <row r="8842" spans="1:7" x14ac:dyDescent="0.3">
      <c r="A8842" s="24">
        <v>43720</v>
      </c>
      <c r="B8842" s="66">
        <v>1605.702</v>
      </c>
      <c r="C8842" s="66">
        <v>2480</v>
      </c>
      <c r="D8842" s="70">
        <v>0</v>
      </c>
      <c r="E8842" s="111">
        <f t="shared" si="142"/>
        <v>138710</v>
      </c>
      <c r="F8842" s="69">
        <v>6.7101592438132046E-2</v>
      </c>
      <c r="G8842" s="69">
        <v>4.9379652605459054E-2</v>
      </c>
    </row>
    <row r="8843" spans="1:7" x14ac:dyDescent="0.3">
      <c r="A8843" s="24">
        <v>43721</v>
      </c>
      <c r="B8843" s="66">
        <v>1605.702</v>
      </c>
      <c r="C8843" s="66">
        <v>2400</v>
      </c>
      <c r="D8843" s="70">
        <v>0</v>
      </c>
      <c r="E8843" s="111">
        <f t="shared" si="142"/>
        <v>138710</v>
      </c>
      <c r="F8843" s="69">
        <v>6.7101592438132046E-2</v>
      </c>
      <c r="G8843" s="69">
        <v>4.9014778325123153E-2</v>
      </c>
    </row>
    <row r="8844" spans="1:7" x14ac:dyDescent="0.3">
      <c r="A8844" s="24">
        <v>43722</v>
      </c>
      <c r="B8844" s="66">
        <v>1605.702</v>
      </c>
      <c r="C8844" s="66">
        <v>2400</v>
      </c>
      <c r="D8844" s="70">
        <v>0</v>
      </c>
      <c r="E8844" s="111">
        <f t="shared" si="142"/>
        <v>138710</v>
      </c>
      <c r="F8844" s="69">
        <v>6.7101592438132046E-2</v>
      </c>
      <c r="G8844" s="69">
        <v>4.9014778325123153E-2</v>
      </c>
    </row>
    <row r="8845" spans="1:7" x14ac:dyDescent="0.3">
      <c r="A8845" s="24">
        <v>43723</v>
      </c>
      <c r="B8845" s="66">
        <v>1605.702</v>
      </c>
      <c r="C8845" s="66">
        <v>2400</v>
      </c>
      <c r="D8845" s="70">
        <v>0</v>
      </c>
      <c r="E8845" s="111">
        <f t="shared" si="142"/>
        <v>138710</v>
      </c>
      <c r="F8845" s="69">
        <v>6.7101592438132046E-2</v>
      </c>
      <c r="G8845" s="69">
        <v>4.9014778325123153E-2</v>
      </c>
    </row>
    <row r="8846" spans="1:7" x14ac:dyDescent="0.3">
      <c r="A8846" s="24">
        <v>43724</v>
      </c>
      <c r="B8846" s="66">
        <v>1605.702</v>
      </c>
      <c r="C8846" s="66">
        <v>2450</v>
      </c>
      <c r="D8846" s="70">
        <v>0</v>
      </c>
      <c r="E8846" s="111">
        <f t="shared" si="142"/>
        <v>138710</v>
      </c>
      <c r="F8846" s="69">
        <v>6.7101592438132046E-2</v>
      </c>
      <c r="G8846" s="69">
        <v>4.9014778325123153E-2</v>
      </c>
    </row>
    <row r="8847" spans="1:7" x14ac:dyDescent="0.3">
      <c r="A8847" s="24">
        <v>43725</v>
      </c>
      <c r="B8847" s="66">
        <v>1605.702</v>
      </c>
      <c r="C8847" s="66">
        <v>2510</v>
      </c>
      <c r="D8847" s="70">
        <v>0</v>
      </c>
      <c r="E8847" s="111">
        <f t="shared" si="142"/>
        <v>138710</v>
      </c>
      <c r="F8847" s="69">
        <v>6.7101592438132046E-2</v>
      </c>
      <c r="G8847" s="69">
        <v>4.9014778325123153E-2</v>
      </c>
    </row>
    <row r="8848" spans="1:7" x14ac:dyDescent="0.3">
      <c r="A8848" s="24">
        <v>43726</v>
      </c>
      <c r="B8848" s="66">
        <v>1605.702</v>
      </c>
      <c r="C8848" s="66">
        <v>2510</v>
      </c>
      <c r="D8848" s="70">
        <v>0</v>
      </c>
      <c r="E8848" s="111">
        <f t="shared" si="142"/>
        <v>138710</v>
      </c>
      <c r="F8848" s="69">
        <v>6.7101592438132046E-2</v>
      </c>
      <c r="G8848" s="69">
        <v>4.9014778325123153E-2</v>
      </c>
    </row>
    <row r="8849" spans="1:7" x14ac:dyDescent="0.3">
      <c r="A8849" s="24">
        <v>43727</v>
      </c>
      <c r="B8849" s="66">
        <v>1605.702</v>
      </c>
      <c r="C8849" s="66">
        <v>2510</v>
      </c>
      <c r="D8849" s="70">
        <v>0</v>
      </c>
      <c r="E8849" s="111">
        <f t="shared" si="142"/>
        <v>138710</v>
      </c>
      <c r="F8849" s="69">
        <v>6.7101592438132046E-2</v>
      </c>
      <c r="G8849" s="69">
        <v>4.9017192965170694E-2</v>
      </c>
    </row>
    <row r="8850" spans="1:7" x14ac:dyDescent="0.3">
      <c r="A8850" s="24">
        <v>43728</v>
      </c>
      <c r="B8850" s="66">
        <v>1605.702</v>
      </c>
      <c r="C8850" s="66">
        <v>2510</v>
      </c>
      <c r="D8850" s="70">
        <v>0</v>
      </c>
      <c r="E8850" s="111">
        <f t="shared" si="142"/>
        <v>138710</v>
      </c>
      <c r="F8850" s="69">
        <v>6.7101592438132046E-2</v>
      </c>
      <c r="G8850" s="69">
        <v>4.8894348894348898E-2</v>
      </c>
    </row>
    <row r="8851" spans="1:7" x14ac:dyDescent="0.3">
      <c r="A8851" s="24">
        <v>43729</v>
      </c>
      <c r="B8851" s="66">
        <v>1605.702</v>
      </c>
      <c r="C8851" s="66">
        <v>2510</v>
      </c>
      <c r="D8851" s="70">
        <v>0</v>
      </c>
      <c r="E8851" s="111">
        <f t="shared" si="142"/>
        <v>138710</v>
      </c>
      <c r="F8851" s="69">
        <v>6.7101592438132046E-2</v>
      </c>
      <c r="G8851" s="69">
        <v>4.8894348894348898E-2</v>
      </c>
    </row>
    <row r="8852" spans="1:7" x14ac:dyDescent="0.3">
      <c r="A8852" s="24">
        <v>43730</v>
      </c>
      <c r="B8852" s="66">
        <v>1605.702</v>
      </c>
      <c r="C8852" s="66">
        <v>2510</v>
      </c>
      <c r="D8852" s="70">
        <v>0</v>
      </c>
      <c r="E8852" s="111">
        <f t="shared" si="142"/>
        <v>138710</v>
      </c>
      <c r="F8852" s="69">
        <v>6.7101592438132046E-2</v>
      </c>
      <c r="G8852" s="69">
        <v>4.8894348894348898E-2</v>
      </c>
    </row>
    <row r="8853" spans="1:7" x14ac:dyDescent="0.3">
      <c r="A8853" s="24">
        <v>43731</v>
      </c>
      <c r="B8853" s="66">
        <v>1605.702</v>
      </c>
      <c r="C8853" s="66">
        <v>2538.5</v>
      </c>
      <c r="D8853" s="70">
        <v>0</v>
      </c>
      <c r="E8853" s="111">
        <f t="shared" si="142"/>
        <v>138710</v>
      </c>
      <c r="F8853" s="69">
        <v>6.7101592438132046E-2</v>
      </c>
      <c r="G8853" s="69">
        <v>4.8894348894348898E-2</v>
      </c>
    </row>
    <row r="8854" spans="1:7" x14ac:dyDescent="0.3">
      <c r="A8854" s="24">
        <v>43732</v>
      </c>
      <c r="B8854" s="66">
        <v>1605.702</v>
      </c>
      <c r="C8854" s="66">
        <v>2575.6</v>
      </c>
      <c r="D8854" s="70">
        <v>0</v>
      </c>
      <c r="E8854" s="111">
        <f t="shared" si="142"/>
        <v>138710</v>
      </c>
      <c r="F8854" s="69">
        <v>6.7101592438132046E-2</v>
      </c>
      <c r="G8854" s="69">
        <v>4.8894348894348898E-2</v>
      </c>
    </row>
    <row r="8855" spans="1:7" x14ac:dyDescent="0.3">
      <c r="A8855" s="24">
        <v>43733</v>
      </c>
      <c r="B8855" s="66">
        <v>1605.702</v>
      </c>
      <c r="C8855" s="66">
        <v>2605.8000000000002</v>
      </c>
      <c r="D8855" s="70">
        <v>0</v>
      </c>
      <c r="E8855" s="111">
        <f t="shared" si="142"/>
        <v>138710</v>
      </c>
      <c r="F8855" s="69">
        <v>6.7101592438132046E-2</v>
      </c>
      <c r="G8855" s="69">
        <v>4.8894348894348898E-2</v>
      </c>
    </row>
    <row r="8856" spans="1:7" x14ac:dyDescent="0.3">
      <c r="A8856" s="24">
        <v>43734</v>
      </c>
      <c r="B8856" s="66">
        <v>1605.702</v>
      </c>
      <c r="C8856" s="66">
        <v>2619</v>
      </c>
      <c r="D8856" s="70">
        <v>0</v>
      </c>
      <c r="E8856" s="111">
        <f t="shared" si="142"/>
        <v>138710</v>
      </c>
      <c r="F8856" s="69">
        <v>6.7101592438132046E-2</v>
      </c>
      <c r="G8856" s="69">
        <v>4.8822374877330717E-2</v>
      </c>
    </row>
    <row r="8857" spans="1:7" x14ac:dyDescent="0.3">
      <c r="A8857" s="24">
        <v>43735</v>
      </c>
      <c r="B8857" s="66">
        <v>1605.702</v>
      </c>
      <c r="C8857" s="66">
        <v>2638.2</v>
      </c>
      <c r="D8857" s="70">
        <v>17.5</v>
      </c>
      <c r="E8857" s="111">
        <f t="shared" si="142"/>
        <v>138710</v>
      </c>
      <c r="F8857" s="69">
        <v>7.8903380052878891E-2</v>
      </c>
      <c r="G8857" s="69">
        <v>5.7296767874632712E-2</v>
      </c>
    </row>
    <row r="8858" spans="1:7" x14ac:dyDescent="0.3">
      <c r="A8858" s="24">
        <v>43736</v>
      </c>
      <c r="B8858" s="66">
        <v>1605.702</v>
      </c>
      <c r="C8858" s="66">
        <v>2638.2</v>
      </c>
      <c r="D8858" s="70"/>
      <c r="E8858" s="111">
        <f t="shared" si="142"/>
        <v>138710</v>
      </c>
      <c r="F8858" s="69">
        <v>6.7101592438132046E-2</v>
      </c>
      <c r="G8858" s="69">
        <v>4.8726738491674831E-2</v>
      </c>
    </row>
    <row r="8859" spans="1:7" x14ac:dyDescent="0.3">
      <c r="A8859" s="24">
        <v>43737</v>
      </c>
      <c r="B8859" s="66">
        <v>1605.702</v>
      </c>
      <c r="C8859" s="66">
        <v>2638.2</v>
      </c>
      <c r="D8859" s="70"/>
      <c r="E8859" s="111">
        <f t="shared" si="142"/>
        <v>138710</v>
      </c>
      <c r="F8859" s="69">
        <v>6.7101592438132046E-2</v>
      </c>
      <c r="G8859" s="69">
        <v>4.8726738491674831E-2</v>
      </c>
    </row>
    <row r="8860" spans="1:7" x14ac:dyDescent="0.3">
      <c r="A8860" s="24">
        <v>43738</v>
      </c>
      <c r="B8860" s="66">
        <v>1605.702</v>
      </c>
      <c r="C8860" s="66">
        <v>2640</v>
      </c>
      <c r="D8860" s="70"/>
      <c r="E8860" s="111">
        <f t="shared" si="142"/>
        <v>138710</v>
      </c>
      <c r="F8860" s="69">
        <v>6.7101592438132046E-2</v>
      </c>
      <c r="G8860" s="69">
        <v>4.8538953119664371E-2</v>
      </c>
    </row>
    <row r="8861" spans="1:7" x14ac:dyDescent="0.3">
      <c r="A8861" s="24">
        <v>43739</v>
      </c>
      <c r="B8861" s="66">
        <v>1605.702</v>
      </c>
      <c r="C8861" s="66">
        <v>2634.4</v>
      </c>
      <c r="D8861" s="70"/>
      <c r="E8861" s="111">
        <f t="shared" si="142"/>
        <v>138710</v>
      </c>
      <c r="F8861" s="69">
        <v>6.7101592438132046E-2</v>
      </c>
      <c r="G8861" s="69">
        <v>4.8529483490220938E-2</v>
      </c>
    </row>
    <row r="8862" spans="1:7" x14ac:dyDescent="0.3">
      <c r="A8862" s="24">
        <v>43740</v>
      </c>
      <c r="B8862" s="66">
        <v>1605.702</v>
      </c>
      <c r="C8862" s="66">
        <v>2639.9</v>
      </c>
      <c r="D8862" s="70"/>
      <c r="E8862" s="111">
        <f t="shared" si="142"/>
        <v>138710</v>
      </c>
      <c r="F8862" s="69">
        <v>6.7101592438132046E-2</v>
      </c>
      <c r="G8862" s="69">
        <v>4.7380952380952378E-2</v>
      </c>
    </row>
    <row r="8863" spans="1:7" x14ac:dyDescent="0.3">
      <c r="A8863" s="24">
        <v>43741</v>
      </c>
      <c r="B8863" s="66">
        <v>1605.702</v>
      </c>
      <c r="C8863" s="66">
        <v>2637.5</v>
      </c>
      <c r="D8863" s="70"/>
      <c r="E8863" s="111">
        <f t="shared" si="142"/>
        <v>138710</v>
      </c>
      <c r="F8863" s="69">
        <v>6.7101592438132046E-2</v>
      </c>
      <c r="G8863" s="69">
        <v>4.6171693735498842E-2</v>
      </c>
    </row>
    <row r="8864" spans="1:7" x14ac:dyDescent="0.3">
      <c r="A8864" s="24">
        <v>43742</v>
      </c>
      <c r="B8864" s="66">
        <v>1605.702</v>
      </c>
      <c r="C8864" s="66">
        <v>2636.1</v>
      </c>
      <c r="D8864" s="70"/>
      <c r="E8864" s="111">
        <f t="shared" si="142"/>
        <v>138710</v>
      </c>
      <c r="F8864" s="69">
        <v>6.7101592438132046E-2</v>
      </c>
      <c r="G8864" s="69">
        <v>4.6064814814814815E-2</v>
      </c>
    </row>
    <row r="8865" spans="1:7" x14ac:dyDescent="0.3">
      <c r="A8865" s="24">
        <v>43743</v>
      </c>
      <c r="B8865" s="66">
        <v>1605.702</v>
      </c>
      <c r="C8865" s="66">
        <v>2636.1</v>
      </c>
      <c r="D8865" s="70"/>
      <c r="E8865" s="111">
        <f t="shared" si="142"/>
        <v>138710</v>
      </c>
      <c r="F8865" s="69">
        <v>6.7101592438132046E-2</v>
      </c>
      <c r="G8865" s="69">
        <v>4.6064814814814815E-2</v>
      </c>
    </row>
    <row r="8866" spans="1:7" x14ac:dyDescent="0.3">
      <c r="A8866" s="24">
        <v>43744</v>
      </c>
      <c r="B8866" s="66">
        <v>1605.702</v>
      </c>
      <c r="C8866" s="66">
        <v>2636.1</v>
      </c>
      <c r="D8866" s="70"/>
      <c r="E8866" s="111">
        <f t="shared" si="142"/>
        <v>138710</v>
      </c>
      <c r="F8866" s="69">
        <v>6.7101592438132046E-2</v>
      </c>
      <c r="G8866" s="69">
        <v>4.6064814814814815E-2</v>
      </c>
    </row>
    <row r="8867" spans="1:7" x14ac:dyDescent="0.3">
      <c r="A8867" s="24">
        <v>43745</v>
      </c>
      <c r="B8867" s="66">
        <v>1605.702</v>
      </c>
      <c r="C8867" s="66">
        <v>2624.4</v>
      </c>
      <c r="D8867" s="70"/>
      <c r="E8867" s="111">
        <f t="shared" si="142"/>
        <v>138710</v>
      </c>
      <c r="F8867" s="69">
        <v>6.7101592438132046E-2</v>
      </c>
      <c r="G8867" s="69">
        <v>4.481981981981982E-2</v>
      </c>
    </row>
    <row r="8868" spans="1:7" x14ac:dyDescent="0.3">
      <c r="A8868" s="24">
        <v>43746</v>
      </c>
      <c r="B8868" s="66">
        <v>1605.702</v>
      </c>
      <c r="C8868" s="66">
        <v>2598</v>
      </c>
      <c r="D8868" s="70"/>
      <c r="E8868" s="111">
        <f t="shared" si="142"/>
        <v>138710</v>
      </c>
      <c r="F8868" s="69">
        <v>6.7101592438132046E-2</v>
      </c>
      <c r="G8868" s="69">
        <v>4.4485179058434306E-2</v>
      </c>
    </row>
    <row r="8869" spans="1:7" x14ac:dyDescent="0.3">
      <c r="A8869" s="24">
        <v>43747</v>
      </c>
      <c r="B8869" s="66">
        <v>1605.702</v>
      </c>
      <c r="C8869" s="66">
        <v>2590</v>
      </c>
      <c r="D8869" s="70"/>
      <c r="E8869" s="111">
        <f t="shared" si="142"/>
        <v>138710</v>
      </c>
      <c r="F8869" s="69">
        <v>6.7101592438132046E-2</v>
      </c>
      <c r="G8869" s="69">
        <v>4.4421625965444883E-2</v>
      </c>
    </row>
    <row r="8870" spans="1:7" x14ac:dyDescent="0.3">
      <c r="A8870" s="24">
        <v>43748</v>
      </c>
      <c r="B8870" s="66">
        <v>1605.702</v>
      </c>
      <c r="C8870" s="66">
        <v>2609</v>
      </c>
      <c r="D8870" s="70"/>
      <c r="E8870" s="111">
        <f t="shared" si="142"/>
        <v>138710</v>
      </c>
      <c r="F8870" s="69">
        <v>6.7101592438132046E-2</v>
      </c>
      <c r="G8870" s="69">
        <v>4.4578853046594979E-2</v>
      </c>
    </row>
    <row r="8871" spans="1:7" x14ac:dyDescent="0.3">
      <c r="A8871" s="24">
        <v>43749</v>
      </c>
      <c r="B8871" s="66">
        <v>1605.702</v>
      </c>
      <c r="C8871" s="66">
        <v>2600</v>
      </c>
      <c r="D8871" s="70"/>
      <c r="E8871" s="111">
        <f t="shared" si="142"/>
        <v>138710</v>
      </c>
      <c r="F8871" s="69">
        <v>6.7101592438132046E-2</v>
      </c>
      <c r="G8871" s="69">
        <v>4.4579052773533925E-2</v>
      </c>
    </row>
    <row r="8872" spans="1:7" x14ac:dyDescent="0.3">
      <c r="A8872" s="24">
        <v>43750</v>
      </c>
      <c r="B8872" s="66">
        <v>1605.702</v>
      </c>
      <c r="C8872" s="66">
        <v>2600</v>
      </c>
      <c r="D8872" s="70"/>
      <c r="E8872" s="111">
        <f t="shared" si="142"/>
        <v>138710</v>
      </c>
      <c r="F8872" s="69">
        <v>6.7101592438132046E-2</v>
      </c>
      <c r="G8872" s="69">
        <v>4.4579052773533925E-2</v>
      </c>
    </row>
    <row r="8873" spans="1:7" x14ac:dyDescent="0.3">
      <c r="A8873" s="24">
        <v>43751</v>
      </c>
      <c r="B8873" s="66">
        <v>1605.702</v>
      </c>
      <c r="C8873" s="66">
        <v>2600</v>
      </c>
      <c r="D8873" s="70"/>
      <c r="E8873" s="111">
        <f t="shared" si="142"/>
        <v>138710</v>
      </c>
      <c r="F8873" s="69">
        <v>6.7101592438132046E-2</v>
      </c>
      <c r="G8873" s="69">
        <v>4.4579052773533925E-2</v>
      </c>
    </row>
    <row r="8874" spans="1:7" x14ac:dyDescent="0.3">
      <c r="A8874" s="24">
        <v>43752</v>
      </c>
      <c r="B8874" s="66">
        <v>1605.702</v>
      </c>
      <c r="C8874" s="66">
        <v>2601.8000000000002</v>
      </c>
      <c r="D8874" s="70"/>
      <c r="E8874" s="111">
        <f t="shared" si="142"/>
        <v>138710</v>
      </c>
      <c r="F8874" s="69">
        <v>6.7101592438132046E-2</v>
      </c>
      <c r="G8874" s="69">
        <v>4.4579052773533925E-2</v>
      </c>
    </row>
    <row r="8875" spans="1:7" x14ac:dyDescent="0.3">
      <c r="A8875" s="24">
        <v>43753</v>
      </c>
      <c r="B8875" s="66">
        <v>1605.702</v>
      </c>
      <c r="C8875" s="66">
        <v>2606.1</v>
      </c>
      <c r="D8875" s="70"/>
      <c r="E8875" s="111">
        <f t="shared" si="142"/>
        <v>138710</v>
      </c>
      <c r="F8875" s="69">
        <v>6.7101592438132046E-2</v>
      </c>
      <c r="G8875" s="69">
        <v>4.4588841586376875E-2</v>
      </c>
    </row>
    <row r="8876" spans="1:7" x14ac:dyDescent="0.3">
      <c r="A8876" s="24">
        <v>43754</v>
      </c>
      <c r="B8876" s="66">
        <v>1605.702</v>
      </c>
      <c r="C8876" s="66">
        <v>2610</v>
      </c>
      <c r="D8876" s="70"/>
      <c r="E8876" s="111">
        <f t="shared" si="142"/>
        <v>138710</v>
      </c>
      <c r="F8876" s="69">
        <v>6.7101592438132046E-2</v>
      </c>
      <c r="G8876" s="69">
        <v>4.4618834080717491E-2</v>
      </c>
    </row>
    <row r="8877" spans="1:7" x14ac:dyDescent="0.3">
      <c r="A8877" s="24">
        <v>43755</v>
      </c>
      <c r="B8877" s="66">
        <v>1605.702</v>
      </c>
      <c r="C8877" s="66">
        <v>2630</v>
      </c>
      <c r="D8877" s="70"/>
      <c r="E8877" s="111">
        <f t="shared" si="142"/>
        <v>138710</v>
      </c>
      <c r="F8877" s="69">
        <v>6.7101592438132046E-2</v>
      </c>
      <c r="G8877" s="69">
        <v>4.4721111061171284E-2</v>
      </c>
    </row>
    <row r="8878" spans="1:7" x14ac:dyDescent="0.3">
      <c r="A8878" s="24">
        <v>43756</v>
      </c>
      <c r="B8878" s="66">
        <v>1605.702</v>
      </c>
      <c r="C8878" s="66">
        <v>2612.1999999999998</v>
      </c>
      <c r="D8878" s="70"/>
      <c r="E8878" s="111">
        <f t="shared" si="142"/>
        <v>138710</v>
      </c>
      <c r="F8878" s="69">
        <v>6.7101592438132046E-2</v>
      </c>
      <c r="G8878" s="69">
        <v>4.4751281820635064E-2</v>
      </c>
    </row>
    <row r="8879" spans="1:7" x14ac:dyDescent="0.3">
      <c r="A8879" s="24">
        <v>43757</v>
      </c>
      <c r="B8879" s="66">
        <v>1605.702</v>
      </c>
      <c r="C8879" s="66">
        <v>2612.1999999999998</v>
      </c>
      <c r="D8879" s="70"/>
      <c r="E8879" s="111">
        <f t="shared" si="142"/>
        <v>138710</v>
      </c>
      <c r="F8879" s="69">
        <v>6.7101592438132046E-2</v>
      </c>
      <c r="G8879" s="69">
        <v>4.4751281820635064E-2</v>
      </c>
    </row>
    <row r="8880" spans="1:7" x14ac:dyDescent="0.3">
      <c r="A8880" s="24">
        <v>43758</v>
      </c>
      <c r="B8880" s="66">
        <v>1605.702</v>
      </c>
      <c r="C8880" s="66">
        <v>2612.1999999999998</v>
      </c>
      <c r="D8880" s="70"/>
      <c r="E8880" s="111">
        <f t="shared" si="142"/>
        <v>138710</v>
      </c>
      <c r="F8880" s="69">
        <v>6.7101592438132046E-2</v>
      </c>
      <c r="G8880" s="69">
        <v>4.4751281820635064E-2</v>
      </c>
    </row>
    <row r="8881" spans="1:7" x14ac:dyDescent="0.3">
      <c r="A8881" s="24">
        <v>43759</v>
      </c>
      <c r="B8881" s="66">
        <v>1605.702</v>
      </c>
      <c r="C8881" s="66">
        <v>2520</v>
      </c>
      <c r="D8881" s="70"/>
      <c r="E8881" s="111">
        <f t="shared" si="142"/>
        <v>138710</v>
      </c>
      <c r="F8881" s="69">
        <v>6.7101592438132046E-2</v>
      </c>
      <c r="G8881" s="69">
        <v>4.4719101123595506E-2</v>
      </c>
    </row>
    <row r="8882" spans="1:7" x14ac:dyDescent="0.3">
      <c r="A8882" s="24">
        <v>43760</v>
      </c>
      <c r="B8882" s="66">
        <v>1605.702</v>
      </c>
      <c r="C8882" s="66">
        <v>2509.5</v>
      </c>
      <c r="D8882" s="70"/>
      <c r="E8882" s="111">
        <f t="shared" si="142"/>
        <v>138710</v>
      </c>
      <c r="F8882" s="69">
        <v>6.7101592438132046E-2</v>
      </c>
      <c r="G8882" s="69">
        <v>4.553775743707094E-2</v>
      </c>
    </row>
    <row r="8883" spans="1:7" x14ac:dyDescent="0.3">
      <c r="A8883" s="24">
        <v>43761</v>
      </c>
      <c r="B8883" s="66">
        <v>1605.702</v>
      </c>
      <c r="C8883" s="66">
        <v>2360.1999999999998</v>
      </c>
      <c r="D8883" s="70"/>
      <c r="E8883" s="111">
        <f t="shared" si="142"/>
        <v>138710</v>
      </c>
      <c r="F8883" s="69">
        <v>6.7101592438132046E-2</v>
      </c>
      <c r="G8883" s="69">
        <v>4.5642201834862388E-2</v>
      </c>
    </row>
    <row r="8884" spans="1:7" x14ac:dyDescent="0.3">
      <c r="A8884" s="24">
        <v>43762</v>
      </c>
      <c r="B8884" s="66">
        <v>1605.702</v>
      </c>
      <c r="C8884" s="66">
        <v>2326.9</v>
      </c>
      <c r="D8884" s="70"/>
      <c r="E8884" s="111">
        <f t="shared" si="142"/>
        <v>138710</v>
      </c>
      <c r="F8884" s="69">
        <v>6.7101592438132046E-2</v>
      </c>
      <c r="G8884" s="69">
        <v>4.6064814814814815E-2</v>
      </c>
    </row>
    <row r="8885" spans="1:7" x14ac:dyDescent="0.3">
      <c r="A8885" s="24">
        <v>43763</v>
      </c>
      <c r="B8885" s="66">
        <v>1605.702</v>
      </c>
      <c r="C8885" s="66">
        <v>2319</v>
      </c>
      <c r="D8885" s="70"/>
      <c r="E8885" s="111">
        <f t="shared" si="142"/>
        <v>138710</v>
      </c>
      <c r="F8885" s="69">
        <v>6.7101592438132046E-2</v>
      </c>
      <c r="G8885" s="69">
        <v>4.6279069767441859E-2</v>
      </c>
    </row>
    <row r="8886" spans="1:7" x14ac:dyDescent="0.3">
      <c r="A8886" s="24">
        <v>43764</v>
      </c>
      <c r="B8886" s="66">
        <v>1605.702</v>
      </c>
      <c r="C8886" s="66">
        <v>2319</v>
      </c>
      <c r="D8886" s="70"/>
      <c r="E8886" s="111">
        <f t="shared" si="142"/>
        <v>138710</v>
      </c>
      <c r="F8886" s="69">
        <v>6.7101592438132046E-2</v>
      </c>
      <c r="G8886" s="69">
        <v>4.6279069767441859E-2</v>
      </c>
    </row>
    <row r="8887" spans="1:7" x14ac:dyDescent="0.3">
      <c r="A8887" s="24">
        <v>43765</v>
      </c>
      <c r="B8887" s="66">
        <v>1605.702</v>
      </c>
      <c r="C8887" s="66">
        <v>2319</v>
      </c>
      <c r="D8887" s="70"/>
      <c r="E8887" s="111">
        <f t="shared" si="142"/>
        <v>138710</v>
      </c>
      <c r="F8887" s="69">
        <v>6.7101592438132046E-2</v>
      </c>
      <c r="G8887" s="69">
        <v>4.6279069767441859E-2</v>
      </c>
    </row>
    <row r="8888" spans="1:7" x14ac:dyDescent="0.3">
      <c r="A8888" s="24">
        <v>43766</v>
      </c>
      <c r="B8888" s="66">
        <v>1605.702</v>
      </c>
      <c r="C8888" s="66">
        <v>2327.8000000000002</v>
      </c>
      <c r="D8888" s="70"/>
      <c r="E8888" s="111">
        <f t="shared" si="142"/>
        <v>138710</v>
      </c>
      <c r="F8888" s="69">
        <v>6.7101592438132046E-2</v>
      </c>
      <c r="G8888" s="69">
        <v>4.6495327102803741E-2</v>
      </c>
    </row>
    <row r="8889" spans="1:7" x14ac:dyDescent="0.3">
      <c r="A8889" s="24">
        <v>43767</v>
      </c>
      <c r="B8889" s="66">
        <v>1605.702</v>
      </c>
      <c r="C8889" s="66">
        <v>2369.4</v>
      </c>
      <c r="D8889" s="70"/>
      <c r="E8889" s="111">
        <f t="shared" si="142"/>
        <v>138710</v>
      </c>
      <c r="F8889" s="69">
        <v>6.4201885105429138E-2</v>
      </c>
      <c r="G8889" s="69">
        <v>4.7836538461538458E-2</v>
      </c>
    </row>
    <row r="8890" spans="1:7" x14ac:dyDescent="0.3">
      <c r="A8890" s="24">
        <v>43768</v>
      </c>
      <c r="B8890" s="66">
        <v>1605.702</v>
      </c>
      <c r="C8890" s="66">
        <v>2291.6</v>
      </c>
      <c r="D8890" s="70"/>
      <c r="E8890" s="111">
        <f t="shared" si="142"/>
        <v>138710</v>
      </c>
      <c r="F8890" s="69">
        <v>6.4201885105429138E-2</v>
      </c>
      <c r="G8890" s="69">
        <v>4.8586356755700957E-2</v>
      </c>
    </row>
    <row r="8891" spans="1:7" x14ac:dyDescent="0.3">
      <c r="A8891" s="24">
        <v>43769</v>
      </c>
      <c r="B8891" s="66">
        <v>1605.702</v>
      </c>
      <c r="C8891" s="66">
        <v>2291.6</v>
      </c>
      <c r="D8891" s="70"/>
      <c r="E8891" s="111">
        <f t="shared" si="142"/>
        <v>138710</v>
      </c>
      <c r="F8891" s="69">
        <v>6.4201885105429138E-2</v>
      </c>
      <c r="G8891" s="69">
        <v>4.8586356755700957E-2</v>
      </c>
    </row>
    <row r="8892" spans="1:7" x14ac:dyDescent="0.3">
      <c r="A8892" s="24">
        <v>43770</v>
      </c>
      <c r="B8892" s="66">
        <v>1605.702</v>
      </c>
      <c r="C8892" s="66">
        <v>2291.6</v>
      </c>
      <c r="D8892" s="70"/>
      <c r="E8892" s="111">
        <f t="shared" si="142"/>
        <v>138710</v>
      </c>
      <c r="F8892" s="69">
        <v>6.4201885105429138E-2</v>
      </c>
      <c r="G8892" s="69">
        <v>4.8586356755700957E-2</v>
      </c>
    </row>
    <row r="8893" spans="1:7" x14ac:dyDescent="0.3">
      <c r="A8893" s="24">
        <v>43771</v>
      </c>
      <c r="B8893" s="66">
        <v>1605.702</v>
      </c>
      <c r="C8893" s="66">
        <v>2291.6</v>
      </c>
      <c r="D8893" s="70"/>
      <c r="E8893" s="111">
        <f t="shared" si="142"/>
        <v>138710</v>
      </c>
      <c r="F8893" s="69">
        <v>6.4201885105429138E-2</v>
      </c>
      <c r="G8893" s="69">
        <v>4.8586356755700957E-2</v>
      </c>
    </row>
    <row r="8894" spans="1:7" x14ac:dyDescent="0.3">
      <c r="A8894" s="24">
        <v>43772</v>
      </c>
      <c r="B8894" s="66">
        <v>1605.702</v>
      </c>
      <c r="C8894" s="66">
        <v>2291.6</v>
      </c>
      <c r="D8894" s="70"/>
      <c r="E8894" s="111">
        <f t="shared" si="142"/>
        <v>138710</v>
      </c>
      <c r="F8894" s="69">
        <v>6.4201885105429138E-2</v>
      </c>
      <c r="G8894" s="69">
        <v>4.8586356755700957E-2</v>
      </c>
    </row>
    <row r="8895" spans="1:7" x14ac:dyDescent="0.3">
      <c r="A8895" s="24">
        <v>43773</v>
      </c>
      <c r="B8895" s="66">
        <v>1605.702</v>
      </c>
      <c r="C8895" s="66">
        <v>2200</v>
      </c>
      <c r="D8895" s="70"/>
      <c r="E8895" s="111">
        <f t="shared" si="142"/>
        <v>138710</v>
      </c>
      <c r="F8895" s="69">
        <v>6.4201885105429138E-2</v>
      </c>
      <c r="G8895" s="69">
        <v>4.9306243805748266E-2</v>
      </c>
    </row>
    <row r="8896" spans="1:7" x14ac:dyDescent="0.3">
      <c r="A8896" s="24">
        <v>43774</v>
      </c>
      <c r="B8896" s="66">
        <v>1605.702</v>
      </c>
      <c r="C8896" s="66">
        <v>1830</v>
      </c>
      <c r="D8896" s="70"/>
      <c r="E8896" s="111">
        <f t="shared" si="142"/>
        <v>138710</v>
      </c>
      <c r="F8896" s="69">
        <v>6.4201885105429138E-2</v>
      </c>
      <c r="G8896" s="69">
        <v>5.0125944584382874E-2</v>
      </c>
    </row>
    <row r="8897" spans="1:7" x14ac:dyDescent="0.3">
      <c r="A8897" s="24">
        <v>43775</v>
      </c>
      <c r="B8897" s="66">
        <v>1605.702</v>
      </c>
      <c r="C8897" s="66">
        <v>2030.6</v>
      </c>
      <c r="D8897" s="70"/>
      <c r="E8897" s="111">
        <f t="shared" si="142"/>
        <v>138710</v>
      </c>
      <c r="F8897" s="69">
        <v>6.4201885105429138E-2</v>
      </c>
      <c r="G8897" s="69">
        <v>5.1030874961534516E-2</v>
      </c>
    </row>
    <row r="8898" spans="1:7" x14ac:dyDescent="0.3">
      <c r="A8898" s="24">
        <v>43776</v>
      </c>
      <c r="B8898" s="66">
        <v>1605.702</v>
      </c>
      <c r="C8898" s="66">
        <v>2037.5</v>
      </c>
      <c r="D8898" s="70"/>
      <c r="E8898" s="111">
        <f t="shared" si="142"/>
        <v>138710</v>
      </c>
      <c r="F8898" s="69">
        <v>6.4201885105429138E-2</v>
      </c>
      <c r="G8898" s="69">
        <v>4.9135802469135806E-2</v>
      </c>
    </row>
    <row r="8899" spans="1:7" x14ac:dyDescent="0.3">
      <c r="A8899" s="24">
        <v>43777</v>
      </c>
      <c r="B8899" s="66">
        <v>1605.702</v>
      </c>
      <c r="C8899" s="66">
        <v>2027.1</v>
      </c>
      <c r="D8899" s="70"/>
      <c r="E8899" s="111">
        <f t="shared" si="142"/>
        <v>138710</v>
      </c>
      <c r="F8899" s="69">
        <v>6.4201885105429138E-2</v>
      </c>
      <c r="G8899" s="69">
        <v>4.8774509803921569E-2</v>
      </c>
    </row>
    <row r="8900" spans="1:7" x14ac:dyDescent="0.3">
      <c r="A8900" s="24">
        <v>43778</v>
      </c>
      <c r="B8900" s="66">
        <v>1605.702</v>
      </c>
      <c r="C8900" s="66">
        <v>2027.1</v>
      </c>
      <c r="D8900" s="70"/>
      <c r="E8900" s="111">
        <f t="shared" si="142"/>
        <v>138710</v>
      </c>
      <c r="F8900" s="69">
        <v>6.4201885105429138E-2</v>
      </c>
      <c r="G8900" s="69">
        <v>4.8774509803921569E-2</v>
      </c>
    </row>
    <row r="8901" spans="1:7" x14ac:dyDescent="0.3">
      <c r="A8901" s="24">
        <v>43779</v>
      </c>
      <c r="B8901" s="66">
        <v>1605.702</v>
      </c>
      <c r="C8901" s="66">
        <v>2027.1</v>
      </c>
      <c r="D8901" s="70"/>
      <c r="E8901" s="111">
        <f t="shared" si="142"/>
        <v>138710</v>
      </c>
      <c r="F8901" s="69">
        <v>6.4201885105429138E-2</v>
      </c>
      <c r="G8901" s="69">
        <v>4.8774509803921569E-2</v>
      </c>
    </row>
    <row r="8902" spans="1:7" x14ac:dyDescent="0.3">
      <c r="A8902" s="24">
        <v>43780</v>
      </c>
      <c r="B8902" s="66">
        <v>1605.702</v>
      </c>
      <c r="C8902" s="66">
        <v>1830.2</v>
      </c>
      <c r="D8902" s="70"/>
      <c r="E8902" s="111">
        <f t="shared" si="142"/>
        <v>138710</v>
      </c>
      <c r="F8902" s="69">
        <v>6.4201885105429138E-2</v>
      </c>
      <c r="G8902" s="69">
        <v>4.8774509803921569E-2</v>
      </c>
    </row>
    <row r="8903" spans="1:7" x14ac:dyDescent="0.3">
      <c r="A8903" s="24">
        <v>43781</v>
      </c>
      <c r="B8903" s="66">
        <v>1605.702</v>
      </c>
      <c r="C8903" s="66">
        <v>1644.6</v>
      </c>
      <c r="D8903" s="70"/>
      <c r="E8903" s="111">
        <f t="shared" si="142"/>
        <v>138710</v>
      </c>
      <c r="F8903" s="69">
        <v>6.4201885105429138E-2</v>
      </c>
      <c r="G8903" s="69">
        <v>4.7380952380952378E-2</v>
      </c>
    </row>
    <row r="8904" spans="1:7" x14ac:dyDescent="0.3">
      <c r="A8904" s="24">
        <v>43782</v>
      </c>
      <c r="B8904" s="66">
        <v>1605.702</v>
      </c>
      <c r="C8904" s="66">
        <v>1500.9</v>
      </c>
      <c r="D8904" s="70"/>
      <c r="E8904" s="111">
        <f t="shared" si="142"/>
        <v>138710</v>
      </c>
      <c r="F8904" s="69">
        <v>6.4201885105429138E-2</v>
      </c>
      <c r="G8904" s="69">
        <v>4.7951807228915663E-2</v>
      </c>
    </row>
    <row r="8905" spans="1:7" x14ac:dyDescent="0.3">
      <c r="A8905" s="24">
        <v>43783</v>
      </c>
      <c r="B8905" s="66">
        <v>1605.702</v>
      </c>
      <c r="C8905" s="66">
        <v>1627.5</v>
      </c>
      <c r="D8905" s="70"/>
      <c r="E8905" s="111">
        <f t="shared" ref="E8905:E8968" si="143">+E8904</f>
        <v>138710</v>
      </c>
      <c r="F8905" s="69">
        <v>6.4201885105429138E-2</v>
      </c>
      <c r="G8905" s="69">
        <v>4.7836538461538458E-2</v>
      </c>
    </row>
    <row r="8906" spans="1:7" x14ac:dyDescent="0.3">
      <c r="A8906" s="24">
        <v>43784</v>
      </c>
      <c r="B8906" s="66">
        <v>1605.702</v>
      </c>
      <c r="C8906" s="66">
        <v>1950</v>
      </c>
      <c r="D8906" s="70"/>
      <c r="E8906" s="111">
        <f t="shared" si="143"/>
        <v>138710</v>
      </c>
      <c r="F8906" s="69">
        <v>6.4201885105429138E-2</v>
      </c>
      <c r="G8906" s="69">
        <v>4.7721822541966427E-2</v>
      </c>
    </row>
    <row r="8907" spans="1:7" x14ac:dyDescent="0.3">
      <c r="A8907" s="24">
        <v>43785</v>
      </c>
      <c r="B8907" s="66">
        <v>1605.702</v>
      </c>
      <c r="C8907" s="66">
        <v>1950</v>
      </c>
      <c r="D8907" s="70"/>
      <c r="E8907" s="111">
        <f t="shared" si="143"/>
        <v>138710</v>
      </c>
      <c r="F8907" s="69">
        <v>6.4201885105429138E-2</v>
      </c>
      <c r="G8907" s="69">
        <v>4.7721822541966427E-2</v>
      </c>
    </row>
    <row r="8908" spans="1:7" x14ac:dyDescent="0.3">
      <c r="A8908" s="24">
        <v>43786</v>
      </c>
      <c r="B8908" s="66">
        <v>1605.702</v>
      </c>
      <c r="C8908" s="66">
        <v>1950</v>
      </c>
      <c r="D8908" s="70"/>
      <c r="E8908" s="111">
        <f t="shared" si="143"/>
        <v>138710</v>
      </c>
      <c r="F8908" s="69">
        <v>6.4201885105429138E-2</v>
      </c>
      <c r="G8908" s="69">
        <v>4.7721822541966427E-2</v>
      </c>
    </row>
    <row r="8909" spans="1:7" x14ac:dyDescent="0.3">
      <c r="A8909" s="24">
        <v>43787</v>
      </c>
      <c r="B8909" s="66">
        <v>1605.702</v>
      </c>
      <c r="C8909" s="66">
        <v>2049.8910000000001</v>
      </c>
      <c r="D8909" s="70"/>
      <c r="E8909" s="111">
        <f t="shared" si="143"/>
        <v>138710</v>
      </c>
      <c r="F8909" s="69">
        <v>6.4201885105429138E-2</v>
      </c>
      <c r="G8909" s="69">
        <v>4.7836538461538458E-2</v>
      </c>
    </row>
    <row r="8910" spans="1:7" x14ac:dyDescent="0.3">
      <c r="A8910" s="24">
        <v>43788</v>
      </c>
      <c r="B8910" s="66">
        <v>1605.702</v>
      </c>
      <c r="C8910" s="66">
        <v>2000.1579999999999</v>
      </c>
      <c r="D8910" s="70"/>
      <c r="E8910" s="111">
        <f t="shared" si="143"/>
        <v>138710</v>
      </c>
      <c r="F8910" s="69">
        <v>6.4201885105429138E-2</v>
      </c>
      <c r="G8910" s="69">
        <v>4.8067632850241543E-2</v>
      </c>
    </row>
    <row r="8911" spans="1:7" x14ac:dyDescent="0.3">
      <c r="A8911" s="24">
        <v>43789</v>
      </c>
      <c r="B8911" s="66">
        <v>1605.702</v>
      </c>
      <c r="C8911" s="66">
        <v>2055</v>
      </c>
      <c r="D8911" s="70"/>
      <c r="E8911" s="111">
        <f t="shared" si="143"/>
        <v>138710</v>
      </c>
      <c r="F8911" s="69">
        <v>6.4201885105429138E-2</v>
      </c>
      <c r="G8911" s="69">
        <v>4.8510555311783922E-2</v>
      </c>
    </row>
    <row r="8912" spans="1:7" x14ac:dyDescent="0.3">
      <c r="A8912" s="24">
        <v>43790</v>
      </c>
      <c r="B8912" s="66">
        <v>1682.2</v>
      </c>
      <c r="C8912" s="66">
        <v>2000.0060000000001</v>
      </c>
      <c r="D8912" s="70"/>
      <c r="E8912" s="111">
        <f t="shared" si="143"/>
        <v>138710</v>
      </c>
      <c r="F8912" s="69">
        <v>6.4201885105429138E-2</v>
      </c>
      <c r="G8912" s="69">
        <v>4.8541321104497999E-2</v>
      </c>
    </row>
    <row r="8913" spans="1:7" x14ac:dyDescent="0.3">
      <c r="A8913" s="24">
        <v>43791</v>
      </c>
      <c r="B8913" s="66">
        <v>1682.2</v>
      </c>
      <c r="C8913" s="66">
        <v>1951.9269999999999</v>
      </c>
      <c r="D8913" s="70"/>
      <c r="E8913" s="111">
        <f t="shared" si="143"/>
        <v>138710</v>
      </c>
      <c r="F8913" s="69">
        <v>6.4201885105429138E-2</v>
      </c>
      <c r="G8913" s="69">
        <v>4.8774509803921569E-2</v>
      </c>
    </row>
    <row r="8914" spans="1:7" x14ac:dyDescent="0.3">
      <c r="A8914" s="24">
        <v>43792</v>
      </c>
      <c r="B8914" s="66">
        <v>1682.2</v>
      </c>
      <c r="C8914" s="66">
        <v>1951.9269999999999</v>
      </c>
      <c r="D8914" s="70"/>
      <c r="E8914" s="111">
        <f t="shared" si="143"/>
        <v>138710</v>
      </c>
      <c r="F8914" s="69">
        <v>6.4201885105429138E-2</v>
      </c>
      <c r="G8914" s="69">
        <v>4.8774509803921569E-2</v>
      </c>
    </row>
    <row r="8915" spans="1:7" x14ac:dyDescent="0.3">
      <c r="A8915" s="24">
        <v>43793</v>
      </c>
      <c r="B8915" s="66">
        <v>1682.2</v>
      </c>
      <c r="C8915" s="66">
        <v>1951.9269999999999</v>
      </c>
      <c r="D8915" s="70"/>
      <c r="E8915" s="111">
        <f t="shared" si="143"/>
        <v>138710</v>
      </c>
      <c r="F8915" s="69">
        <v>6.4201885105429138E-2</v>
      </c>
      <c r="G8915" s="69">
        <v>4.8774509803921569E-2</v>
      </c>
    </row>
    <row r="8916" spans="1:7" x14ac:dyDescent="0.3">
      <c r="A8916" s="24">
        <v>43794</v>
      </c>
      <c r="B8916" s="66">
        <v>1682.2</v>
      </c>
      <c r="C8916" s="66">
        <v>1900.4090000000001</v>
      </c>
      <c r="D8916" s="70"/>
      <c r="E8916" s="111">
        <f t="shared" si="143"/>
        <v>138710</v>
      </c>
      <c r="F8916" s="69">
        <v>6.4201885105429138E-2</v>
      </c>
      <c r="G8916" s="69">
        <v>4.8786945692039146E-2</v>
      </c>
    </row>
    <row r="8917" spans="1:7" x14ac:dyDescent="0.3">
      <c r="A8917" s="24">
        <v>43795</v>
      </c>
      <c r="B8917" s="66">
        <v>1682.2</v>
      </c>
      <c r="C8917" s="66">
        <v>1899.3679999999999</v>
      </c>
      <c r="D8917" s="70"/>
      <c r="E8917" s="111">
        <f t="shared" si="143"/>
        <v>138710</v>
      </c>
      <c r="F8917" s="69">
        <v>6.4201885105429138E-2</v>
      </c>
      <c r="G8917" s="69">
        <v>4.9014778325123153E-2</v>
      </c>
    </row>
    <row r="8918" spans="1:7" x14ac:dyDescent="0.3">
      <c r="A8918" s="24">
        <v>43796</v>
      </c>
      <c r="B8918" s="66">
        <v>1682.2</v>
      </c>
      <c r="C8918" s="66">
        <v>1850</v>
      </c>
      <c r="D8918" s="70"/>
      <c r="E8918" s="111">
        <f t="shared" si="143"/>
        <v>138710</v>
      </c>
      <c r="F8918" s="69">
        <v>6.4201885105429138E-2</v>
      </c>
      <c r="G8918" s="69">
        <v>4.9135802469135806E-2</v>
      </c>
    </row>
    <row r="8919" spans="1:7" x14ac:dyDescent="0.3">
      <c r="A8919" s="24">
        <v>43797</v>
      </c>
      <c r="B8919" s="66">
        <v>1682.2</v>
      </c>
      <c r="C8919" s="66">
        <v>1759</v>
      </c>
      <c r="D8919" s="70"/>
      <c r="E8919" s="111">
        <f t="shared" si="143"/>
        <v>138710</v>
      </c>
      <c r="F8919" s="69">
        <v>6.4201885105429138E-2</v>
      </c>
      <c r="G8919" s="69">
        <v>4.9750000000000003E-2</v>
      </c>
    </row>
    <row r="8920" spans="1:7" x14ac:dyDescent="0.3">
      <c r="A8920" s="24">
        <v>43798</v>
      </c>
      <c r="B8920" s="66">
        <v>1682.2</v>
      </c>
      <c r="C8920" s="66">
        <v>1984</v>
      </c>
      <c r="D8920" s="70"/>
      <c r="E8920" s="111">
        <f t="shared" si="143"/>
        <v>138710</v>
      </c>
      <c r="F8920" s="69">
        <v>6.4201885105429138E-2</v>
      </c>
      <c r="G8920" s="69">
        <v>4.9379652605459054E-2</v>
      </c>
    </row>
    <row r="8921" spans="1:7" x14ac:dyDescent="0.3">
      <c r="A8921" s="24">
        <v>43799</v>
      </c>
      <c r="B8921" s="66">
        <v>1682.2</v>
      </c>
      <c r="C8921" s="66">
        <v>1984</v>
      </c>
      <c r="D8921" s="70"/>
      <c r="E8921" s="111">
        <f t="shared" si="143"/>
        <v>138710</v>
      </c>
      <c r="F8921" s="69">
        <v>6.4201885105429138E-2</v>
      </c>
      <c r="G8921" s="69">
        <v>4.9379652605459054E-2</v>
      </c>
    </row>
    <row r="8922" spans="1:7" x14ac:dyDescent="0.3">
      <c r="A8922" s="24">
        <v>43800</v>
      </c>
      <c r="B8922" s="66">
        <v>1682.2</v>
      </c>
      <c r="C8922" s="66">
        <v>1984</v>
      </c>
      <c r="D8922" s="70"/>
      <c r="E8922" s="111">
        <f t="shared" si="143"/>
        <v>138710</v>
      </c>
      <c r="F8922" s="69">
        <v>6.4201885105429138E-2</v>
      </c>
      <c r="G8922" s="69">
        <v>4.9379652605459054E-2</v>
      </c>
    </row>
    <row r="8923" spans="1:7" x14ac:dyDescent="0.3">
      <c r="A8923" s="24">
        <v>43801</v>
      </c>
      <c r="B8923" s="66">
        <v>1682.2</v>
      </c>
      <c r="C8923" s="66">
        <v>1876.2529999999999</v>
      </c>
      <c r="D8923" s="70"/>
      <c r="E8923" s="111">
        <f t="shared" si="143"/>
        <v>138710</v>
      </c>
      <c r="F8923" s="69">
        <v>6.4201885105429138E-2</v>
      </c>
      <c r="G8923" s="69">
        <v>4.925742574257426E-2</v>
      </c>
    </row>
    <row r="8924" spans="1:7" x14ac:dyDescent="0.3">
      <c r="A8924" s="24">
        <v>43802</v>
      </c>
      <c r="B8924" s="66">
        <v>1682.2</v>
      </c>
      <c r="C8924" s="66">
        <v>1879.537</v>
      </c>
      <c r="D8924" s="70"/>
      <c r="E8924" s="111">
        <f t="shared" si="143"/>
        <v>138710</v>
      </c>
      <c r="F8924" s="69">
        <v>6.4201885105429138E-2</v>
      </c>
      <c r="G8924" s="69">
        <v>4.9379652605459054E-2</v>
      </c>
    </row>
    <row r="8925" spans="1:7" x14ac:dyDescent="0.3">
      <c r="A8925" s="24">
        <v>43803</v>
      </c>
      <c r="B8925" s="66">
        <v>1682.2</v>
      </c>
      <c r="C8925" s="66">
        <v>1900.566</v>
      </c>
      <c r="D8925" s="70"/>
      <c r="E8925" s="111">
        <f t="shared" si="143"/>
        <v>138710</v>
      </c>
      <c r="F8925" s="69">
        <v>6.4201885105429138E-2</v>
      </c>
      <c r="G8925" s="69">
        <v>4.950002487438436E-2</v>
      </c>
    </row>
    <row r="8926" spans="1:7" x14ac:dyDescent="0.3">
      <c r="A8926" s="24">
        <v>43804</v>
      </c>
      <c r="B8926" s="66">
        <v>1682.2</v>
      </c>
      <c r="C8926" s="66">
        <v>1940</v>
      </c>
      <c r="D8926" s="70"/>
      <c r="E8926" s="111">
        <f t="shared" si="143"/>
        <v>138710</v>
      </c>
      <c r="F8926" s="69">
        <v>6.4201885105429138E-2</v>
      </c>
      <c r="G8926" s="69">
        <v>4.9502487562189057E-2</v>
      </c>
    </row>
    <row r="8927" spans="1:7" x14ac:dyDescent="0.3">
      <c r="A8927" s="24">
        <v>43805</v>
      </c>
      <c r="B8927" s="66">
        <v>1682.2</v>
      </c>
      <c r="C8927" s="66">
        <v>1937.6579999999999</v>
      </c>
      <c r="D8927" s="70"/>
      <c r="E8927" s="111">
        <f t="shared" si="143"/>
        <v>138710</v>
      </c>
      <c r="F8927" s="69">
        <v>6.4201885105429138E-2</v>
      </c>
      <c r="G8927" s="69">
        <v>4.925742574257426E-2</v>
      </c>
    </row>
    <row r="8928" spans="1:7" x14ac:dyDescent="0.3">
      <c r="A8928" s="24">
        <v>43806</v>
      </c>
      <c r="B8928" s="66">
        <v>1682.2</v>
      </c>
      <c r="C8928" s="66">
        <v>1937.6579999999999</v>
      </c>
      <c r="D8928" s="70"/>
      <c r="E8928" s="111">
        <f t="shared" si="143"/>
        <v>138710</v>
      </c>
      <c r="F8928" s="69">
        <v>6.4201885105429138E-2</v>
      </c>
      <c r="G8928" s="69">
        <v>4.925742574257426E-2</v>
      </c>
    </row>
    <row r="8929" spans="1:7" x14ac:dyDescent="0.3">
      <c r="A8929" s="24">
        <v>43807</v>
      </c>
      <c r="B8929" s="66">
        <v>1682.2</v>
      </c>
      <c r="C8929" s="66">
        <v>1937.6579999999999</v>
      </c>
      <c r="D8929" s="70"/>
      <c r="E8929" s="111">
        <f t="shared" si="143"/>
        <v>138710</v>
      </c>
      <c r="F8929" s="69">
        <v>6.4201885105429138E-2</v>
      </c>
      <c r="G8929" s="69">
        <v>4.925742574257426E-2</v>
      </c>
    </row>
    <row r="8930" spans="1:7" x14ac:dyDescent="0.3">
      <c r="A8930" s="24">
        <v>43808</v>
      </c>
      <c r="B8930" s="66">
        <v>1682.2</v>
      </c>
      <c r="C8930" s="66">
        <v>1918.4570000000001</v>
      </c>
      <c r="D8930" s="70"/>
      <c r="E8930" s="111">
        <f t="shared" si="143"/>
        <v>138710</v>
      </c>
      <c r="F8930" s="69">
        <v>6.4201885105429138E-2</v>
      </c>
      <c r="G8930" s="69">
        <v>4.9502487562189057E-2</v>
      </c>
    </row>
    <row r="8931" spans="1:7" x14ac:dyDescent="0.3">
      <c r="A8931" s="24">
        <v>43809</v>
      </c>
      <c r="B8931" s="66">
        <v>1682.2</v>
      </c>
      <c r="C8931" s="66">
        <v>1915</v>
      </c>
      <c r="D8931" s="70"/>
      <c r="E8931" s="111">
        <f t="shared" si="143"/>
        <v>138710</v>
      </c>
      <c r="F8931" s="69">
        <v>6.4201885105429138E-2</v>
      </c>
      <c r="G8931" s="69">
        <v>4.9502487562189057E-2</v>
      </c>
    </row>
    <row r="8932" spans="1:7" x14ac:dyDescent="0.3">
      <c r="A8932" s="24">
        <v>43810</v>
      </c>
      <c r="B8932" s="66">
        <v>1682.2</v>
      </c>
      <c r="C8932" s="66">
        <v>1924.566</v>
      </c>
      <c r="D8932" s="70"/>
      <c r="E8932" s="111">
        <f t="shared" si="143"/>
        <v>138710</v>
      </c>
      <c r="F8932" s="69">
        <v>6.4201885105429138E-2</v>
      </c>
      <c r="G8932" s="69">
        <v>4.925742574257426E-2</v>
      </c>
    </row>
    <row r="8933" spans="1:7" x14ac:dyDescent="0.3">
      <c r="A8933" s="24">
        <v>43811</v>
      </c>
      <c r="B8933" s="66">
        <v>1682.2</v>
      </c>
      <c r="C8933" s="66">
        <v>1904.309</v>
      </c>
      <c r="D8933" s="70"/>
      <c r="E8933" s="111">
        <f t="shared" si="143"/>
        <v>138710</v>
      </c>
      <c r="F8933" s="69">
        <v>6.4201885105429138E-2</v>
      </c>
      <c r="G8933" s="69">
        <v>4.9379652605459054E-2</v>
      </c>
    </row>
    <row r="8934" spans="1:7" x14ac:dyDescent="0.3">
      <c r="A8934" s="24">
        <v>43812</v>
      </c>
      <c r="B8934" s="66">
        <v>1682.2</v>
      </c>
      <c r="C8934" s="66">
        <v>1929</v>
      </c>
      <c r="D8934" s="70"/>
      <c r="E8934" s="111">
        <f t="shared" si="143"/>
        <v>138710</v>
      </c>
      <c r="F8934" s="69">
        <v>6.4201885105429138E-2</v>
      </c>
      <c r="G8934" s="69">
        <v>4.9507413673002293E-2</v>
      </c>
    </row>
    <row r="8935" spans="1:7" x14ac:dyDescent="0.3">
      <c r="A8935" s="24">
        <v>43813</v>
      </c>
      <c r="B8935" s="66">
        <v>1682.2</v>
      </c>
      <c r="C8935" s="66">
        <v>1929</v>
      </c>
      <c r="D8935" s="70"/>
      <c r="E8935" s="111">
        <f t="shared" si="143"/>
        <v>138710</v>
      </c>
      <c r="F8935" s="69">
        <v>6.4201885105429138E-2</v>
      </c>
      <c r="G8935" s="69">
        <v>4.9507413673002293E-2</v>
      </c>
    </row>
    <row r="8936" spans="1:7" x14ac:dyDescent="0.3">
      <c r="A8936" s="24">
        <v>43814</v>
      </c>
      <c r="B8936" s="66">
        <v>1682.2</v>
      </c>
      <c r="C8936" s="66">
        <v>1929</v>
      </c>
      <c r="D8936" s="70"/>
      <c r="E8936" s="111">
        <f t="shared" si="143"/>
        <v>138710</v>
      </c>
      <c r="F8936" s="69">
        <v>6.4201885105429138E-2</v>
      </c>
      <c r="G8936" s="69">
        <v>4.9507413673002293E-2</v>
      </c>
    </row>
    <row r="8937" spans="1:7" x14ac:dyDescent="0.3">
      <c r="A8937" s="24">
        <v>43815</v>
      </c>
      <c r="B8937" s="66">
        <v>1682.2</v>
      </c>
      <c r="C8937" s="66">
        <v>1900</v>
      </c>
      <c r="D8937" s="70"/>
      <c r="E8937" s="111">
        <f t="shared" si="143"/>
        <v>138710</v>
      </c>
      <c r="F8937" s="69">
        <v>6.4201885105429138E-2</v>
      </c>
      <c r="G8937" s="69">
        <v>5.1025641025641028E-2</v>
      </c>
    </row>
    <row r="8938" spans="1:7" x14ac:dyDescent="0.3">
      <c r="A8938" s="24">
        <v>43816</v>
      </c>
      <c r="B8938" s="66">
        <v>1682.2</v>
      </c>
      <c r="C8938" s="66">
        <v>1898.9949999999999</v>
      </c>
      <c r="D8938" s="70"/>
      <c r="E8938" s="111">
        <f t="shared" si="143"/>
        <v>138710</v>
      </c>
      <c r="F8938" s="69">
        <v>6.4201885105429138E-2</v>
      </c>
      <c r="G8938" s="69">
        <v>5.0088094638811982E-2</v>
      </c>
    </row>
    <row r="8939" spans="1:7" x14ac:dyDescent="0.3">
      <c r="A8939" s="24">
        <v>43817</v>
      </c>
      <c r="B8939" s="66">
        <v>1682.2</v>
      </c>
      <c r="C8939" s="66">
        <v>1893.1990000000001</v>
      </c>
      <c r="D8939" s="70"/>
      <c r="E8939" s="111">
        <f t="shared" si="143"/>
        <v>138710</v>
      </c>
      <c r="F8939" s="69">
        <v>6.4201885105429138E-2</v>
      </c>
      <c r="G8939" s="69">
        <v>0.05</v>
      </c>
    </row>
    <row r="8940" spans="1:7" x14ac:dyDescent="0.3">
      <c r="A8940" s="24">
        <v>43818</v>
      </c>
      <c r="B8940" s="66">
        <v>1682.2</v>
      </c>
      <c r="C8940" s="66">
        <v>1865.307</v>
      </c>
      <c r="D8940" s="70"/>
      <c r="E8940" s="111">
        <f t="shared" si="143"/>
        <v>138710</v>
      </c>
      <c r="F8940" s="69">
        <v>6.4201885105429138E-2</v>
      </c>
      <c r="G8940" s="69">
        <v>5.0765306122448978E-2</v>
      </c>
    </row>
    <row r="8941" spans="1:7" x14ac:dyDescent="0.3">
      <c r="A8941" s="24">
        <v>43819</v>
      </c>
      <c r="B8941" s="66">
        <v>1682.2</v>
      </c>
      <c r="C8941" s="66">
        <v>1800</v>
      </c>
      <c r="D8941" s="70">
        <v>18</v>
      </c>
      <c r="E8941" s="111">
        <f t="shared" si="143"/>
        <v>138710</v>
      </c>
      <c r="F8941" s="69">
        <v>6.452450764364738E-2</v>
      </c>
      <c r="G8941" s="69">
        <v>5.0895765472312705E-2</v>
      </c>
    </row>
    <row r="8942" spans="1:7" x14ac:dyDescent="0.3">
      <c r="A8942" s="24">
        <v>43820</v>
      </c>
      <c r="B8942" s="66">
        <v>1682.2</v>
      </c>
      <c r="C8942" s="66">
        <v>1800</v>
      </c>
      <c r="D8942" s="70"/>
      <c r="E8942" s="111">
        <f t="shared" si="143"/>
        <v>138710</v>
      </c>
      <c r="F8942" s="69">
        <v>6.452450764364738E-2</v>
      </c>
      <c r="G8942" s="69">
        <v>5.0895765472312705E-2</v>
      </c>
    </row>
    <row r="8943" spans="1:7" x14ac:dyDescent="0.3">
      <c r="A8943" s="24">
        <v>43821</v>
      </c>
      <c r="B8943" s="66">
        <v>1682.2</v>
      </c>
      <c r="C8943" s="66">
        <v>1800</v>
      </c>
      <c r="D8943" s="70"/>
      <c r="E8943" s="111">
        <f t="shared" si="143"/>
        <v>138710</v>
      </c>
      <c r="F8943" s="69">
        <v>6.452450764364738E-2</v>
      </c>
      <c r="G8943" s="69">
        <v>5.0895765472312705E-2</v>
      </c>
    </row>
    <row r="8944" spans="1:7" x14ac:dyDescent="0.3">
      <c r="A8944" s="24">
        <v>43822</v>
      </c>
      <c r="B8944" s="66">
        <v>1682.2</v>
      </c>
      <c r="C8944" s="66">
        <v>1798.49</v>
      </c>
      <c r="D8944" s="70"/>
      <c r="E8944" s="111">
        <f t="shared" si="143"/>
        <v>138710</v>
      </c>
      <c r="F8944" s="69">
        <v>6.452450764364738E-2</v>
      </c>
      <c r="G8944" s="69">
        <v>5.128205128205128E-2</v>
      </c>
    </row>
    <row r="8945" spans="1:7" x14ac:dyDescent="0.3">
      <c r="A8945" s="24">
        <v>43823</v>
      </c>
      <c r="B8945" s="66">
        <v>1682.2</v>
      </c>
      <c r="C8945" s="66">
        <v>1984</v>
      </c>
      <c r="D8945" s="70"/>
      <c r="E8945" s="111">
        <f t="shared" si="143"/>
        <v>138710</v>
      </c>
      <c r="F8945" s="69">
        <v>6.452450764364738E-2</v>
      </c>
      <c r="G8945" s="69">
        <v>5.128205128205128E-2</v>
      </c>
    </row>
    <row r="8946" spans="1:7" x14ac:dyDescent="0.3">
      <c r="A8946" s="24">
        <v>43824</v>
      </c>
      <c r="B8946" s="66">
        <v>1682.2</v>
      </c>
      <c r="C8946" s="66">
        <v>1984</v>
      </c>
      <c r="D8946" s="70"/>
      <c r="E8946" s="111">
        <f t="shared" si="143"/>
        <v>138710</v>
      </c>
      <c r="F8946" s="69">
        <v>6.452450764364738E-2</v>
      </c>
      <c r="G8946" s="69">
        <v>5.128205128205128E-2</v>
      </c>
    </row>
    <row r="8947" spans="1:7" x14ac:dyDescent="0.3">
      <c r="A8947" s="24">
        <v>43825</v>
      </c>
      <c r="B8947" s="66">
        <v>1682.2</v>
      </c>
      <c r="C8947" s="66">
        <v>1871.951</v>
      </c>
      <c r="D8947" s="70"/>
      <c r="E8947" s="111">
        <f t="shared" si="143"/>
        <v>138710</v>
      </c>
      <c r="F8947" s="69">
        <v>6.452450764364738E-2</v>
      </c>
      <c r="G8947" s="69">
        <v>5.1337337645669695E-2</v>
      </c>
    </row>
    <row r="8948" spans="1:7" x14ac:dyDescent="0.3">
      <c r="A8948" s="24">
        <v>43826</v>
      </c>
      <c r="B8948" s="66">
        <v>1682.2</v>
      </c>
      <c r="C8948" s="66">
        <v>1929</v>
      </c>
      <c r="D8948" s="70"/>
      <c r="E8948" s="111">
        <f t="shared" si="143"/>
        <v>138710</v>
      </c>
      <c r="F8948" s="69">
        <v>6.452450764364738E-2</v>
      </c>
      <c r="G8948" s="69">
        <v>5.1347881899871634E-2</v>
      </c>
    </row>
    <row r="8949" spans="1:7" x14ac:dyDescent="0.3">
      <c r="A8949" s="24">
        <v>43827</v>
      </c>
      <c r="B8949" s="66">
        <v>1682.2</v>
      </c>
      <c r="C8949" s="66">
        <v>1929</v>
      </c>
      <c r="D8949" s="70"/>
      <c r="E8949" s="111">
        <f t="shared" si="143"/>
        <v>138710</v>
      </c>
      <c r="F8949" s="69">
        <v>6.452450764364738E-2</v>
      </c>
      <c r="G8949" s="69">
        <v>5.1347881899871634E-2</v>
      </c>
    </row>
    <row r="8950" spans="1:7" x14ac:dyDescent="0.3">
      <c r="A8950" s="24">
        <v>43828</v>
      </c>
      <c r="B8950" s="66">
        <v>1682.2</v>
      </c>
      <c r="C8950" s="66">
        <v>1929</v>
      </c>
      <c r="D8950" s="70"/>
      <c r="E8950" s="111">
        <f t="shared" si="143"/>
        <v>138710</v>
      </c>
      <c r="F8950" s="69">
        <v>6.452450764364738E-2</v>
      </c>
      <c r="G8950" s="69">
        <v>5.1347881899871634E-2</v>
      </c>
    </row>
    <row r="8951" spans="1:7" x14ac:dyDescent="0.3">
      <c r="A8951" s="24">
        <v>43829</v>
      </c>
      <c r="B8951" s="66">
        <v>1682.2</v>
      </c>
      <c r="C8951" s="66">
        <v>1999.625</v>
      </c>
      <c r="D8951" s="70"/>
      <c r="E8951" s="111">
        <f t="shared" si="143"/>
        <v>138710</v>
      </c>
      <c r="F8951" s="69">
        <v>6.452450764364738E-2</v>
      </c>
      <c r="G8951" s="69">
        <v>5.1347881899871634E-2</v>
      </c>
    </row>
    <row r="8952" spans="1:7" x14ac:dyDescent="0.3">
      <c r="A8952" s="24">
        <v>43830</v>
      </c>
      <c r="B8952" s="66">
        <v>1682.2</v>
      </c>
      <c r="C8952" s="66">
        <v>1999.625</v>
      </c>
      <c r="D8952" s="70"/>
      <c r="E8952" s="111">
        <f t="shared" si="143"/>
        <v>138710</v>
      </c>
      <c r="F8952" s="69">
        <v>6.452450764364738E-2</v>
      </c>
      <c r="G8952" s="69">
        <v>5.1347881899871634E-2</v>
      </c>
    </row>
    <row r="8953" spans="1:7" x14ac:dyDescent="0.3">
      <c r="A8953" s="24">
        <v>43831</v>
      </c>
      <c r="B8953" s="66">
        <v>1682.2</v>
      </c>
      <c r="C8953" s="66">
        <v>1999.625</v>
      </c>
      <c r="D8953" s="70"/>
      <c r="E8953" s="111">
        <f t="shared" si="143"/>
        <v>138710</v>
      </c>
      <c r="F8953" s="69">
        <v>6.452450764364738E-2</v>
      </c>
      <c r="G8953" s="69">
        <v>5.0620096178182736E-2</v>
      </c>
    </row>
    <row r="8954" spans="1:7" x14ac:dyDescent="0.3">
      <c r="A8954" s="24">
        <v>43832</v>
      </c>
      <c r="B8954" s="66">
        <v>1682.2</v>
      </c>
      <c r="C8954" s="66">
        <v>1950.222</v>
      </c>
      <c r="D8954" s="70"/>
      <c r="E8954" s="111">
        <f t="shared" si="143"/>
        <v>138710</v>
      </c>
      <c r="F8954" s="69">
        <v>6.452450764364738E-2</v>
      </c>
      <c r="G8954" s="69">
        <v>5.0505050505050504E-2</v>
      </c>
    </row>
    <row r="8955" spans="1:7" x14ac:dyDescent="0.3">
      <c r="A8955" s="24">
        <v>43833</v>
      </c>
      <c r="B8955" s="66">
        <v>1682.2</v>
      </c>
      <c r="C8955" s="66">
        <v>1950.1489999999999</v>
      </c>
      <c r="D8955" s="70"/>
      <c r="E8955" s="111">
        <f t="shared" si="143"/>
        <v>138710</v>
      </c>
      <c r="F8955" s="69">
        <v>6.452450764364738E-2</v>
      </c>
      <c r="G8955" s="69">
        <v>5.0125313283208017E-2</v>
      </c>
    </row>
    <row r="8956" spans="1:7" x14ac:dyDescent="0.3">
      <c r="A8956" s="24">
        <v>43834</v>
      </c>
      <c r="B8956" s="66">
        <v>1682.2</v>
      </c>
      <c r="C8956" s="66">
        <v>1950.1489999999999</v>
      </c>
      <c r="D8956" s="70"/>
      <c r="E8956" s="111">
        <f t="shared" si="143"/>
        <v>138710</v>
      </c>
      <c r="F8956" s="69">
        <v>6.452450764364738E-2</v>
      </c>
      <c r="G8956" s="69">
        <v>5.0125313283208017E-2</v>
      </c>
    </row>
    <row r="8957" spans="1:7" x14ac:dyDescent="0.3">
      <c r="A8957" s="24">
        <v>43835</v>
      </c>
      <c r="B8957" s="66">
        <v>1682.2</v>
      </c>
      <c r="C8957" s="66">
        <v>1950.1489999999999</v>
      </c>
      <c r="D8957" s="70"/>
      <c r="E8957" s="111">
        <f t="shared" si="143"/>
        <v>138710</v>
      </c>
      <c r="F8957" s="69">
        <v>6.452450764364738E-2</v>
      </c>
      <c r="G8957" s="69">
        <v>5.0125313283208017E-2</v>
      </c>
    </row>
    <row r="8958" spans="1:7" x14ac:dyDescent="0.3">
      <c r="A8958" s="24">
        <v>43836</v>
      </c>
      <c r="B8958" s="66">
        <v>1682.2</v>
      </c>
      <c r="C8958" s="66">
        <v>1950.1489999999999</v>
      </c>
      <c r="D8958" s="70"/>
      <c r="E8958" s="111">
        <f t="shared" si="143"/>
        <v>138710</v>
      </c>
      <c r="F8958" s="69">
        <v>6.452450764364738E-2</v>
      </c>
      <c r="G8958" s="69">
        <v>5.0137879167711209E-2</v>
      </c>
    </row>
    <row r="8959" spans="1:7" x14ac:dyDescent="0.3">
      <c r="A8959" s="24">
        <v>43837</v>
      </c>
      <c r="B8959" s="66">
        <v>1682.2</v>
      </c>
      <c r="C8959" s="66">
        <v>1940.2360000000001</v>
      </c>
      <c r="D8959" s="70"/>
      <c r="E8959" s="111">
        <f t="shared" si="143"/>
        <v>138710</v>
      </c>
      <c r="F8959" s="69">
        <v>6.452450764364738E-2</v>
      </c>
      <c r="G8959" s="69">
        <v>5.0152966547971307E-2</v>
      </c>
    </row>
    <row r="8960" spans="1:7" x14ac:dyDescent="0.3">
      <c r="A8960" s="24">
        <v>43838</v>
      </c>
      <c r="B8960" s="66">
        <v>1682.2</v>
      </c>
      <c r="C8960" s="66">
        <v>1948.55</v>
      </c>
      <c r="D8960" s="70"/>
      <c r="E8960" s="111">
        <f t="shared" si="143"/>
        <v>138710</v>
      </c>
      <c r="F8960" s="69">
        <v>6.452450764364738E-2</v>
      </c>
      <c r="G8960" s="69">
        <v>5.0160513643659713E-2</v>
      </c>
    </row>
    <row r="8961" spans="1:7" x14ac:dyDescent="0.3">
      <c r="A8961" s="24">
        <v>43839</v>
      </c>
      <c r="B8961" s="66">
        <v>1682.2</v>
      </c>
      <c r="C8961" s="66">
        <v>1947.433</v>
      </c>
      <c r="D8961" s="70"/>
      <c r="E8961" s="111">
        <f t="shared" si="143"/>
        <v>138710</v>
      </c>
      <c r="F8961" s="69">
        <v>6.452450764364738E-2</v>
      </c>
      <c r="G8961" s="69">
        <v>5.0125313283208017E-2</v>
      </c>
    </row>
    <row r="8962" spans="1:7" x14ac:dyDescent="0.3">
      <c r="A8962" s="24">
        <v>43840</v>
      </c>
      <c r="B8962" s="66">
        <v>1682.2</v>
      </c>
      <c r="C8962" s="66">
        <v>1947.9849999999999</v>
      </c>
      <c r="D8962" s="70"/>
      <c r="E8962" s="111">
        <f t="shared" si="143"/>
        <v>138710</v>
      </c>
      <c r="F8962" s="69">
        <v>6.452450764364738E-2</v>
      </c>
      <c r="G8962" s="69">
        <v>5.0125313283208017E-2</v>
      </c>
    </row>
    <row r="8963" spans="1:7" x14ac:dyDescent="0.3">
      <c r="A8963" s="24">
        <v>43841</v>
      </c>
      <c r="B8963" s="66">
        <v>1682.2</v>
      </c>
      <c r="C8963" s="66">
        <v>1947.9849999999999</v>
      </c>
      <c r="D8963" s="70"/>
      <c r="E8963" s="111">
        <f t="shared" si="143"/>
        <v>138710</v>
      </c>
      <c r="F8963" s="69">
        <v>6.452450764364738E-2</v>
      </c>
      <c r="G8963" s="69">
        <v>5.0125313283208017E-2</v>
      </c>
    </row>
    <row r="8964" spans="1:7" x14ac:dyDescent="0.3">
      <c r="A8964" s="24">
        <v>43842</v>
      </c>
      <c r="B8964" s="66">
        <v>1682.2</v>
      </c>
      <c r="C8964" s="66">
        <v>1947.9849999999999</v>
      </c>
      <c r="D8964" s="70"/>
      <c r="E8964" s="111">
        <f t="shared" si="143"/>
        <v>138710</v>
      </c>
      <c r="F8964" s="69">
        <v>6.452450764364738E-2</v>
      </c>
      <c r="G8964" s="69">
        <v>5.0125313283208017E-2</v>
      </c>
    </row>
    <row r="8965" spans="1:7" x14ac:dyDescent="0.3">
      <c r="A8965" s="24">
        <v>43843</v>
      </c>
      <c r="B8965" s="66">
        <v>1682.2</v>
      </c>
      <c r="C8965" s="66">
        <v>1850</v>
      </c>
      <c r="D8965" s="70"/>
      <c r="E8965" s="111">
        <f t="shared" si="143"/>
        <v>138710</v>
      </c>
      <c r="F8965" s="69">
        <v>6.452450764364738E-2</v>
      </c>
      <c r="G8965" s="69">
        <v>5.0130338881090836E-2</v>
      </c>
    </row>
    <row r="8966" spans="1:7" x14ac:dyDescent="0.3">
      <c r="A8966" s="24">
        <v>43844</v>
      </c>
      <c r="B8966" s="66">
        <v>1682.2</v>
      </c>
      <c r="C8966" s="66">
        <v>1800</v>
      </c>
      <c r="D8966" s="70"/>
      <c r="E8966" s="111">
        <f t="shared" si="143"/>
        <v>138710</v>
      </c>
      <c r="F8966" s="69">
        <v>6.452450764364738E-2</v>
      </c>
      <c r="G8966" s="69">
        <v>5.0157997692732104E-2</v>
      </c>
    </row>
    <row r="8967" spans="1:7" x14ac:dyDescent="0.3">
      <c r="A8967" s="24">
        <v>43845</v>
      </c>
      <c r="B8967" s="66">
        <v>1682.2</v>
      </c>
      <c r="C8967" s="66">
        <v>1790</v>
      </c>
      <c r="D8967" s="70"/>
      <c r="E8967" s="111">
        <f t="shared" si="143"/>
        <v>138710</v>
      </c>
      <c r="F8967" s="69">
        <v>6.452450764364738E-2</v>
      </c>
      <c r="G8967" s="69">
        <v>5.0413389796329908E-2</v>
      </c>
    </row>
    <row r="8968" spans="1:7" x14ac:dyDescent="0.3">
      <c r="A8968" s="24">
        <v>43846</v>
      </c>
      <c r="B8968" s="66">
        <v>1682.2</v>
      </c>
      <c r="C8968" s="66">
        <v>1800.5809999999999</v>
      </c>
      <c r="D8968" s="70"/>
      <c r="E8968" s="111">
        <f t="shared" si="143"/>
        <v>138710</v>
      </c>
      <c r="F8968" s="69">
        <v>6.452450764364738E-2</v>
      </c>
      <c r="G8968" s="69">
        <v>5.0505050505050504E-2</v>
      </c>
    </row>
    <row r="8969" spans="1:7" x14ac:dyDescent="0.3">
      <c r="A8969" s="24">
        <v>43847</v>
      </c>
      <c r="B8969" s="66">
        <v>1682.2</v>
      </c>
      <c r="C8969" s="66">
        <v>1800</v>
      </c>
      <c r="D8969" s="70"/>
      <c r="E8969" s="111">
        <f t="shared" ref="E8969:E9032" si="144">+E8968</f>
        <v>138710</v>
      </c>
      <c r="F8969" s="69">
        <v>6.452450764364738E-2</v>
      </c>
      <c r="G8969" s="69">
        <v>5.0640603635995339E-2</v>
      </c>
    </row>
    <row r="8970" spans="1:7" x14ac:dyDescent="0.3">
      <c r="A8970" s="24">
        <v>43848</v>
      </c>
      <c r="B8970" s="66">
        <v>1682.2</v>
      </c>
      <c r="C8970" s="66">
        <v>1800</v>
      </c>
      <c r="D8970" s="70"/>
      <c r="E8970" s="111">
        <f t="shared" si="144"/>
        <v>138710</v>
      </c>
      <c r="F8970" s="69">
        <v>6.452450764364738E-2</v>
      </c>
      <c r="G8970" s="69">
        <v>5.0640603635995339E-2</v>
      </c>
    </row>
    <row r="8971" spans="1:7" x14ac:dyDescent="0.3">
      <c r="A8971" s="24">
        <v>43849</v>
      </c>
      <c r="B8971" s="66">
        <v>1682.2</v>
      </c>
      <c r="C8971" s="66">
        <v>1800</v>
      </c>
      <c r="D8971" s="70"/>
      <c r="E8971" s="111">
        <f t="shared" si="144"/>
        <v>138710</v>
      </c>
      <c r="F8971" s="69">
        <v>6.452450764364738E-2</v>
      </c>
      <c r="G8971" s="69">
        <v>5.0640603635995339E-2</v>
      </c>
    </row>
    <row r="8972" spans="1:7" x14ac:dyDescent="0.3">
      <c r="A8972" s="24">
        <v>43850</v>
      </c>
      <c r="B8972" s="66">
        <v>1682.2</v>
      </c>
      <c r="C8972" s="66">
        <v>1799.9</v>
      </c>
      <c r="D8972" s="70"/>
      <c r="E8972" s="111">
        <f t="shared" si="144"/>
        <v>138710</v>
      </c>
      <c r="F8972" s="69">
        <v>6.452450764364738E-2</v>
      </c>
      <c r="G8972" s="69">
        <v>5.0661127716702968E-2</v>
      </c>
    </row>
    <row r="8973" spans="1:7" x14ac:dyDescent="0.3">
      <c r="A8973" s="24">
        <v>43851</v>
      </c>
      <c r="B8973" s="66">
        <v>1682.2</v>
      </c>
      <c r="C8973" s="66">
        <v>1750.03</v>
      </c>
      <c r="D8973" s="70"/>
      <c r="E8973" s="111">
        <f t="shared" si="144"/>
        <v>138710</v>
      </c>
      <c r="F8973" s="69">
        <v>6.452450764364738E-2</v>
      </c>
      <c r="G8973" s="69">
        <v>5.0640603635995339E-2</v>
      </c>
    </row>
    <row r="8974" spans="1:7" x14ac:dyDescent="0.3">
      <c r="A8974" s="24">
        <v>43852</v>
      </c>
      <c r="B8974" s="66">
        <v>1682.2</v>
      </c>
      <c r="C8974" s="66">
        <v>1700</v>
      </c>
      <c r="D8974" s="70"/>
      <c r="E8974" s="111">
        <f t="shared" si="144"/>
        <v>138710</v>
      </c>
      <c r="F8974" s="69">
        <v>6.452450764364738E-2</v>
      </c>
      <c r="G8974" s="69">
        <v>5.065599513702447E-2</v>
      </c>
    </row>
    <row r="8975" spans="1:7" x14ac:dyDescent="0.3">
      <c r="A8975" s="24">
        <v>43853</v>
      </c>
      <c r="B8975" s="66">
        <v>1682.2</v>
      </c>
      <c r="C8975" s="66">
        <v>1747.23</v>
      </c>
      <c r="D8975" s="70"/>
      <c r="E8975" s="111">
        <f t="shared" si="144"/>
        <v>138710</v>
      </c>
      <c r="F8975" s="69">
        <v>6.452450764364738E-2</v>
      </c>
      <c r="G8975" s="69">
        <v>5.0658561296859167E-2</v>
      </c>
    </row>
    <row r="8976" spans="1:7" x14ac:dyDescent="0.3">
      <c r="A8976" s="24">
        <v>43854</v>
      </c>
      <c r="B8976" s="66">
        <v>1682.2</v>
      </c>
      <c r="C8976" s="66">
        <v>1750</v>
      </c>
      <c r="D8976" s="70"/>
      <c r="E8976" s="111">
        <f t="shared" si="144"/>
        <v>138710</v>
      </c>
      <c r="F8976" s="69">
        <v>6.452450764364738E-2</v>
      </c>
      <c r="G8976" s="69">
        <v>5.0658561296859167E-2</v>
      </c>
    </row>
    <row r="8977" spans="1:7" x14ac:dyDescent="0.3">
      <c r="A8977" s="24">
        <v>43855</v>
      </c>
      <c r="B8977" s="66">
        <v>1682.2</v>
      </c>
      <c r="C8977" s="66">
        <v>1750</v>
      </c>
      <c r="D8977" s="70"/>
      <c r="E8977" s="111">
        <f t="shared" si="144"/>
        <v>138710</v>
      </c>
      <c r="F8977" s="69">
        <v>6.452450764364738E-2</v>
      </c>
      <c r="G8977" s="69">
        <v>5.0658561296859167E-2</v>
      </c>
    </row>
    <row r="8978" spans="1:7" x14ac:dyDescent="0.3">
      <c r="A8978" s="24">
        <v>43856</v>
      </c>
      <c r="B8978" s="66">
        <v>1682.2</v>
      </c>
      <c r="C8978" s="66">
        <v>1750</v>
      </c>
      <c r="D8978" s="70"/>
      <c r="E8978" s="111">
        <f t="shared" si="144"/>
        <v>138710</v>
      </c>
      <c r="F8978" s="69">
        <v>6.452450764364738E-2</v>
      </c>
      <c r="G8978" s="69">
        <v>5.0658561296859167E-2</v>
      </c>
    </row>
    <row r="8979" spans="1:7" x14ac:dyDescent="0.3">
      <c r="A8979" s="24">
        <v>43857</v>
      </c>
      <c r="B8979" s="66">
        <v>1682.2</v>
      </c>
      <c r="C8979" s="66">
        <v>1750</v>
      </c>
      <c r="D8979" s="70"/>
      <c r="E8979" s="111">
        <f t="shared" si="144"/>
        <v>138710</v>
      </c>
      <c r="F8979" s="69">
        <v>6.452450764364738E-2</v>
      </c>
      <c r="G8979" s="69">
        <v>0.05</v>
      </c>
    </row>
    <row r="8980" spans="1:7" x14ac:dyDescent="0.3">
      <c r="A8980" s="24">
        <v>43858</v>
      </c>
      <c r="B8980" s="66">
        <v>1682.2</v>
      </c>
      <c r="C8980" s="66">
        <v>1748.1</v>
      </c>
      <c r="D8980" s="70"/>
      <c r="E8980" s="111">
        <f t="shared" si="144"/>
        <v>138710</v>
      </c>
      <c r="F8980" s="69">
        <v>6.452450764364738E-2</v>
      </c>
      <c r="G8980" s="69">
        <v>5.0125313283208017E-2</v>
      </c>
    </row>
    <row r="8981" spans="1:7" x14ac:dyDescent="0.3">
      <c r="A8981" s="24">
        <v>43859</v>
      </c>
      <c r="B8981" s="66">
        <v>1682.2</v>
      </c>
      <c r="C8981" s="66">
        <v>1746.941</v>
      </c>
      <c r="D8981" s="70"/>
      <c r="E8981" s="111">
        <f t="shared" si="144"/>
        <v>138710</v>
      </c>
      <c r="F8981" s="69">
        <v>6.452450764364738E-2</v>
      </c>
      <c r="G8981" s="69">
        <v>0.05</v>
      </c>
    </row>
    <row r="8982" spans="1:7" x14ac:dyDescent="0.3">
      <c r="A8982" s="24">
        <v>43860</v>
      </c>
      <c r="B8982" s="66">
        <v>1682.2</v>
      </c>
      <c r="C8982" s="66">
        <v>1755.6120000000001</v>
      </c>
      <c r="D8982" s="70"/>
      <c r="E8982" s="111">
        <f t="shared" si="144"/>
        <v>138710</v>
      </c>
      <c r="F8982" s="69">
        <v>6.452450764364738E-2</v>
      </c>
      <c r="G8982" s="69">
        <v>0.05</v>
      </c>
    </row>
    <row r="8983" spans="1:7" x14ac:dyDescent="0.3">
      <c r="A8983" s="24">
        <v>43861</v>
      </c>
      <c r="B8983" s="66">
        <v>1682.2</v>
      </c>
      <c r="C8983" s="66">
        <v>1790.6780000000001</v>
      </c>
      <c r="D8983" s="70"/>
      <c r="E8983" s="111">
        <f t="shared" si="144"/>
        <v>138710</v>
      </c>
      <c r="F8983" s="69">
        <v>6.452450764364738E-2</v>
      </c>
      <c r="G8983" s="69">
        <v>0.05</v>
      </c>
    </row>
    <row r="8984" spans="1:7" x14ac:dyDescent="0.3">
      <c r="A8984" s="24">
        <v>43862</v>
      </c>
      <c r="B8984" s="66">
        <v>1682.2</v>
      </c>
      <c r="C8984" s="66">
        <v>1790.6780000000001</v>
      </c>
      <c r="D8984" s="70"/>
      <c r="E8984" s="111">
        <f t="shared" si="144"/>
        <v>138710</v>
      </c>
      <c r="F8984" s="69">
        <v>6.452450764364738E-2</v>
      </c>
      <c r="G8984" s="69">
        <v>0.05</v>
      </c>
    </row>
    <row r="8985" spans="1:7" x14ac:dyDescent="0.3">
      <c r="A8985" s="24">
        <v>43863</v>
      </c>
      <c r="B8985" s="66">
        <v>1682.2</v>
      </c>
      <c r="C8985" s="66">
        <v>1790.6780000000001</v>
      </c>
      <c r="D8985" s="70"/>
      <c r="E8985" s="111">
        <f t="shared" si="144"/>
        <v>138710</v>
      </c>
      <c r="F8985" s="69">
        <v>6.452450764364738E-2</v>
      </c>
      <c r="G8985" s="69">
        <v>0.05</v>
      </c>
    </row>
    <row r="8986" spans="1:7" x14ac:dyDescent="0.3">
      <c r="A8986" s="24">
        <v>43864</v>
      </c>
      <c r="B8986" s="66">
        <v>1682.2</v>
      </c>
      <c r="C8986" s="66">
        <v>1778.2339999999999</v>
      </c>
      <c r="D8986" s="70"/>
      <c r="E8986" s="111">
        <f t="shared" si="144"/>
        <v>138710</v>
      </c>
      <c r="F8986" s="69">
        <v>6.452450764364738E-2</v>
      </c>
      <c r="G8986" s="69">
        <v>0.05</v>
      </c>
    </row>
    <row r="8987" spans="1:7" x14ac:dyDescent="0.3">
      <c r="A8987" s="24">
        <v>43865</v>
      </c>
      <c r="B8987" s="66">
        <v>1682.2</v>
      </c>
      <c r="C8987" s="66">
        <v>1778.2339999999999</v>
      </c>
      <c r="D8987" s="70"/>
      <c r="E8987" s="111">
        <f t="shared" si="144"/>
        <v>138710</v>
      </c>
      <c r="F8987" s="69">
        <v>6.452450764364738E-2</v>
      </c>
      <c r="G8987" s="69">
        <v>0.05</v>
      </c>
    </row>
    <row r="8988" spans="1:7" x14ac:dyDescent="0.3">
      <c r="A8988" s="24">
        <v>43866</v>
      </c>
      <c r="B8988" s="66">
        <v>1682.2</v>
      </c>
      <c r="C8988" s="66">
        <v>1750</v>
      </c>
      <c r="D8988" s="70"/>
      <c r="E8988" s="111">
        <f t="shared" si="144"/>
        <v>138710</v>
      </c>
      <c r="F8988" s="69">
        <v>6.452450764364738E-2</v>
      </c>
      <c r="G8988" s="69">
        <v>0.05</v>
      </c>
    </row>
    <row r="8989" spans="1:7" x14ac:dyDescent="0.3">
      <c r="A8989" s="24">
        <v>43867</v>
      </c>
      <c r="B8989" s="66">
        <v>1682.2</v>
      </c>
      <c r="C8989" s="66">
        <v>1740</v>
      </c>
      <c r="D8989" s="70"/>
      <c r="E8989" s="111">
        <f t="shared" si="144"/>
        <v>138710</v>
      </c>
      <c r="F8989" s="69">
        <v>6.452450764364738E-2</v>
      </c>
      <c r="G8989" s="69">
        <v>0.05</v>
      </c>
    </row>
    <row r="8990" spans="1:7" x14ac:dyDescent="0.3">
      <c r="A8990" s="24">
        <v>43868</v>
      </c>
      <c r="B8990" s="66">
        <v>1682.2</v>
      </c>
      <c r="C8990" s="66">
        <v>1748.489</v>
      </c>
      <c r="D8990" s="70"/>
      <c r="E8990" s="111">
        <f t="shared" si="144"/>
        <v>138710</v>
      </c>
      <c r="F8990" s="69">
        <v>6.452450764364738E-2</v>
      </c>
      <c r="G8990" s="69">
        <v>4.9875311720698257E-2</v>
      </c>
    </row>
    <row r="8991" spans="1:7" x14ac:dyDescent="0.3">
      <c r="A8991" s="24">
        <v>43869</v>
      </c>
      <c r="B8991" s="66">
        <v>1682.2</v>
      </c>
      <c r="C8991" s="66">
        <v>1748.489</v>
      </c>
      <c r="D8991" s="70"/>
      <c r="E8991" s="111">
        <f t="shared" si="144"/>
        <v>138710</v>
      </c>
      <c r="F8991" s="69">
        <v>6.452450764364738E-2</v>
      </c>
      <c r="G8991" s="69">
        <v>4.9875311720698257E-2</v>
      </c>
    </row>
    <row r="8992" spans="1:7" x14ac:dyDescent="0.3">
      <c r="A8992" s="24">
        <v>43870</v>
      </c>
      <c r="B8992" s="66">
        <v>1682.2</v>
      </c>
      <c r="C8992" s="66">
        <v>1748.489</v>
      </c>
      <c r="D8992" s="70"/>
      <c r="E8992" s="111">
        <f t="shared" si="144"/>
        <v>138710</v>
      </c>
      <c r="F8992" s="69">
        <v>6.452450764364738E-2</v>
      </c>
      <c r="G8992" s="69">
        <v>4.9875311720698257E-2</v>
      </c>
    </row>
    <row r="8993" spans="1:7" x14ac:dyDescent="0.3">
      <c r="A8993" s="24">
        <v>43871</v>
      </c>
      <c r="B8993" s="66">
        <v>1682.2</v>
      </c>
      <c r="C8993" s="66">
        <v>1765</v>
      </c>
      <c r="D8993" s="70"/>
      <c r="E8993" s="111">
        <f t="shared" si="144"/>
        <v>138710</v>
      </c>
      <c r="F8993" s="69">
        <v>6.452450764364738E-2</v>
      </c>
      <c r="G8993" s="69">
        <v>0.05</v>
      </c>
    </row>
    <row r="8994" spans="1:7" x14ac:dyDescent="0.3">
      <c r="A8994" s="24">
        <v>43872</v>
      </c>
      <c r="B8994" s="66">
        <v>1682.2</v>
      </c>
      <c r="C8994" s="66">
        <v>1755</v>
      </c>
      <c r="D8994" s="70"/>
      <c r="E8994" s="111">
        <f t="shared" si="144"/>
        <v>138710</v>
      </c>
      <c r="F8994" s="69">
        <v>6.452450764364738E-2</v>
      </c>
      <c r="G8994" s="69">
        <v>4.9741345005968961E-2</v>
      </c>
    </row>
    <row r="8995" spans="1:7" x14ac:dyDescent="0.3">
      <c r="A8995" s="24">
        <v>43873</v>
      </c>
      <c r="B8995" s="66">
        <v>1682.2</v>
      </c>
      <c r="C8995" s="66">
        <v>1735</v>
      </c>
      <c r="D8995" s="70"/>
      <c r="E8995" s="111">
        <f t="shared" si="144"/>
        <v>138710</v>
      </c>
      <c r="F8995" s="69">
        <v>6.452450764364738E-2</v>
      </c>
      <c r="G8995" s="69">
        <v>4.8942834768989821E-2</v>
      </c>
    </row>
    <row r="8996" spans="1:7" x14ac:dyDescent="0.3">
      <c r="A8996" s="24">
        <v>43874</v>
      </c>
      <c r="B8996" s="66">
        <v>1682.2</v>
      </c>
      <c r="C8996" s="66">
        <v>1730</v>
      </c>
      <c r="D8996" s="70"/>
      <c r="E8996" s="111">
        <f t="shared" si="144"/>
        <v>138710</v>
      </c>
      <c r="F8996" s="69">
        <v>6.452450764364738E-2</v>
      </c>
      <c r="G8996" s="69">
        <v>4.8756704046806439E-2</v>
      </c>
    </row>
    <row r="8997" spans="1:7" x14ac:dyDescent="0.3">
      <c r="A8997" s="24">
        <v>43875</v>
      </c>
      <c r="B8997" s="66">
        <v>1682.2</v>
      </c>
      <c r="C8997" s="66">
        <v>1735</v>
      </c>
      <c r="D8997" s="70"/>
      <c r="E8997" s="111">
        <f t="shared" si="144"/>
        <v>138710</v>
      </c>
      <c r="F8997" s="69">
        <v>6.452450764364738E-2</v>
      </c>
      <c r="G8997" s="69">
        <v>4.784688995215311E-2</v>
      </c>
    </row>
    <row r="8998" spans="1:7" x14ac:dyDescent="0.3">
      <c r="A8998" s="24">
        <v>43876</v>
      </c>
      <c r="B8998" s="66">
        <v>1682.2</v>
      </c>
      <c r="C8998" s="66">
        <v>1735</v>
      </c>
      <c r="D8998" s="70"/>
      <c r="E8998" s="111">
        <f t="shared" si="144"/>
        <v>138710</v>
      </c>
      <c r="F8998" s="69">
        <v>6.452450764364738E-2</v>
      </c>
      <c r="G8998" s="69">
        <v>4.784688995215311E-2</v>
      </c>
    </row>
    <row r="8999" spans="1:7" x14ac:dyDescent="0.3">
      <c r="A8999" s="24">
        <v>43877</v>
      </c>
      <c r="B8999" s="66">
        <v>1682.2</v>
      </c>
      <c r="C8999" s="66">
        <v>1735</v>
      </c>
      <c r="D8999" s="70"/>
      <c r="E8999" s="111">
        <f t="shared" si="144"/>
        <v>138710</v>
      </c>
      <c r="F8999" s="69">
        <v>6.452450764364738E-2</v>
      </c>
      <c r="G8999" s="69">
        <v>4.784688995215311E-2</v>
      </c>
    </row>
    <row r="9000" spans="1:7" x14ac:dyDescent="0.3">
      <c r="A9000" s="24">
        <v>43878</v>
      </c>
      <c r="B9000" s="66">
        <v>1682.2</v>
      </c>
      <c r="C9000" s="66">
        <v>1722.203</v>
      </c>
      <c r="D9000" s="70"/>
      <c r="E9000" s="111">
        <f t="shared" si="144"/>
        <v>138710</v>
      </c>
      <c r="F9000" s="69">
        <v>6.452450764364738E-2</v>
      </c>
      <c r="G9000" s="69">
        <v>4.6948356807511735E-2</v>
      </c>
    </row>
    <row r="9001" spans="1:7" x14ac:dyDescent="0.3">
      <c r="A9001" s="24">
        <v>43879</v>
      </c>
      <c r="B9001" s="66">
        <v>1682.2</v>
      </c>
      <c r="C9001" s="66">
        <v>1699.9960000000001</v>
      </c>
      <c r="D9001" s="70"/>
      <c r="E9001" s="111">
        <f t="shared" si="144"/>
        <v>138710</v>
      </c>
      <c r="F9001" s="69">
        <v>6.452450764364738E-2</v>
      </c>
      <c r="G9001" s="69">
        <v>4.6262028127313101E-2</v>
      </c>
    </row>
    <row r="9002" spans="1:7" x14ac:dyDescent="0.3">
      <c r="A9002" s="24">
        <v>43880</v>
      </c>
      <c r="B9002" s="66">
        <v>1682.2</v>
      </c>
      <c r="C9002" s="66">
        <v>1698.2829999999999</v>
      </c>
      <c r="D9002" s="70"/>
      <c r="E9002" s="111">
        <f t="shared" si="144"/>
        <v>138710</v>
      </c>
      <c r="F9002" s="69">
        <v>6.452450764364738E-2</v>
      </c>
      <c r="G9002" s="69">
        <v>4.6296296296296294E-2</v>
      </c>
    </row>
    <row r="9003" spans="1:7" x14ac:dyDescent="0.3">
      <c r="A9003" s="24">
        <v>43881</v>
      </c>
      <c r="B9003" s="66">
        <v>1682.2</v>
      </c>
      <c r="C9003" s="66">
        <v>1687.8240000000001</v>
      </c>
      <c r="D9003" s="70"/>
      <c r="E9003" s="111">
        <f t="shared" si="144"/>
        <v>138710</v>
      </c>
      <c r="F9003" s="69">
        <v>6.452450764364738E-2</v>
      </c>
      <c r="G9003" s="69">
        <v>4.6296296296296294E-2</v>
      </c>
    </row>
    <row r="9004" spans="1:7" x14ac:dyDescent="0.3">
      <c r="A9004" s="24">
        <v>43882</v>
      </c>
      <c r="B9004" s="66">
        <v>1682.2</v>
      </c>
      <c r="C9004" s="66">
        <v>1661.452</v>
      </c>
      <c r="D9004" s="70"/>
      <c r="E9004" s="111">
        <f t="shared" si="144"/>
        <v>138710</v>
      </c>
      <c r="F9004" s="69">
        <v>6.452450764364738E-2</v>
      </c>
      <c r="G9004" s="69">
        <v>4.6296296296296294E-2</v>
      </c>
    </row>
    <row r="9005" spans="1:7" x14ac:dyDescent="0.3">
      <c r="A9005" s="24">
        <v>43883</v>
      </c>
      <c r="B9005" s="66">
        <v>1682.2</v>
      </c>
      <c r="C9005" s="66">
        <v>1661.452</v>
      </c>
      <c r="D9005" s="70"/>
      <c r="E9005" s="111">
        <f t="shared" si="144"/>
        <v>138710</v>
      </c>
      <c r="F9005" s="69">
        <v>6.452450764364738E-2</v>
      </c>
      <c r="G9005" s="69">
        <v>4.6296296296296294E-2</v>
      </c>
    </row>
    <row r="9006" spans="1:7" x14ac:dyDescent="0.3">
      <c r="A9006" s="24">
        <v>43884</v>
      </c>
      <c r="B9006" s="66">
        <v>1682.2</v>
      </c>
      <c r="C9006" s="66">
        <v>1661.452</v>
      </c>
      <c r="D9006" s="70"/>
      <c r="E9006" s="111">
        <f t="shared" si="144"/>
        <v>138710</v>
      </c>
      <c r="F9006" s="69">
        <v>6.452450764364738E-2</v>
      </c>
      <c r="G9006" s="69">
        <v>4.6296296296296294E-2</v>
      </c>
    </row>
    <row r="9007" spans="1:7" x14ac:dyDescent="0.3">
      <c r="A9007" s="24">
        <v>43885</v>
      </c>
      <c r="B9007" s="66">
        <v>1682.2</v>
      </c>
      <c r="C9007" s="66">
        <v>1630</v>
      </c>
      <c r="D9007" s="70"/>
      <c r="E9007" s="111">
        <f t="shared" si="144"/>
        <v>138710</v>
      </c>
      <c r="F9007" s="69">
        <v>6.452450764364738E-2</v>
      </c>
      <c r="G9007" s="69">
        <v>4.6511627906976744E-2</v>
      </c>
    </row>
    <row r="9008" spans="1:7" x14ac:dyDescent="0.3">
      <c r="A9008" s="24">
        <v>43886</v>
      </c>
      <c r="B9008" s="66">
        <v>1682.2</v>
      </c>
      <c r="C9008" s="66">
        <v>1597.93</v>
      </c>
      <c r="D9008" s="70"/>
      <c r="E9008" s="111">
        <f t="shared" si="144"/>
        <v>138710</v>
      </c>
      <c r="F9008" s="69">
        <v>6.452450764364738E-2</v>
      </c>
      <c r="G9008" s="69">
        <v>4.6515954972555583E-2</v>
      </c>
    </row>
    <row r="9009" spans="1:7" x14ac:dyDescent="0.3">
      <c r="A9009" s="24">
        <v>43887</v>
      </c>
      <c r="B9009" s="66">
        <v>1682.2</v>
      </c>
      <c r="C9009" s="66">
        <v>1569.92</v>
      </c>
      <c r="D9009" s="70"/>
      <c r="E9009" s="111">
        <f t="shared" si="144"/>
        <v>138710</v>
      </c>
      <c r="F9009" s="69">
        <v>6.3665909827552603E-2</v>
      </c>
      <c r="G9009" s="69">
        <v>4.6728971962616821E-2</v>
      </c>
    </row>
    <row r="9010" spans="1:7" x14ac:dyDescent="0.3">
      <c r="A9010" s="24">
        <v>43888</v>
      </c>
      <c r="B9010" s="66">
        <v>1682.2</v>
      </c>
      <c r="C9010" s="66">
        <v>1507.6079999999999</v>
      </c>
      <c r="D9010" s="70"/>
      <c r="E9010" s="111">
        <f t="shared" si="144"/>
        <v>138710</v>
      </c>
      <c r="F9010" s="69">
        <v>6.3665909827552603E-2</v>
      </c>
      <c r="G9010" s="69">
        <v>4.6667911144297178E-2</v>
      </c>
    </row>
    <row r="9011" spans="1:7" x14ac:dyDescent="0.3">
      <c r="A9011" s="24">
        <v>43889</v>
      </c>
      <c r="B9011" s="66">
        <v>1682.2</v>
      </c>
      <c r="C9011" s="66">
        <v>1501.39</v>
      </c>
      <c r="D9011" s="70"/>
      <c r="E9011" s="111">
        <f t="shared" si="144"/>
        <v>138710</v>
      </c>
      <c r="F9011" s="69">
        <v>6.3665909827552603E-2</v>
      </c>
      <c r="G9011" s="69">
        <v>4.6620046620046623E-2</v>
      </c>
    </row>
    <row r="9012" spans="1:7" x14ac:dyDescent="0.3">
      <c r="A9012" s="24">
        <v>43890</v>
      </c>
      <c r="B9012" s="66">
        <v>1682.2</v>
      </c>
      <c r="C9012" s="66">
        <v>1501.39</v>
      </c>
      <c r="D9012" s="70"/>
      <c r="E9012" s="111">
        <f t="shared" si="144"/>
        <v>138710</v>
      </c>
      <c r="F9012" s="69">
        <v>6.3665909827552603E-2</v>
      </c>
      <c r="G9012" s="69">
        <v>4.6620046620046623E-2</v>
      </c>
    </row>
    <row r="9013" spans="1:7" x14ac:dyDescent="0.3">
      <c r="A9013" s="24">
        <v>43891</v>
      </c>
      <c r="B9013" s="66">
        <v>1682.2</v>
      </c>
      <c r="C9013" s="66">
        <v>1501.39</v>
      </c>
      <c r="D9013" s="70"/>
      <c r="E9013" s="111">
        <f t="shared" si="144"/>
        <v>138710</v>
      </c>
      <c r="F9013" s="69">
        <v>6.3665909827552603E-2</v>
      </c>
      <c r="G9013" s="69">
        <v>4.6620046620046623E-2</v>
      </c>
    </row>
    <row r="9014" spans="1:7" x14ac:dyDescent="0.3">
      <c r="A9014" s="24">
        <v>43892</v>
      </c>
      <c r="B9014" s="66">
        <v>1682.2</v>
      </c>
      <c r="C9014" s="66">
        <v>1552.9570000000001</v>
      </c>
      <c r="D9014" s="70"/>
      <c r="E9014" s="111">
        <f t="shared" si="144"/>
        <v>138710</v>
      </c>
      <c r="F9014" s="69">
        <v>6.3665909827552603E-2</v>
      </c>
      <c r="G9014" s="69">
        <v>4.6731155661479507E-2</v>
      </c>
    </row>
    <row r="9015" spans="1:7" x14ac:dyDescent="0.3">
      <c r="A9015" s="24">
        <v>43893</v>
      </c>
      <c r="B9015" s="66">
        <v>1682.2</v>
      </c>
      <c r="C9015" s="66">
        <v>1540</v>
      </c>
      <c r="D9015" s="70"/>
      <c r="E9015" s="111">
        <f t="shared" si="144"/>
        <v>138710</v>
      </c>
      <c r="F9015" s="69">
        <v>6.3665909827552603E-2</v>
      </c>
      <c r="G9015" s="69">
        <v>4.6731155661479507E-2</v>
      </c>
    </row>
    <row r="9016" spans="1:7" x14ac:dyDescent="0.3">
      <c r="A9016" s="24">
        <v>43894</v>
      </c>
      <c r="B9016" s="66">
        <v>1682.2</v>
      </c>
      <c r="C9016" s="66">
        <v>1575</v>
      </c>
      <c r="D9016" s="70"/>
      <c r="E9016" s="111">
        <f t="shared" si="144"/>
        <v>138710</v>
      </c>
      <c r="F9016" s="69">
        <v>6.3665909827552603E-2</v>
      </c>
      <c r="G9016" s="69">
        <v>4.7391118904317332E-2</v>
      </c>
    </row>
    <row r="9017" spans="1:7" x14ac:dyDescent="0.3">
      <c r="A9017" s="24">
        <v>43895</v>
      </c>
      <c r="B9017" s="66">
        <v>1682.2</v>
      </c>
      <c r="C9017" s="66">
        <v>1560</v>
      </c>
      <c r="D9017" s="70"/>
      <c r="E9017" s="111">
        <f t="shared" si="144"/>
        <v>138710</v>
      </c>
      <c r="F9017" s="69">
        <v>6.3665909827552603E-2</v>
      </c>
      <c r="G9017" s="69">
        <v>4.750819516366573E-2</v>
      </c>
    </row>
    <row r="9018" spans="1:7" x14ac:dyDescent="0.3">
      <c r="A9018" s="24">
        <v>43896</v>
      </c>
      <c r="B9018" s="66">
        <v>1682.2</v>
      </c>
      <c r="C9018" s="66">
        <v>1586.2180000000001</v>
      </c>
      <c r="D9018" s="70"/>
      <c r="E9018" s="111">
        <f t="shared" si="144"/>
        <v>138710</v>
      </c>
      <c r="F9018" s="69">
        <v>6.3665909827552603E-2</v>
      </c>
      <c r="G9018" s="69">
        <v>4.7393364928909949E-2</v>
      </c>
    </row>
    <row r="9019" spans="1:7" x14ac:dyDescent="0.3">
      <c r="A9019" s="24">
        <v>43897</v>
      </c>
      <c r="B9019" s="66">
        <v>1682.2</v>
      </c>
      <c r="C9019" s="66">
        <v>1586.2180000000001</v>
      </c>
      <c r="D9019" s="70"/>
      <c r="E9019" s="111">
        <f t="shared" si="144"/>
        <v>138710</v>
      </c>
      <c r="F9019" s="69">
        <v>6.3665909827552603E-2</v>
      </c>
      <c r="G9019" s="69">
        <v>4.7393364928909949E-2</v>
      </c>
    </row>
    <row r="9020" spans="1:7" x14ac:dyDescent="0.3">
      <c r="A9020" s="24">
        <v>43898</v>
      </c>
      <c r="B9020" s="66">
        <v>1682.2</v>
      </c>
      <c r="C9020" s="66">
        <v>1586.2180000000001</v>
      </c>
      <c r="D9020" s="70"/>
      <c r="E9020" s="111">
        <f t="shared" si="144"/>
        <v>138710</v>
      </c>
      <c r="F9020" s="69">
        <v>6.3665909827552603E-2</v>
      </c>
      <c r="G9020" s="69">
        <v>4.7393364928909949E-2</v>
      </c>
    </row>
    <row r="9021" spans="1:7" x14ac:dyDescent="0.3">
      <c r="A9021" s="24">
        <v>43899</v>
      </c>
      <c r="B9021" s="66">
        <v>1682.2</v>
      </c>
      <c r="C9021" s="66">
        <v>1542.6869999999999</v>
      </c>
      <c r="D9021" s="70"/>
      <c r="E9021" s="111">
        <f t="shared" si="144"/>
        <v>138710</v>
      </c>
      <c r="F9021" s="69">
        <v>6.3665909827552603E-2</v>
      </c>
      <c r="G9021" s="69">
        <v>4.7393364928909949E-2</v>
      </c>
    </row>
    <row r="9022" spans="1:7" x14ac:dyDescent="0.3">
      <c r="A9022" s="24">
        <v>43900</v>
      </c>
      <c r="B9022" s="66">
        <v>1682.2</v>
      </c>
      <c r="C9022" s="66">
        <v>1630</v>
      </c>
      <c r="D9022" s="70"/>
      <c r="E9022" s="111">
        <f t="shared" si="144"/>
        <v>138710</v>
      </c>
      <c r="F9022" s="69">
        <v>6.3665909827552603E-2</v>
      </c>
      <c r="G9022" s="69">
        <v>4.7225501770956316E-2</v>
      </c>
    </row>
    <row r="9023" spans="1:7" x14ac:dyDescent="0.3">
      <c r="A9023" s="24">
        <v>43901</v>
      </c>
      <c r="B9023" s="66">
        <v>1682.2</v>
      </c>
      <c r="C9023" s="66">
        <v>1600.69</v>
      </c>
      <c r="D9023" s="70"/>
      <c r="E9023" s="111">
        <f t="shared" si="144"/>
        <v>138710</v>
      </c>
      <c r="F9023" s="69">
        <v>6.3665909827552603E-2</v>
      </c>
      <c r="G9023" s="69">
        <v>4.6711509715994019E-2</v>
      </c>
    </row>
    <row r="9024" spans="1:7" x14ac:dyDescent="0.3">
      <c r="A9024" s="24">
        <v>43902</v>
      </c>
      <c r="B9024" s="66">
        <v>1682.2</v>
      </c>
      <c r="C9024" s="66">
        <v>1576.402</v>
      </c>
      <c r="D9024" s="70"/>
      <c r="E9024" s="111">
        <f t="shared" si="144"/>
        <v>138710</v>
      </c>
      <c r="F9024" s="69">
        <v>6.3665909827552603E-2</v>
      </c>
      <c r="G9024" s="69">
        <v>4.6728971962616821E-2</v>
      </c>
    </row>
    <row r="9025" spans="1:7" x14ac:dyDescent="0.3">
      <c r="A9025" s="24">
        <v>43903</v>
      </c>
      <c r="B9025" s="66">
        <v>1670.9387999999999</v>
      </c>
      <c r="C9025" s="66">
        <v>1597.3330000000001</v>
      </c>
      <c r="D9025" s="70"/>
      <c r="E9025" s="111">
        <f t="shared" si="144"/>
        <v>138710</v>
      </c>
      <c r="F9025" s="69">
        <v>6.3665909827552603E-2</v>
      </c>
      <c r="G9025" s="69">
        <v>4.6375736214812405E-2</v>
      </c>
    </row>
    <row r="9026" spans="1:7" x14ac:dyDescent="0.3">
      <c r="A9026" s="24">
        <v>43904</v>
      </c>
      <c r="B9026" s="66">
        <v>1670.9387999999999</v>
      </c>
      <c r="C9026" s="66">
        <v>1597.3330000000001</v>
      </c>
      <c r="D9026" s="70"/>
      <c r="E9026" s="111">
        <f t="shared" si="144"/>
        <v>138710</v>
      </c>
      <c r="F9026" s="69">
        <v>6.3665909827552603E-2</v>
      </c>
      <c r="G9026" s="69">
        <v>4.6375736214812405E-2</v>
      </c>
    </row>
    <row r="9027" spans="1:7" x14ac:dyDescent="0.3">
      <c r="A9027" s="24">
        <v>43905</v>
      </c>
      <c r="B9027" s="66">
        <v>1670.9387999999999</v>
      </c>
      <c r="C9027" s="66">
        <v>1597.3330000000001</v>
      </c>
      <c r="D9027" s="70"/>
      <c r="E9027" s="111">
        <f t="shared" si="144"/>
        <v>138710</v>
      </c>
      <c r="F9027" s="69">
        <v>6.3665909827552603E-2</v>
      </c>
      <c r="G9027" s="69">
        <v>4.6375736214812405E-2</v>
      </c>
    </row>
    <row r="9028" spans="1:7" x14ac:dyDescent="0.3">
      <c r="A9028" s="24">
        <v>43906</v>
      </c>
      <c r="B9028" s="66">
        <v>1670.9387999999999</v>
      </c>
      <c r="C9028" s="66">
        <v>1512.232</v>
      </c>
      <c r="D9028" s="70"/>
      <c r="E9028" s="111">
        <f t="shared" si="144"/>
        <v>138710</v>
      </c>
      <c r="F9028" s="69">
        <v>6.3665909827552603E-2</v>
      </c>
      <c r="G9028" s="69">
        <v>4.5873663929538053E-2</v>
      </c>
    </row>
    <row r="9029" spans="1:7" x14ac:dyDescent="0.3">
      <c r="A9029" s="24">
        <v>43907</v>
      </c>
      <c r="B9029" s="66">
        <v>1670.9387999999999</v>
      </c>
      <c r="C9029" s="66">
        <v>1540</v>
      </c>
      <c r="D9029" s="70"/>
      <c r="E9029" s="111">
        <f t="shared" si="144"/>
        <v>138710</v>
      </c>
      <c r="F9029" s="69">
        <v>6.3665909827552603E-2</v>
      </c>
      <c r="G9029" s="69">
        <v>4.5867351619117515E-2</v>
      </c>
    </row>
    <row r="9030" spans="1:7" x14ac:dyDescent="0.3">
      <c r="A9030" s="24">
        <v>43908</v>
      </c>
      <c r="B9030" s="66">
        <v>1670.9387999999999</v>
      </c>
      <c r="C9030" s="66">
        <v>1365.48</v>
      </c>
      <c r="D9030" s="70"/>
      <c r="E9030" s="111">
        <f t="shared" si="144"/>
        <v>138710</v>
      </c>
      <c r="F9030" s="69">
        <v>6.3665909827552603E-2</v>
      </c>
      <c r="G9030" s="69">
        <v>4.5524902121460438E-2</v>
      </c>
    </row>
    <row r="9031" spans="1:7" x14ac:dyDescent="0.3">
      <c r="A9031" s="24">
        <v>43909</v>
      </c>
      <c r="B9031" s="66">
        <v>1670.9387999999999</v>
      </c>
      <c r="C9031" s="66">
        <v>1403.3430000000001</v>
      </c>
      <c r="D9031" s="70"/>
      <c r="E9031" s="111">
        <f t="shared" si="144"/>
        <v>138710</v>
      </c>
      <c r="F9031" s="69">
        <v>6.3665909827552603E-2</v>
      </c>
      <c r="G9031" s="69">
        <v>4.5040987298441588E-2</v>
      </c>
    </row>
    <row r="9032" spans="1:7" x14ac:dyDescent="0.3">
      <c r="A9032" s="24">
        <v>43910</v>
      </c>
      <c r="B9032" s="66">
        <v>1670.9387999999999</v>
      </c>
      <c r="C9032" s="66">
        <v>1574.992</v>
      </c>
      <c r="D9032" s="70"/>
      <c r="E9032" s="111">
        <f t="shared" si="144"/>
        <v>138710</v>
      </c>
      <c r="F9032" s="69">
        <v>6.3665909827552603E-2</v>
      </c>
      <c r="G9032" s="69">
        <v>4.5246821410795897E-2</v>
      </c>
    </row>
    <row r="9033" spans="1:7" x14ac:dyDescent="0.3">
      <c r="A9033" s="24">
        <v>43911</v>
      </c>
      <c r="B9033" s="66">
        <v>1670.9387999999999</v>
      </c>
      <c r="C9033" s="66">
        <v>1574.992</v>
      </c>
      <c r="D9033" s="70"/>
      <c r="E9033" s="111">
        <f t="shared" ref="E9033:E9096" si="145">+E9032</f>
        <v>138710</v>
      </c>
      <c r="F9033" s="69">
        <v>6.3665909827552603E-2</v>
      </c>
      <c r="G9033" s="69">
        <v>4.5246821410795897E-2</v>
      </c>
    </row>
    <row r="9034" spans="1:7" x14ac:dyDescent="0.3">
      <c r="A9034" s="24">
        <v>43912</v>
      </c>
      <c r="B9034" s="66">
        <v>1670.9387999999999</v>
      </c>
      <c r="C9034" s="66">
        <v>1574.992</v>
      </c>
      <c r="D9034" s="70"/>
      <c r="E9034" s="111">
        <f t="shared" si="145"/>
        <v>138710</v>
      </c>
      <c r="F9034" s="69">
        <v>6.3665909827552603E-2</v>
      </c>
      <c r="G9034" s="69">
        <v>4.5246821410795897E-2</v>
      </c>
    </row>
    <row r="9035" spans="1:7" x14ac:dyDescent="0.3">
      <c r="A9035" s="24">
        <v>43913</v>
      </c>
      <c r="B9035" s="66">
        <v>1670.9387999999999</v>
      </c>
      <c r="C9035" s="66">
        <v>1533.692</v>
      </c>
      <c r="D9035" s="70"/>
      <c r="E9035" s="111">
        <f t="shared" si="145"/>
        <v>138710</v>
      </c>
      <c r="F9035" s="69">
        <v>6.3665909827552603E-2</v>
      </c>
      <c r="G9035" s="69">
        <v>4.5454545454545456E-2</v>
      </c>
    </row>
    <row r="9036" spans="1:7" x14ac:dyDescent="0.3">
      <c r="A9036" s="24">
        <v>43914</v>
      </c>
      <c r="B9036" s="66">
        <v>1670.9387999999999</v>
      </c>
      <c r="C9036" s="66">
        <v>1600</v>
      </c>
      <c r="D9036" s="70"/>
      <c r="E9036" s="111">
        <f t="shared" si="145"/>
        <v>138710</v>
      </c>
      <c r="F9036" s="69">
        <v>6.3665909827552603E-2</v>
      </c>
      <c r="G9036" s="69">
        <v>4.4843049327354258E-2</v>
      </c>
    </row>
    <row r="9037" spans="1:7" x14ac:dyDescent="0.3">
      <c r="A9037" s="24">
        <v>43915</v>
      </c>
      <c r="B9037" s="66">
        <v>1670.9387999999999</v>
      </c>
      <c r="C9037" s="66">
        <v>1564.645</v>
      </c>
      <c r="D9037" s="70"/>
      <c r="E9037" s="111">
        <f t="shared" si="145"/>
        <v>138710</v>
      </c>
      <c r="F9037" s="69">
        <v>6.3665909827552603E-2</v>
      </c>
      <c r="G9037" s="69">
        <v>4.4543429844097995E-2</v>
      </c>
    </row>
    <row r="9038" spans="1:7" x14ac:dyDescent="0.3">
      <c r="A9038" s="24">
        <v>43916</v>
      </c>
      <c r="B9038" s="66">
        <v>1670.9387999999999</v>
      </c>
      <c r="C9038" s="66">
        <v>1595</v>
      </c>
      <c r="D9038" s="70"/>
      <c r="E9038" s="111">
        <f t="shared" si="145"/>
        <v>138710</v>
      </c>
      <c r="F9038" s="69">
        <v>6.3665909827552603E-2</v>
      </c>
      <c r="G9038" s="69">
        <v>4.4656812396731117E-2</v>
      </c>
    </row>
    <row r="9039" spans="1:7" x14ac:dyDescent="0.3">
      <c r="A9039" s="24">
        <v>43917</v>
      </c>
      <c r="B9039" s="66">
        <v>1670.9387999999999</v>
      </c>
      <c r="C9039" s="66">
        <v>1584.183</v>
      </c>
      <c r="D9039" s="70">
        <v>14</v>
      </c>
      <c r="E9039" s="111">
        <f t="shared" si="145"/>
        <v>138710</v>
      </c>
      <c r="F9039" s="69">
        <v>6.4302568925828127E-2</v>
      </c>
      <c r="G9039" s="69">
        <v>4.5131596586085169E-2</v>
      </c>
    </row>
    <row r="9040" spans="1:7" x14ac:dyDescent="0.3">
      <c r="A9040" s="24">
        <v>43918</v>
      </c>
      <c r="B9040" s="66">
        <v>1670.9387999999999</v>
      </c>
      <c r="C9040" s="66">
        <v>1584.183</v>
      </c>
      <c r="D9040" s="70"/>
      <c r="E9040" s="111">
        <f t="shared" si="145"/>
        <v>138710</v>
      </c>
      <c r="F9040" s="69">
        <v>6.4302568925828127E-2</v>
      </c>
      <c r="G9040" s="69">
        <v>4.5131596586085169E-2</v>
      </c>
    </row>
    <row r="9041" spans="1:7" x14ac:dyDescent="0.3">
      <c r="A9041" s="24">
        <v>43919</v>
      </c>
      <c r="B9041" s="66">
        <v>1670.9387999999999</v>
      </c>
      <c r="C9041" s="66">
        <v>1584.183</v>
      </c>
      <c r="D9041" s="70"/>
      <c r="E9041" s="111">
        <f t="shared" si="145"/>
        <v>138710</v>
      </c>
      <c r="F9041" s="69">
        <v>6.4302568925828127E-2</v>
      </c>
      <c r="G9041" s="69">
        <v>4.5131596586085169E-2</v>
      </c>
    </row>
    <row r="9042" spans="1:7" x14ac:dyDescent="0.3">
      <c r="A9042" s="24">
        <v>43920</v>
      </c>
      <c r="B9042" s="66">
        <v>1670.9387999999999</v>
      </c>
      <c r="C9042" s="66">
        <v>1570.548</v>
      </c>
      <c r="D9042" s="70"/>
      <c r="E9042" s="111">
        <f t="shared" si="145"/>
        <v>138710</v>
      </c>
      <c r="F9042" s="69">
        <v>6.4302568925828127E-2</v>
      </c>
      <c r="G9042" s="69">
        <v>4.5109423849933009E-2</v>
      </c>
    </row>
    <row r="9043" spans="1:7" x14ac:dyDescent="0.3">
      <c r="A9043" s="24">
        <v>43921</v>
      </c>
      <c r="B9043" s="66">
        <v>1670.9387999999999</v>
      </c>
      <c r="C9043" s="66">
        <v>1548.68</v>
      </c>
      <c r="D9043" s="70"/>
      <c r="E9043" s="111">
        <f t="shared" si="145"/>
        <v>138710</v>
      </c>
      <c r="F9043" s="69">
        <v>6.4302568925828127E-2</v>
      </c>
      <c r="G9043" s="69">
        <v>4.5423881268270745E-2</v>
      </c>
    </row>
    <row r="9044" spans="1:7" x14ac:dyDescent="0.3">
      <c r="A9044" s="24">
        <v>43922</v>
      </c>
      <c r="B9044" s="66">
        <v>1670.9387999999999</v>
      </c>
      <c r="C9044" s="66">
        <v>1531.5150000000001</v>
      </c>
      <c r="D9044" s="70"/>
      <c r="E9044" s="111">
        <f t="shared" si="145"/>
        <v>138710</v>
      </c>
      <c r="F9044" s="69">
        <v>6.4302568925828127E-2</v>
      </c>
      <c r="G9044" s="69">
        <v>4.5393258426966294E-2</v>
      </c>
    </row>
    <row r="9045" spans="1:7" x14ac:dyDescent="0.3">
      <c r="A9045" s="24">
        <v>43923</v>
      </c>
      <c r="B9045" s="66">
        <v>1670.9387999999999</v>
      </c>
      <c r="C9045" s="66">
        <v>1539.223</v>
      </c>
      <c r="D9045" s="70"/>
      <c r="E9045" s="111">
        <f t="shared" si="145"/>
        <v>138710</v>
      </c>
      <c r="F9045" s="69">
        <v>6.4302568925828127E-2</v>
      </c>
      <c r="G9045" s="69">
        <v>4.5520100955471425E-2</v>
      </c>
    </row>
    <row r="9046" spans="1:7" x14ac:dyDescent="0.3">
      <c r="A9046" s="24">
        <v>43924</v>
      </c>
      <c r="B9046" s="66">
        <v>1670.9387999999999</v>
      </c>
      <c r="C9046" s="66">
        <v>1500.027</v>
      </c>
      <c r="D9046" s="70"/>
      <c r="E9046" s="111">
        <f t="shared" si="145"/>
        <v>138710</v>
      </c>
      <c r="F9046" s="69">
        <v>6.4302568925828127E-2</v>
      </c>
      <c r="G9046" s="69">
        <v>4.5497544934456506E-2</v>
      </c>
    </row>
    <row r="9047" spans="1:7" x14ac:dyDescent="0.3">
      <c r="A9047" s="24">
        <v>43925</v>
      </c>
      <c r="B9047" s="66">
        <v>1670.9387999999999</v>
      </c>
      <c r="C9047" s="66">
        <v>1500.027</v>
      </c>
      <c r="D9047" s="70"/>
      <c r="E9047" s="111">
        <f t="shared" si="145"/>
        <v>138710</v>
      </c>
      <c r="F9047" s="69">
        <v>6.4302568925828127E-2</v>
      </c>
      <c r="G9047" s="69">
        <v>4.5497544934456506E-2</v>
      </c>
    </row>
    <row r="9048" spans="1:7" x14ac:dyDescent="0.3">
      <c r="A9048" s="24">
        <v>43926</v>
      </c>
      <c r="B9048" s="66">
        <v>1670.9387999999999</v>
      </c>
      <c r="C9048" s="66">
        <v>1500.027</v>
      </c>
      <c r="D9048" s="70"/>
      <c r="E9048" s="111">
        <f t="shared" si="145"/>
        <v>138710</v>
      </c>
      <c r="F9048" s="69">
        <v>6.4302568925828127E-2</v>
      </c>
      <c r="G9048" s="69">
        <v>4.5497544934456506E-2</v>
      </c>
    </row>
    <row r="9049" spans="1:7" x14ac:dyDescent="0.3">
      <c r="A9049" s="24">
        <v>43927</v>
      </c>
      <c r="B9049" s="66">
        <v>1670.9387999999999</v>
      </c>
      <c r="C9049" s="66">
        <v>1500.7860000000001</v>
      </c>
      <c r="D9049" s="70"/>
      <c r="E9049" s="111">
        <f t="shared" si="145"/>
        <v>138710</v>
      </c>
      <c r="F9049" s="69">
        <v>6.4302568925828127E-2</v>
      </c>
      <c r="G9049" s="69">
        <v>4.5555004284876639E-2</v>
      </c>
    </row>
    <row r="9050" spans="1:7" x14ac:dyDescent="0.3">
      <c r="A9050" s="24">
        <v>43928</v>
      </c>
      <c r="B9050" s="66">
        <v>1670.9387999999999</v>
      </c>
      <c r="C9050" s="66">
        <v>1530</v>
      </c>
      <c r="D9050" s="70"/>
      <c r="E9050" s="111">
        <f t="shared" si="145"/>
        <v>138710</v>
      </c>
      <c r="F9050" s="69">
        <v>6.4302568925828127E-2</v>
      </c>
      <c r="G9050" s="69">
        <v>4.5515998197386207E-2</v>
      </c>
    </row>
    <row r="9051" spans="1:7" x14ac:dyDescent="0.3">
      <c r="A9051" s="24">
        <v>43929</v>
      </c>
      <c r="B9051" s="66">
        <v>1670.9387999999999</v>
      </c>
      <c r="C9051" s="66">
        <v>1554.173</v>
      </c>
      <c r="D9051" s="70"/>
      <c r="E9051" s="111">
        <f t="shared" si="145"/>
        <v>138710</v>
      </c>
      <c r="F9051" s="69">
        <v>6.4302568925828127E-2</v>
      </c>
      <c r="G9051" s="69">
        <v>4.5524204453258811E-2</v>
      </c>
    </row>
    <row r="9052" spans="1:7" x14ac:dyDescent="0.3">
      <c r="A9052" s="24">
        <v>43930</v>
      </c>
      <c r="B9052" s="66">
        <v>1670.9387999999999</v>
      </c>
      <c r="C9052" s="66">
        <v>1575</v>
      </c>
      <c r="D9052" s="70"/>
      <c r="E9052" s="111">
        <f t="shared" si="145"/>
        <v>138710</v>
      </c>
      <c r="F9052" s="69">
        <v>6.4302568925828127E-2</v>
      </c>
      <c r="G9052" s="69">
        <v>4.5929968167348796E-2</v>
      </c>
    </row>
    <row r="9053" spans="1:7" x14ac:dyDescent="0.3">
      <c r="A9053" s="24">
        <v>43931</v>
      </c>
      <c r="B9053" s="66">
        <v>1670.9387999999999</v>
      </c>
      <c r="C9053" s="66">
        <v>1575</v>
      </c>
      <c r="D9053" s="70"/>
      <c r="E9053" s="111">
        <f t="shared" si="145"/>
        <v>138710</v>
      </c>
      <c r="F9053" s="69">
        <v>6.4302568925828127E-2</v>
      </c>
      <c r="G9053" s="69">
        <v>4.6330275229357801E-2</v>
      </c>
    </row>
    <row r="9054" spans="1:7" x14ac:dyDescent="0.3">
      <c r="A9054" s="24">
        <v>43932</v>
      </c>
      <c r="B9054" s="66">
        <v>1670.9387999999999</v>
      </c>
      <c r="C9054" s="66">
        <v>1575</v>
      </c>
      <c r="D9054" s="70"/>
      <c r="E9054" s="111">
        <f t="shared" si="145"/>
        <v>138710</v>
      </c>
      <c r="F9054" s="69">
        <v>6.4302568925828127E-2</v>
      </c>
      <c r="G9054" s="69">
        <v>4.6330275229357801E-2</v>
      </c>
    </row>
    <row r="9055" spans="1:7" x14ac:dyDescent="0.3">
      <c r="A9055" s="24">
        <v>43933</v>
      </c>
      <c r="B9055" s="66">
        <v>1670.9387999999999</v>
      </c>
      <c r="C9055" s="66">
        <v>1575</v>
      </c>
      <c r="D9055" s="70"/>
      <c r="E9055" s="111">
        <f t="shared" si="145"/>
        <v>138710</v>
      </c>
      <c r="F9055" s="69">
        <v>6.4302568925828127E-2</v>
      </c>
      <c r="G9055" s="69">
        <v>4.6330275229357801E-2</v>
      </c>
    </row>
    <row r="9056" spans="1:7" x14ac:dyDescent="0.3">
      <c r="A9056" s="24">
        <v>43934</v>
      </c>
      <c r="B9056" s="66">
        <v>1670.9387999999999</v>
      </c>
      <c r="C9056" s="66">
        <v>1595</v>
      </c>
      <c r="D9056" s="70"/>
      <c r="E9056" s="111">
        <f t="shared" si="145"/>
        <v>138710</v>
      </c>
      <c r="F9056" s="69">
        <v>6.4302568925828127E-2</v>
      </c>
      <c r="G9056" s="69">
        <v>4.6330275229357801E-2</v>
      </c>
    </row>
    <row r="9057" spans="1:7" x14ac:dyDescent="0.3">
      <c r="A9057" s="24">
        <v>43935</v>
      </c>
      <c r="B9057" s="66">
        <v>1670.9387999999999</v>
      </c>
      <c r="C9057" s="66">
        <v>1710</v>
      </c>
      <c r="D9057" s="70"/>
      <c r="E9057" s="111">
        <f t="shared" si="145"/>
        <v>138710</v>
      </c>
      <c r="F9057" s="69">
        <v>6.4302568925828127E-2</v>
      </c>
      <c r="G9057" s="69">
        <v>4.5950864422202004E-2</v>
      </c>
    </row>
    <row r="9058" spans="1:7" x14ac:dyDescent="0.3">
      <c r="A9058" s="24">
        <v>43936</v>
      </c>
      <c r="B9058" s="66">
        <v>1670.9387999999999</v>
      </c>
      <c r="C9058" s="66">
        <v>1735</v>
      </c>
      <c r="D9058" s="70"/>
      <c r="E9058" s="111">
        <f t="shared" si="145"/>
        <v>138710</v>
      </c>
      <c r="F9058" s="69">
        <v>6.4302568925828127E-2</v>
      </c>
      <c r="G9058" s="69">
        <v>4.6389858533896752E-2</v>
      </c>
    </row>
    <row r="9059" spans="1:7" x14ac:dyDescent="0.3">
      <c r="A9059" s="24">
        <v>43937</v>
      </c>
      <c r="B9059" s="66">
        <v>1670.9387999999999</v>
      </c>
      <c r="C9059" s="66">
        <v>1738.578</v>
      </c>
      <c r="D9059" s="70"/>
      <c r="E9059" s="111">
        <f t="shared" si="145"/>
        <v>138710</v>
      </c>
      <c r="F9059" s="69">
        <v>6.4302568925828127E-2</v>
      </c>
      <c r="G9059" s="69">
        <v>4.6319651456088053E-2</v>
      </c>
    </row>
    <row r="9060" spans="1:7" x14ac:dyDescent="0.3">
      <c r="A9060" s="24">
        <v>43938</v>
      </c>
      <c r="B9060" s="66">
        <v>1670.9387999999999</v>
      </c>
      <c r="C9060" s="66">
        <v>1749.6479999999999</v>
      </c>
      <c r="D9060" s="70"/>
      <c r="E9060" s="111">
        <f t="shared" si="145"/>
        <v>138710</v>
      </c>
      <c r="F9060" s="69">
        <v>6.4302568925828127E-2</v>
      </c>
      <c r="G9060" s="69">
        <v>4.6319651456088053E-2</v>
      </c>
    </row>
    <row r="9061" spans="1:7" x14ac:dyDescent="0.3">
      <c r="A9061" s="24">
        <v>43939</v>
      </c>
      <c r="B9061" s="66">
        <v>1670.9387999999999</v>
      </c>
      <c r="C9061" s="66">
        <v>1749.6479999999999</v>
      </c>
      <c r="D9061" s="70"/>
      <c r="E9061" s="111">
        <f t="shared" si="145"/>
        <v>138710</v>
      </c>
      <c r="F9061" s="69">
        <v>6.4302568925828127E-2</v>
      </c>
      <c r="G9061" s="69">
        <v>4.6319651456088053E-2</v>
      </c>
    </row>
    <row r="9062" spans="1:7" x14ac:dyDescent="0.3">
      <c r="A9062" s="24">
        <v>43940</v>
      </c>
      <c r="B9062" s="66">
        <v>1670.9387999999999</v>
      </c>
      <c r="C9062" s="66">
        <v>1749.6479999999999</v>
      </c>
      <c r="D9062" s="70"/>
      <c r="E9062" s="111">
        <f t="shared" si="145"/>
        <v>138710</v>
      </c>
      <c r="F9062" s="69">
        <v>6.4302568925828127E-2</v>
      </c>
      <c r="G9062" s="69">
        <v>4.6319651456088053E-2</v>
      </c>
    </row>
    <row r="9063" spans="1:7" x14ac:dyDescent="0.3">
      <c r="A9063" s="24">
        <v>43941</v>
      </c>
      <c r="B9063" s="66">
        <v>1670.9387999999999</v>
      </c>
      <c r="C9063" s="66">
        <v>1761.277</v>
      </c>
      <c r="D9063" s="70"/>
      <c r="E9063" s="111">
        <f t="shared" si="145"/>
        <v>138710</v>
      </c>
      <c r="F9063" s="69">
        <v>6.4302568925828127E-2</v>
      </c>
      <c r="G9063" s="69">
        <v>4.6038836721670161E-2</v>
      </c>
    </row>
    <row r="9064" spans="1:7" x14ac:dyDescent="0.3">
      <c r="A9064" s="24">
        <v>43942</v>
      </c>
      <c r="B9064" s="66">
        <v>1670.9387999999999</v>
      </c>
      <c r="C9064" s="66">
        <v>1748.5070000000001</v>
      </c>
      <c r="D9064" s="70"/>
      <c r="E9064" s="111">
        <f t="shared" si="145"/>
        <v>138710</v>
      </c>
      <c r="F9064" s="69">
        <v>6.4302568925828127E-2</v>
      </c>
      <c r="G9064" s="69">
        <v>4.6139789858382824E-2</v>
      </c>
    </row>
    <row r="9065" spans="1:7" x14ac:dyDescent="0.3">
      <c r="A9065" s="24">
        <v>43943</v>
      </c>
      <c r="B9065" s="66">
        <v>1670.9387999999999</v>
      </c>
      <c r="C9065" s="66">
        <v>1750</v>
      </c>
      <c r="D9065" s="70"/>
      <c r="E9065" s="111">
        <f t="shared" si="145"/>
        <v>138710</v>
      </c>
      <c r="F9065" s="69">
        <v>6.4302568925828127E-2</v>
      </c>
      <c r="G9065" s="69">
        <v>4.6328150084858494E-2</v>
      </c>
    </row>
    <row r="9066" spans="1:7" x14ac:dyDescent="0.3">
      <c r="A9066" s="24">
        <v>43944</v>
      </c>
      <c r="B9066" s="66">
        <v>1670.9387999999999</v>
      </c>
      <c r="C9066" s="66">
        <v>1745.645</v>
      </c>
      <c r="D9066" s="70"/>
      <c r="E9066" s="111">
        <f t="shared" si="145"/>
        <v>138710</v>
      </c>
      <c r="F9066" s="69">
        <v>6.4302568925828127E-2</v>
      </c>
      <c r="G9066" s="69">
        <v>4.6432511952923874E-2</v>
      </c>
    </row>
    <row r="9067" spans="1:7" x14ac:dyDescent="0.3">
      <c r="A9067" s="24">
        <v>43945</v>
      </c>
      <c r="B9067" s="66">
        <v>1670.9387999999999</v>
      </c>
      <c r="C9067" s="66">
        <v>1747.9860000000001</v>
      </c>
      <c r="D9067" s="70">
        <v>38</v>
      </c>
      <c r="E9067" s="111">
        <f t="shared" si="145"/>
        <v>138710</v>
      </c>
      <c r="F9067" s="69">
        <v>8.8495614660298122E-2</v>
      </c>
      <c r="G9067" s="69">
        <v>6.3820018365472908E-2</v>
      </c>
    </row>
    <row r="9068" spans="1:7" x14ac:dyDescent="0.3">
      <c r="A9068" s="24">
        <v>43946</v>
      </c>
      <c r="B9068" s="66">
        <v>1670.9387999999999</v>
      </c>
      <c r="C9068" s="66">
        <v>1747.9860000000001</v>
      </c>
      <c r="D9068" s="70"/>
      <c r="E9068" s="111">
        <f t="shared" si="145"/>
        <v>138710</v>
      </c>
      <c r="F9068" s="69">
        <v>8.8495614660298122E-2</v>
      </c>
      <c r="G9068" s="69">
        <v>6.3820018365472908E-2</v>
      </c>
    </row>
    <row r="9069" spans="1:7" x14ac:dyDescent="0.3">
      <c r="A9069" s="24">
        <v>43947</v>
      </c>
      <c r="B9069" s="66">
        <v>1670.9387999999999</v>
      </c>
      <c r="C9069" s="66">
        <v>1747.9860000000001</v>
      </c>
      <c r="D9069" s="70"/>
      <c r="E9069" s="111">
        <f t="shared" si="145"/>
        <v>138710</v>
      </c>
      <c r="F9069" s="69">
        <v>8.8495614660298122E-2</v>
      </c>
      <c r="G9069" s="69">
        <v>6.3820018365472908E-2</v>
      </c>
    </row>
    <row r="9070" spans="1:7" x14ac:dyDescent="0.3">
      <c r="A9070" s="24">
        <v>43948</v>
      </c>
      <c r="B9070" s="66">
        <v>1670.9387999999999</v>
      </c>
      <c r="C9070" s="66">
        <v>1748.6869999999999</v>
      </c>
      <c r="D9070" s="70"/>
      <c r="E9070" s="111">
        <f t="shared" si="145"/>
        <v>138710</v>
      </c>
      <c r="F9070" s="69">
        <v>8.8495614660298122E-2</v>
      </c>
      <c r="G9070" s="69">
        <v>6.3817088287957402E-2</v>
      </c>
    </row>
    <row r="9071" spans="1:7" x14ac:dyDescent="0.3">
      <c r="A9071" s="24">
        <v>43949</v>
      </c>
      <c r="B9071" s="66">
        <v>1670.9387999999999</v>
      </c>
      <c r="C9071" s="66">
        <v>1746.1379999999999</v>
      </c>
      <c r="D9071" s="70"/>
      <c r="E9071" s="111">
        <f t="shared" si="145"/>
        <v>138710</v>
      </c>
      <c r="F9071" s="69">
        <v>8.8495614660298122E-2</v>
      </c>
      <c r="G9071" s="69">
        <v>6.3679677478468019E-2</v>
      </c>
    </row>
    <row r="9072" spans="1:7" x14ac:dyDescent="0.3">
      <c r="A9072" s="24">
        <v>43950</v>
      </c>
      <c r="B9072" s="66">
        <v>1670.9387999999999</v>
      </c>
      <c r="C9072" s="66">
        <v>1749.5419999999999</v>
      </c>
      <c r="D9072" s="70"/>
      <c r="E9072" s="111">
        <f t="shared" si="145"/>
        <v>138710</v>
      </c>
      <c r="F9072" s="69">
        <v>8.8495614660298122E-2</v>
      </c>
      <c r="G9072" s="69">
        <v>6.3679677478468019E-2</v>
      </c>
    </row>
    <row r="9073" spans="1:7" x14ac:dyDescent="0.3">
      <c r="A9073" s="24">
        <v>43951</v>
      </c>
      <c r="B9073" s="66">
        <v>1670.9387999999999</v>
      </c>
      <c r="C9073" s="66">
        <v>1738.2539999999999</v>
      </c>
      <c r="D9073" s="70"/>
      <c r="E9073" s="111">
        <f t="shared" si="145"/>
        <v>138710</v>
      </c>
      <c r="F9073" s="69">
        <v>8.8495614660298122E-2</v>
      </c>
      <c r="G9073" s="69">
        <v>6.3383492932056543E-2</v>
      </c>
    </row>
    <row r="9074" spans="1:7" x14ac:dyDescent="0.3">
      <c r="A9074" s="24">
        <v>43952</v>
      </c>
      <c r="B9074" s="66">
        <v>1670.9387999999999</v>
      </c>
      <c r="C9074" s="66">
        <v>1738.2539999999999</v>
      </c>
      <c r="D9074" s="70"/>
      <c r="E9074" s="111">
        <f t="shared" si="145"/>
        <v>138710</v>
      </c>
      <c r="F9074" s="69">
        <v>8.8495614660298122E-2</v>
      </c>
      <c r="G9074" s="69">
        <v>6.3181818181818186E-2</v>
      </c>
    </row>
    <row r="9075" spans="1:7" x14ac:dyDescent="0.3">
      <c r="A9075" s="24">
        <v>43953</v>
      </c>
      <c r="B9075" s="66">
        <v>1670.9387999999999</v>
      </c>
      <c r="C9075" s="66">
        <v>1738.2539999999999</v>
      </c>
      <c r="D9075" s="70"/>
      <c r="E9075" s="111">
        <f t="shared" si="145"/>
        <v>138710</v>
      </c>
      <c r="F9075" s="69">
        <v>8.8495614660298122E-2</v>
      </c>
      <c r="G9075" s="69">
        <v>6.3181818181818186E-2</v>
      </c>
    </row>
    <row r="9076" spans="1:7" x14ac:dyDescent="0.3">
      <c r="A9076" s="24">
        <v>43954</v>
      </c>
      <c r="B9076" s="66">
        <v>1670.9387999999999</v>
      </c>
      <c r="C9076" s="66">
        <v>1738.2539999999999</v>
      </c>
      <c r="D9076" s="70"/>
      <c r="E9076" s="111">
        <f t="shared" si="145"/>
        <v>138710</v>
      </c>
      <c r="F9076" s="69">
        <v>8.8495614660298122E-2</v>
      </c>
      <c r="G9076" s="69">
        <v>6.3181818181818186E-2</v>
      </c>
    </row>
    <row r="9077" spans="1:7" x14ac:dyDescent="0.3">
      <c r="A9077" s="24">
        <v>43955</v>
      </c>
      <c r="B9077" s="66">
        <v>1670.9387999999999</v>
      </c>
      <c r="C9077" s="66">
        <v>1728.615</v>
      </c>
      <c r="D9077" s="70"/>
      <c r="E9077" s="111">
        <f t="shared" si="145"/>
        <v>138710</v>
      </c>
      <c r="F9077" s="69">
        <v>8.8495614660298122E-2</v>
      </c>
      <c r="G9077" s="69">
        <v>6.2873168083951506E-2</v>
      </c>
    </row>
    <row r="9078" spans="1:7" x14ac:dyDescent="0.3">
      <c r="A9078" s="24">
        <v>43956</v>
      </c>
      <c r="B9078" s="66">
        <v>1670.9387999999999</v>
      </c>
      <c r="C9078" s="66">
        <v>1725</v>
      </c>
      <c r="D9078" s="70"/>
      <c r="E9078" s="111">
        <f t="shared" si="145"/>
        <v>138710</v>
      </c>
      <c r="F9078" s="69">
        <v>8.8495614660298122E-2</v>
      </c>
      <c r="G9078" s="69">
        <v>6.1485380634316807E-2</v>
      </c>
    </row>
    <row r="9079" spans="1:7" x14ac:dyDescent="0.3">
      <c r="A9079" s="24">
        <v>43957</v>
      </c>
      <c r="B9079" s="66">
        <v>1670.9387999999999</v>
      </c>
      <c r="C9079" s="66">
        <v>1703.7739999999999</v>
      </c>
      <c r="D9079" s="70"/>
      <c r="E9079" s="111">
        <f t="shared" si="145"/>
        <v>138710</v>
      </c>
      <c r="F9079" s="69">
        <v>8.8495614660298122E-2</v>
      </c>
      <c r="G9079" s="69">
        <v>6.1482661004953996E-2</v>
      </c>
    </row>
    <row r="9080" spans="1:7" x14ac:dyDescent="0.3">
      <c r="A9080" s="24">
        <v>43958</v>
      </c>
      <c r="B9080" s="66">
        <v>1670.9387999999999</v>
      </c>
      <c r="C9080" s="66">
        <v>1682</v>
      </c>
      <c r="D9080" s="70"/>
      <c r="E9080" s="111">
        <f t="shared" si="145"/>
        <v>138710</v>
      </c>
      <c r="F9080" s="69">
        <v>8.8495614660298122E-2</v>
      </c>
      <c r="G9080" s="69">
        <v>6.1504424778761065E-2</v>
      </c>
    </row>
    <row r="9081" spans="1:7" x14ac:dyDescent="0.3">
      <c r="A9081" s="24">
        <v>43959</v>
      </c>
      <c r="B9081" s="66">
        <v>1670.9387999999999</v>
      </c>
      <c r="C9081" s="66">
        <v>1635.57</v>
      </c>
      <c r="D9081" s="70"/>
      <c r="E9081" s="111">
        <f t="shared" si="145"/>
        <v>138710</v>
      </c>
      <c r="F9081" s="69">
        <v>8.8495614660298122E-2</v>
      </c>
      <c r="G9081" s="69">
        <v>6.325369738339022E-2</v>
      </c>
    </row>
    <row r="9082" spans="1:7" x14ac:dyDescent="0.3">
      <c r="A9082" s="24">
        <v>43960</v>
      </c>
      <c r="B9082" s="66">
        <v>1670.9387999999999</v>
      </c>
      <c r="C9082" s="66">
        <v>1635.57</v>
      </c>
      <c r="D9082" s="70"/>
      <c r="E9082" s="111">
        <f t="shared" si="145"/>
        <v>138710</v>
      </c>
      <c r="F9082" s="69">
        <v>6.4302568925828127E-2</v>
      </c>
      <c r="G9082" s="69">
        <v>4.5961319681456198E-2</v>
      </c>
    </row>
    <row r="9083" spans="1:7" x14ac:dyDescent="0.3">
      <c r="A9083" s="24">
        <v>43961</v>
      </c>
      <c r="B9083" s="66">
        <v>1670.9387999999999</v>
      </c>
      <c r="C9083" s="66">
        <v>1635.57</v>
      </c>
      <c r="D9083" s="70"/>
      <c r="E9083" s="111">
        <f t="shared" si="145"/>
        <v>138710</v>
      </c>
      <c r="F9083" s="69">
        <v>6.4302568925828127E-2</v>
      </c>
      <c r="G9083" s="69">
        <v>4.5961319681456198E-2</v>
      </c>
    </row>
    <row r="9084" spans="1:7" x14ac:dyDescent="0.3">
      <c r="A9084" s="24">
        <v>43962</v>
      </c>
      <c r="B9084" s="66">
        <v>1670.9387999999999</v>
      </c>
      <c r="C9084" s="66">
        <v>1603.6489999999999</v>
      </c>
      <c r="D9084" s="70"/>
      <c r="E9084" s="111">
        <f t="shared" si="145"/>
        <v>138710</v>
      </c>
      <c r="F9084" s="69">
        <v>6.4302568925828127E-2</v>
      </c>
      <c r="G9084" s="69">
        <v>4.5909090909090906E-2</v>
      </c>
    </row>
    <row r="9085" spans="1:7" x14ac:dyDescent="0.3">
      <c r="A9085" s="24">
        <v>43963</v>
      </c>
      <c r="B9085" s="66">
        <v>1670.9387999999999</v>
      </c>
      <c r="C9085" s="66">
        <v>1628.9</v>
      </c>
      <c r="D9085" s="70"/>
      <c r="E9085" s="111">
        <f t="shared" si="145"/>
        <v>138710</v>
      </c>
      <c r="F9085" s="69">
        <v>6.4302568925828127E-2</v>
      </c>
      <c r="G9085" s="69">
        <v>4.5192178620967381E-2</v>
      </c>
    </row>
    <row r="9086" spans="1:7" x14ac:dyDescent="0.3">
      <c r="A9086" s="24">
        <v>43964</v>
      </c>
      <c r="B9086" s="66">
        <v>1670.9387999999999</v>
      </c>
      <c r="C9086" s="66">
        <v>1601</v>
      </c>
      <c r="D9086" s="70"/>
      <c r="E9086" s="111">
        <f t="shared" si="145"/>
        <v>138710</v>
      </c>
      <c r="F9086" s="69">
        <v>6.4302568925828127E-2</v>
      </c>
      <c r="G9086" s="69">
        <v>4.3922591867797345E-2</v>
      </c>
    </row>
    <row r="9087" spans="1:7" x14ac:dyDescent="0.3">
      <c r="A9087" s="24">
        <v>43965</v>
      </c>
      <c r="B9087" s="66">
        <v>1670.9387999999999</v>
      </c>
      <c r="C9087" s="66">
        <v>1600.14</v>
      </c>
      <c r="D9087" s="70"/>
      <c r="E9087" s="111">
        <f t="shared" si="145"/>
        <v>138710</v>
      </c>
      <c r="F9087" s="69">
        <v>6.4302568925828127E-2</v>
      </c>
      <c r="G9087" s="69">
        <v>4.3913043478260867E-2</v>
      </c>
    </row>
    <row r="9088" spans="1:7" x14ac:dyDescent="0.3">
      <c r="A9088" s="24">
        <v>43966</v>
      </c>
      <c r="B9088" s="66">
        <v>1670.9387999999999</v>
      </c>
      <c r="C9088" s="66">
        <v>1545.097</v>
      </c>
      <c r="D9088" s="70"/>
      <c r="E9088" s="111">
        <f t="shared" si="145"/>
        <v>138710</v>
      </c>
      <c r="F9088" s="69">
        <v>6.4302568925828127E-2</v>
      </c>
      <c r="G9088" s="69">
        <v>4.3913043478260867E-2</v>
      </c>
    </row>
    <row r="9089" spans="1:7" x14ac:dyDescent="0.3">
      <c r="A9089" s="24">
        <v>43967</v>
      </c>
      <c r="B9089" s="66">
        <v>1670.9387999999999</v>
      </c>
      <c r="C9089" s="66">
        <v>1545.097</v>
      </c>
      <c r="D9089" s="70"/>
      <c r="E9089" s="111">
        <f t="shared" si="145"/>
        <v>138710</v>
      </c>
      <c r="F9089" s="69">
        <v>6.4302568925828127E-2</v>
      </c>
      <c r="G9089" s="69">
        <v>4.3913043478260867E-2</v>
      </c>
    </row>
    <row r="9090" spans="1:7" x14ac:dyDescent="0.3">
      <c r="A9090" s="24">
        <v>43968</v>
      </c>
      <c r="B9090" s="66">
        <v>1670.9387999999999</v>
      </c>
      <c r="C9090" s="66">
        <v>1545.097</v>
      </c>
      <c r="D9090" s="70"/>
      <c r="E9090" s="111">
        <f t="shared" si="145"/>
        <v>138710</v>
      </c>
      <c r="F9090" s="69">
        <v>6.4302568925828127E-2</v>
      </c>
      <c r="G9090" s="69">
        <v>4.3913043478260867E-2</v>
      </c>
    </row>
    <row r="9091" spans="1:7" x14ac:dyDescent="0.3">
      <c r="A9091" s="24">
        <v>43969</v>
      </c>
      <c r="B9091" s="66">
        <v>1670.9387999999999</v>
      </c>
      <c r="C9091" s="66">
        <v>1560.1469999999999</v>
      </c>
      <c r="D9091" s="70"/>
      <c r="E9091" s="111">
        <f t="shared" si="145"/>
        <v>138710</v>
      </c>
      <c r="F9091" s="69">
        <v>6.4302568925828127E-2</v>
      </c>
      <c r="G9091" s="69">
        <v>4.4493392070484583E-2</v>
      </c>
    </row>
    <row r="9092" spans="1:7" x14ac:dyDescent="0.3">
      <c r="A9092" s="24">
        <v>43970</v>
      </c>
      <c r="B9092" s="66">
        <v>1670.9387999999999</v>
      </c>
      <c r="C9092" s="66">
        <v>1570</v>
      </c>
      <c r="D9092" s="70"/>
      <c r="E9092" s="111">
        <f t="shared" si="145"/>
        <v>138710</v>
      </c>
      <c r="F9092" s="69">
        <v>6.4302568925828127E-2</v>
      </c>
      <c r="G9092" s="69">
        <v>4.4493392070484583E-2</v>
      </c>
    </row>
    <row r="9093" spans="1:7" x14ac:dyDescent="0.3">
      <c r="A9093" s="24">
        <v>43971</v>
      </c>
      <c r="B9093" s="66">
        <v>1706.9</v>
      </c>
      <c r="C9093" s="66">
        <v>1522.155</v>
      </c>
      <c r="D9093" s="70"/>
      <c r="E9093" s="111">
        <f t="shared" si="145"/>
        <v>138710</v>
      </c>
      <c r="F9093" s="69">
        <v>6.4302568925828127E-2</v>
      </c>
      <c r="G9093" s="69">
        <v>4.3914952824035826E-2</v>
      </c>
    </row>
    <row r="9094" spans="1:7" x14ac:dyDescent="0.3">
      <c r="A9094" s="24">
        <v>43972</v>
      </c>
      <c r="B9094" s="66">
        <v>1706.9</v>
      </c>
      <c r="C9094" s="66">
        <v>1522.155</v>
      </c>
      <c r="D9094" s="70"/>
      <c r="E9094" s="111">
        <f t="shared" si="145"/>
        <v>138710</v>
      </c>
      <c r="F9094" s="69">
        <v>6.4302568925828127E-2</v>
      </c>
      <c r="G9094" s="69">
        <v>4.3913043478260867E-2</v>
      </c>
    </row>
    <row r="9095" spans="1:7" x14ac:dyDescent="0.3">
      <c r="A9095" s="24">
        <v>43973</v>
      </c>
      <c r="B9095" s="66">
        <v>1706.9</v>
      </c>
      <c r="C9095" s="66">
        <v>1599</v>
      </c>
      <c r="D9095" s="70"/>
      <c r="E9095" s="111">
        <f t="shared" si="145"/>
        <v>138710</v>
      </c>
      <c r="F9095" s="69">
        <v>6.4302568925828127E-2</v>
      </c>
      <c r="G9095" s="69">
        <v>4.3884423202259396E-2</v>
      </c>
    </row>
    <row r="9096" spans="1:7" x14ac:dyDescent="0.3">
      <c r="A9096" s="24">
        <v>43974</v>
      </c>
      <c r="B9096" s="66">
        <v>1706.9</v>
      </c>
      <c r="C9096" s="66">
        <v>1599</v>
      </c>
      <c r="D9096" s="70"/>
      <c r="E9096" s="111">
        <f t="shared" si="145"/>
        <v>138710</v>
      </c>
      <c r="F9096" s="69">
        <v>6.4302568925828127E-2</v>
      </c>
      <c r="G9096" s="69">
        <v>4.3884423202259396E-2</v>
      </c>
    </row>
    <row r="9097" spans="1:7" x14ac:dyDescent="0.3">
      <c r="A9097" s="24">
        <v>43975</v>
      </c>
      <c r="B9097" s="66">
        <v>1706.9</v>
      </c>
      <c r="C9097" s="66">
        <v>1599</v>
      </c>
      <c r="D9097" s="70"/>
      <c r="E9097" s="111">
        <f t="shared" ref="E9097:E9160" si="146">+E9096</f>
        <v>138710</v>
      </c>
      <c r="F9097" s="69">
        <v>6.4302568925828127E-2</v>
      </c>
      <c r="G9097" s="69">
        <v>4.3884423202259396E-2</v>
      </c>
    </row>
    <row r="9098" spans="1:7" x14ac:dyDescent="0.3">
      <c r="A9098" s="24">
        <v>43976</v>
      </c>
      <c r="B9098" s="66">
        <v>1706.9</v>
      </c>
      <c r="C9098" s="66">
        <v>1598.96</v>
      </c>
      <c r="D9098" s="70"/>
      <c r="E9098" s="111">
        <f t="shared" si="146"/>
        <v>138710</v>
      </c>
      <c r="F9098" s="69">
        <v>6.4302568925828127E-2</v>
      </c>
      <c r="G9098" s="69">
        <v>4.3162393162393162E-2</v>
      </c>
    </row>
    <row r="9099" spans="1:7" x14ac:dyDescent="0.3">
      <c r="A9099" s="24">
        <v>43977</v>
      </c>
      <c r="B9099" s="66">
        <v>1706.9</v>
      </c>
      <c r="C9099" s="66">
        <v>1566.579</v>
      </c>
      <c r="D9099" s="70"/>
      <c r="E9099" s="111">
        <f t="shared" si="146"/>
        <v>138710</v>
      </c>
      <c r="F9099" s="69">
        <v>6.4302568925828127E-2</v>
      </c>
      <c r="G9099" s="69">
        <v>4.2960442364951085E-2</v>
      </c>
    </row>
    <row r="9100" spans="1:7" x14ac:dyDescent="0.3">
      <c r="A9100" s="24">
        <v>43978</v>
      </c>
      <c r="B9100" s="66">
        <v>1706.9</v>
      </c>
      <c r="C9100" s="66">
        <v>1566</v>
      </c>
      <c r="D9100" s="70"/>
      <c r="E9100" s="111">
        <f t="shared" si="146"/>
        <v>138710</v>
      </c>
      <c r="F9100" s="69">
        <v>6.4302568925828127E-2</v>
      </c>
      <c r="G9100" s="69">
        <v>4.2796610169491524E-2</v>
      </c>
    </row>
    <row r="9101" spans="1:7" x14ac:dyDescent="0.3">
      <c r="A9101" s="24">
        <v>43979</v>
      </c>
      <c r="B9101" s="66">
        <v>1706.9</v>
      </c>
      <c r="C9101" s="66">
        <v>1554</v>
      </c>
      <c r="D9101" s="70"/>
      <c r="E9101" s="111">
        <f t="shared" si="146"/>
        <v>138710</v>
      </c>
      <c r="F9101" s="69">
        <v>6.2612361291922394E-2</v>
      </c>
      <c r="G9101" s="69">
        <v>4.2526315789473683E-2</v>
      </c>
    </row>
    <row r="9102" spans="1:7" x14ac:dyDescent="0.3">
      <c r="A9102" s="24">
        <v>43980</v>
      </c>
      <c r="B9102" s="66">
        <v>1706.9</v>
      </c>
      <c r="C9102" s="66">
        <v>1550</v>
      </c>
      <c r="D9102" s="70"/>
      <c r="E9102" s="111">
        <f t="shared" si="146"/>
        <v>138710</v>
      </c>
      <c r="F9102" s="69">
        <v>6.2612361291922394E-2</v>
      </c>
      <c r="G9102" s="69">
        <v>4.2796610169491524E-2</v>
      </c>
    </row>
    <row r="9103" spans="1:7" x14ac:dyDescent="0.3">
      <c r="A9103" s="24">
        <v>43981</v>
      </c>
      <c r="B9103" s="66">
        <v>1706.9</v>
      </c>
      <c r="C9103" s="66">
        <v>1550</v>
      </c>
      <c r="D9103" s="70"/>
      <c r="E9103" s="111">
        <f t="shared" si="146"/>
        <v>138710</v>
      </c>
      <c r="F9103" s="69">
        <v>6.2612361291922394E-2</v>
      </c>
      <c r="G9103" s="69">
        <v>4.2796610169491524E-2</v>
      </c>
    </row>
    <row r="9104" spans="1:7" x14ac:dyDescent="0.3">
      <c r="A9104" s="24">
        <v>43982</v>
      </c>
      <c r="B9104" s="66">
        <v>1706.9</v>
      </c>
      <c r="C9104" s="66">
        <v>1550</v>
      </c>
      <c r="D9104" s="70"/>
      <c r="E9104" s="111">
        <f t="shared" si="146"/>
        <v>138710</v>
      </c>
      <c r="F9104" s="69">
        <v>6.2612361291922394E-2</v>
      </c>
      <c r="G9104" s="69">
        <v>4.2796610169491524E-2</v>
      </c>
    </row>
    <row r="9105" spans="1:7" x14ac:dyDescent="0.3">
      <c r="A9105" s="24">
        <v>43983</v>
      </c>
      <c r="B9105" s="66">
        <v>1706.9</v>
      </c>
      <c r="C9105" s="66">
        <v>1550</v>
      </c>
      <c r="D9105" s="70"/>
      <c r="E9105" s="111">
        <f t="shared" si="146"/>
        <v>138710</v>
      </c>
      <c r="F9105" s="69">
        <v>6.2612361291922394E-2</v>
      </c>
      <c r="G9105" s="69">
        <v>4.280205110819172E-2</v>
      </c>
    </row>
    <row r="9106" spans="1:7" x14ac:dyDescent="0.3">
      <c r="A9106" s="24">
        <v>43984</v>
      </c>
      <c r="B9106" s="66">
        <v>1706.9</v>
      </c>
      <c r="C9106" s="66">
        <v>1540</v>
      </c>
      <c r="D9106" s="70"/>
      <c r="E9106" s="111">
        <f t="shared" si="146"/>
        <v>138710</v>
      </c>
      <c r="F9106" s="69">
        <v>6.2612361291922394E-2</v>
      </c>
      <c r="G9106" s="69">
        <v>4.2794796830642773E-2</v>
      </c>
    </row>
    <row r="9107" spans="1:7" x14ac:dyDescent="0.3">
      <c r="A9107" s="24">
        <v>43985</v>
      </c>
      <c r="B9107" s="66">
        <v>1706.9</v>
      </c>
      <c r="C9107" s="66">
        <v>1535.51</v>
      </c>
      <c r="D9107" s="70"/>
      <c r="E9107" s="111">
        <f t="shared" si="146"/>
        <v>138710</v>
      </c>
      <c r="F9107" s="69">
        <v>6.2612361291922394E-2</v>
      </c>
      <c r="G9107" s="69">
        <v>4.2436974789915968E-2</v>
      </c>
    </row>
    <row r="9108" spans="1:7" x14ac:dyDescent="0.3">
      <c r="A9108" s="24">
        <v>43986</v>
      </c>
      <c r="B9108" s="66">
        <v>1706.9</v>
      </c>
      <c r="C9108" s="66">
        <v>1540</v>
      </c>
      <c r="D9108" s="70"/>
      <c r="E9108" s="111">
        <f t="shared" si="146"/>
        <v>138710</v>
      </c>
      <c r="F9108" s="69">
        <v>6.2612361291922394E-2</v>
      </c>
      <c r="G9108" s="69">
        <v>4.275313240772096E-2</v>
      </c>
    </row>
    <row r="9109" spans="1:7" x14ac:dyDescent="0.3">
      <c r="A9109" s="24">
        <v>43987</v>
      </c>
      <c r="B9109" s="66">
        <v>1706.9</v>
      </c>
      <c r="C9109" s="66">
        <v>1590</v>
      </c>
      <c r="D9109" s="70"/>
      <c r="E9109" s="111">
        <f t="shared" si="146"/>
        <v>138710</v>
      </c>
      <c r="F9109" s="69">
        <v>6.2612361291922394E-2</v>
      </c>
      <c r="G9109" s="69">
        <v>4.2796610169491524E-2</v>
      </c>
    </row>
    <row r="9110" spans="1:7" x14ac:dyDescent="0.3">
      <c r="A9110" s="24">
        <v>43988</v>
      </c>
      <c r="B9110" s="66">
        <v>1706.9</v>
      </c>
      <c r="C9110" s="66">
        <v>1590</v>
      </c>
      <c r="D9110" s="70"/>
      <c r="E9110" s="111">
        <f t="shared" si="146"/>
        <v>138710</v>
      </c>
      <c r="F9110" s="69">
        <v>6.2612361291922394E-2</v>
      </c>
      <c r="G9110" s="69">
        <v>4.2796610169491524E-2</v>
      </c>
    </row>
    <row r="9111" spans="1:7" x14ac:dyDescent="0.3">
      <c r="A9111" s="24">
        <v>43989</v>
      </c>
      <c r="B9111" s="66">
        <v>1706.9</v>
      </c>
      <c r="C9111" s="66">
        <v>1590</v>
      </c>
      <c r="D9111" s="70"/>
      <c r="E9111" s="111">
        <f t="shared" si="146"/>
        <v>138710</v>
      </c>
      <c r="F9111" s="69">
        <v>6.2612361291922394E-2</v>
      </c>
      <c r="G9111" s="69">
        <v>4.2796610169491524E-2</v>
      </c>
    </row>
    <row r="9112" spans="1:7" x14ac:dyDescent="0.3">
      <c r="A9112" s="24">
        <v>43990</v>
      </c>
      <c r="B9112" s="66">
        <v>1706.9</v>
      </c>
      <c r="C9112" s="66">
        <v>1591.2650000000001</v>
      </c>
      <c r="D9112" s="70"/>
      <c r="E9112" s="111">
        <f t="shared" si="146"/>
        <v>138710</v>
      </c>
      <c r="F9112" s="69">
        <v>6.2612361291922394E-2</v>
      </c>
      <c r="G9112" s="69">
        <v>4.2428061331653014E-2</v>
      </c>
    </row>
    <row r="9113" spans="1:7" x14ac:dyDescent="0.3">
      <c r="A9113" s="24">
        <v>43991</v>
      </c>
      <c r="B9113" s="66">
        <v>1706.9</v>
      </c>
      <c r="C9113" s="66">
        <v>1594.289</v>
      </c>
      <c r="D9113" s="70"/>
      <c r="E9113" s="111">
        <f t="shared" si="146"/>
        <v>138710</v>
      </c>
      <c r="F9113" s="69">
        <v>6.2612361291922394E-2</v>
      </c>
      <c r="G9113" s="69">
        <v>4.2472666105971404E-2</v>
      </c>
    </row>
    <row r="9114" spans="1:7" x14ac:dyDescent="0.3">
      <c r="A9114" s="24">
        <v>43992</v>
      </c>
      <c r="B9114" s="66">
        <v>1706.9</v>
      </c>
      <c r="C9114" s="66">
        <v>1593.5519999999999</v>
      </c>
      <c r="D9114" s="70"/>
      <c r="E9114" s="111">
        <f t="shared" si="146"/>
        <v>138710</v>
      </c>
      <c r="F9114" s="69">
        <v>6.2612361291922394E-2</v>
      </c>
      <c r="G9114" s="69">
        <v>4.2546021315135428E-2</v>
      </c>
    </row>
    <row r="9115" spans="1:7" x14ac:dyDescent="0.3">
      <c r="A9115" s="24">
        <v>43993</v>
      </c>
      <c r="B9115" s="66">
        <v>1706.9</v>
      </c>
      <c r="C9115" s="66">
        <v>1590</v>
      </c>
      <c r="D9115" s="70"/>
      <c r="E9115" s="111">
        <f t="shared" si="146"/>
        <v>138710</v>
      </c>
      <c r="F9115" s="69">
        <v>6.2612361291922394E-2</v>
      </c>
      <c r="G9115" s="69">
        <v>4.225941422594142E-2</v>
      </c>
    </row>
    <row r="9116" spans="1:7" x14ac:dyDescent="0.3">
      <c r="A9116" s="24">
        <v>43994</v>
      </c>
      <c r="B9116" s="66">
        <v>1706.9</v>
      </c>
      <c r="C9116" s="66">
        <v>1590</v>
      </c>
      <c r="D9116" s="70"/>
      <c r="E9116" s="111">
        <f t="shared" si="146"/>
        <v>138710</v>
      </c>
      <c r="F9116" s="69">
        <v>6.2612361291922394E-2</v>
      </c>
      <c r="G9116" s="69">
        <v>4.225941422594142E-2</v>
      </c>
    </row>
    <row r="9117" spans="1:7" x14ac:dyDescent="0.3">
      <c r="A9117" s="24">
        <v>43995</v>
      </c>
      <c r="B9117" s="66">
        <v>1706.9</v>
      </c>
      <c r="C9117" s="66">
        <v>1590</v>
      </c>
      <c r="D9117" s="70"/>
      <c r="E9117" s="111">
        <f t="shared" si="146"/>
        <v>138710</v>
      </c>
      <c r="F9117" s="69">
        <v>6.2612361291922394E-2</v>
      </c>
      <c r="G9117" s="69">
        <v>4.225941422594142E-2</v>
      </c>
    </row>
    <row r="9118" spans="1:7" x14ac:dyDescent="0.3">
      <c r="A9118" s="24">
        <v>43996</v>
      </c>
      <c r="B9118" s="66">
        <v>1706.9</v>
      </c>
      <c r="C9118" s="66">
        <v>1590</v>
      </c>
      <c r="D9118" s="70"/>
      <c r="E9118" s="111">
        <f t="shared" si="146"/>
        <v>138710</v>
      </c>
      <c r="F9118" s="69">
        <v>6.2612361291922394E-2</v>
      </c>
      <c r="G9118" s="69">
        <v>4.225941422594142E-2</v>
      </c>
    </row>
    <row r="9119" spans="1:7" x14ac:dyDescent="0.3">
      <c r="A9119" s="24">
        <v>43997</v>
      </c>
      <c r="B9119" s="66">
        <v>1706.9</v>
      </c>
      <c r="C9119" s="66">
        <v>1585.671</v>
      </c>
      <c r="D9119" s="70"/>
      <c r="E9119" s="111">
        <f t="shared" si="146"/>
        <v>138710</v>
      </c>
      <c r="F9119" s="69">
        <v>6.2612361291922394E-2</v>
      </c>
      <c r="G9119" s="69">
        <v>4.2064053975261341E-2</v>
      </c>
    </row>
    <row r="9120" spans="1:7" x14ac:dyDescent="0.3">
      <c r="A9120" s="24">
        <v>43998</v>
      </c>
      <c r="B9120" s="66">
        <v>1706.9</v>
      </c>
      <c r="C9120" s="66">
        <v>1585.0809999999999</v>
      </c>
      <c r="D9120" s="70"/>
      <c r="E9120" s="111">
        <f t="shared" si="146"/>
        <v>138710</v>
      </c>
      <c r="F9120" s="69">
        <v>6.2612361291922394E-2</v>
      </c>
      <c r="G9120" s="69">
        <v>4.225941422594142E-2</v>
      </c>
    </row>
    <row r="9121" spans="1:7" x14ac:dyDescent="0.3">
      <c r="A9121" s="24">
        <v>43999</v>
      </c>
      <c r="B9121" s="66">
        <v>1706.9</v>
      </c>
      <c r="C9121" s="66">
        <v>1585.0809999999999</v>
      </c>
      <c r="D9121" s="70"/>
      <c r="E9121" s="111">
        <f t="shared" si="146"/>
        <v>138710</v>
      </c>
      <c r="F9121" s="69">
        <v>6.2612361291922394E-2</v>
      </c>
      <c r="G9121" s="69">
        <v>4.225941422594142E-2</v>
      </c>
    </row>
    <row r="9122" spans="1:7" x14ac:dyDescent="0.3">
      <c r="A9122" s="24">
        <v>44000</v>
      </c>
      <c r="B9122" s="66">
        <v>1706.9</v>
      </c>
      <c r="C9122" s="66">
        <v>1585.0809999999999</v>
      </c>
      <c r="D9122" s="70"/>
      <c r="E9122" s="111">
        <f t="shared" si="146"/>
        <v>138710</v>
      </c>
      <c r="F9122" s="69">
        <v>6.2612361291922394E-2</v>
      </c>
      <c r="G9122" s="69">
        <v>4.2526315789473683E-2</v>
      </c>
    </row>
    <row r="9123" spans="1:7" x14ac:dyDescent="0.3">
      <c r="A9123" s="24">
        <v>44001</v>
      </c>
      <c r="B9123" s="66">
        <v>1706.9</v>
      </c>
      <c r="C9123" s="66">
        <v>1567.431</v>
      </c>
      <c r="D9123" s="70"/>
      <c r="E9123" s="111">
        <f t="shared" si="146"/>
        <v>138710</v>
      </c>
      <c r="F9123" s="69">
        <v>6.2612361291922394E-2</v>
      </c>
      <c r="G9123" s="69">
        <v>4.2436974789915968E-2</v>
      </c>
    </row>
    <row r="9124" spans="1:7" x14ac:dyDescent="0.3">
      <c r="A9124" s="24">
        <v>44002</v>
      </c>
      <c r="B9124" s="66">
        <v>1706.9</v>
      </c>
      <c r="C9124" s="66">
        <v>1567.431</v>
      </c>
      <c r="D9124" s="70"/>
      <c r="E9124" s="111">
        <f t="shared" si="146"/>
        <v>138710</v>
      </c>
      <c r="F9124" s="69">
        <v>6.2612361291922394E-2</v>
      </c>
      <c r="G9124" s="69">
        <v>4.2436974789915968E-2</v>
      </c>
    </row>
    <row r="9125" spans="1:7" x14ac:dyDescent="0.3">
      <c r="A9125" s="24">
        <v>44003</v>
      </c>
      <c r="B9125" s="66">
        <v>1706.9</v>
      </c>
      <c r="C9125" s="66">
        <v>1567.431</v>
      </c>
      <c r="D9125" s="70"/>
      <c r="E9125" s="111">
        <f t="shared" si="146"/>
        <v>138710</v>
      </c>
      <c r="F9125" s="69">
        <v>6.2612361291922394E-2</v>
      </c>
      <c r="G9125" s="69">
        <v>4.2436974789915968E-2</v>
      </c>
    </row>
    <row r="9126" spans="1:7" x14ac:dyDescent="0.3">
      <c r="A9126" s="24">
        <v>44004</v>
      </c>
      <c r="B9126" s="66">
        <v>1706.9</v>
      </c>
      <c r="C9126" s="66">
        <v>1605</v>
      </c>
      <c r="D9126" s="70"/>
      <c r="E9126" s="111">
        <f t="shared" si="146"/>
        <v>138710</v>
      </c>
      <c r="F9126" s="69">
        <v>6.2612361291922394E-2</v>
      </c>
      <c r="G9126" s="69">
        <v>4.2785732440904854E-2</v>
      </c>
    </row>
    <row r="9127" spans="1:7" x14ac:dyDescent="0.3">
      <c r="A9127" s="24">
        <v>44005</v>
      </c>
      <c r="B9127" s="66">
        <v>1706.9</v>
      </c>
      <c r="C9127" s="66">
        <v>1592</v>
      </c>
      <c r="D9127" s="70"/>
      <c r="E9127" s="111">
        <f t="shared" si="146"/>
        <v>138710</v>
      </c>
      <c r="F9127" s="69">
        <v>6.2612361291922394E-2</v>
      </c>
      <c r="G9127" s="69">
        <v>4.2796610169491524E-2</v>
      </c>
    </row>
    <row r="9128" spans="1:7" x14ac:dyDescent="0.3">
      <c r="A9128" s="24">
        <v>44006</v>
      </c>
      <c r="B9128" s="66">
        <v>1706.9</v>
      </c>
      <c r="C9128" s="66">
        <v>1580</v>
      </c>
      <c r="D9128" s="70">
        <v>16</v>
      </c>
      <c r="E9128" s="111">
        <f t="shared" si="146"/>
        <v>138710</v>
      </c>
      <c r="F9128" s="69">
        <v>6.4162172214989779E-2</v>
      </c>
      <c r="G9128" s="69">
        <v>4.3855932203389833E-2</v>
      </c>
    </row>
    <row r="9129" spans="1:7" x14ac:dyDescent="0.3">
      <c r="A9129" s="24">
        <v>44007</v>
      </c>
      <c r="B9129" s="66">
        <v>1706.9</v>
      </c>
      <c r="C9129" s="66">
        <v>1580</v>
      </c>
      <c r="D9129" s="70"/>
      <c r="E9129" s="111">
        <f t="shared" si="146"/>
        <v>138710</v>
      </c>
      <c r="F9129" s="69">
        <v>6.4162172214989779E-2</v>
      </c>
      <c r="G9129" s="69">
        <v>4.3124999999999997E-2</v>
      </c>
    </row>
    <row r="9130" spans="1:7" x14ac:dyDescent="0.3">
      <c r="A9130" s="24">
        <v>44008</v>
      </c>
      <c r="B9130" s="66">
        <v>1706.9</v>
      </c>
      <c r="C9130" s="66">
        <v>1585.2449999999999</v>
      </c>
      <c r="D9130" s="70"/>
      <c r="E9130" s="111">
        <f t="shared" si="146"/>
        <v>138710</v>
      </c>
      <c r="F9130" s="69">
        <v>6.4162172214989779E-2</v>
      </c>
      <c r="G9130" s="69">
        <v>4.3126796949872911E-2</v>
      </c>
    </row>
    <row r="9131" spans="1:7" x14ac:dyDescent="0.3">
      <c r="A9131" s="24">
        <v>44009</v>
      </c>
      <c r="B9131" s="66">
        <v>1706.9</v>
      </c>
      <c r="C9131" s="66">
        <v>1585.2449999999999</v>
      </c>
      <c r="D9131" s="70"/>
      <c r="E9131" s="111">
        <f t="shared" si="146"/>
        <v>138710</v>
      </c>
      <c r="F9131" s="69">
        <v>6.4162172214989779E-2</v>
      </c>
      <c r="G9131" s="69">
        <v>4.3126796949872911E-2</v>
      </c>
    </row>
    <row r="9132" spans="1:7" x14ac:dyDescent="0.3">
      <c r="A9132" s="24">
        <v>44010</v>
      </c>
      <c r="B9132" s="66">
        <v>1706.9</v>
      </c>
      <c r="C9132" s="66">
        <v>1585.2449999999999</v>
      </c>
      <c r="D9132" s="70"/>
      <c r="E9132" s="111">
        <f t="shared" si="146"/>
        <v>138710</v>
      </c>
      <c r="F9132" s="69">
        <v>6.4162172214989779E-2</v>
      </c>
      <c r="G9132" s="69">
        <v>4.3126796949872911E-2</v>
      </c>
    </row>
    <row r="9133" spans="1:7" x14ac:dyDescent="0.3">
      <c r="A9133" s="24">
        <v>44011</v>
      </c>
      <c r="B9133" s="66">
        <v>1706.9</v>
      </c>
      <c r="C9133" s="66">
        <v>1585.2449999999999</v>
      </c>
      <c r="D9133" s="70"/>
      <c r="E9133" s="111">
        <f t="shared" si="146"/>
        <v>138710</v>
      </c>
      <c r="F9133" s="69">
        <v>6.4162172214989779E-2</v>
      </c>
      <c r="G9133" s="69">
        <v>4.3347154165096123E-2</v>
      </c>
    </row>
    <row r="9134" spans="1:7" x14ac:dyDescent="0.3">
      <c r="A9134" s="24">
        <v>44012</v>
      </c>
      <c r="B9134" s="66">
        <v>1706.9</v>
      </c>
      <c r="C9134" s="66">
        <v>1640</v>
      </c>
      <c r="D9134" s="70"/>
      <c r="E9134" s="111">
        <f t="shared" si="146"/>
        <v>138710</v>
      </c>
      <c r="F9134" s="69">
        <v>6.4162172214989779E-2</v>
      </c>
      <c r="G9134" s="69">
        <v>4.3496532885059884E-2</v>
      </c>
    </row>
    <row r="9135" spans="1:7" x14ac:dyDescent="0.3">
      <c r="A9135" s="24">
        <v>44013</v>
      </c>
      <c r="B9135" s="66">
        <v>1706.9</v>
      </c>
      <c r="C9135" s="66">
        <v>1594.6980000000001</v>
      </c>
      <c r="D9135" s="70"/>
      <c r="E9135" s="111">
        <f t="shared" si="146"/>
        <v>138710</v>
      </c>
      <c r="F9135" s="69">
        <v>6.4162172214989779E-2</v>
      </c>
      <c r="G9135" s="69">
        <v>4.393785022924096E-2</v>
      </c>
    </row>
    <row r="9136" spans="1:7" x14ac:dyDescent="0.3">
      <c r="A9136" s="24">
        <v>44014</v>
      </c>
      <c r="B9136" s="66">
        <v>1706.9</v>
      </c>
      <c r="C9136" s="66">
        <v>1596.7529999999999</v>
      </c>
      <c r="D9136" s="70"/>
      <c r="E9136" s="111">
        <f t="shared" si="146"/>
        <v>138710</v>
      </c>
      <c r="F9136" s="69">
        <v>6.4162172214989779E-2</v>
      </c>
      <c r="G9136" s="69">
        <v>4.3855932203389833E-2</v>
      </c>
    </row>
    <row r="9137" spans="1:7" x14ac:dyDescent="0.3">
      <c r="A9137" s="24">
        <v>44015</v>
      </c>
      <c r="B9137" s="66">
        <v>1706.9</v>
      </c>
      <c r="C9137" s="66">
        <v>1639.989</v>
      </c>
      <c r="D9137" s="70"/>
      <c r="E9137" s="111">
        <f t="shared" si="146"/>
        <v>138710</v>
      </c>
      <c r="F9137" s="69">
        <v>6.4162172214989779E-2</v>
      </c>
      <c r="G9137" s="69">
        <v>4.3124999999999997E-2</v>
      </c>
    </row>
    <row r="9138" spans="1:7" x14ac:dyDescent="0.3">
      <c r="A9138" s="24">
        <v>44016</v>
      </c>
      <c r="B9138" s="66">
        <v>1706.9</v>
      </c>
      <c r="C9138" s="66">
        <v>1639.989</v>
      </c>
      <c r="D9138" s="70"/>
      <c r="E9138" s="111">
        <f t="shared" si="146"/>
        <v>138710</v>
      </c>
      <c r="F9138" s="69">
        <v>6.4162172214989779E-2</v>
      </c>
      <c r="G9138" s="69">
        <v>4.3124999999999997E-2</v>
      </c>
    </row>
    <row r="9139" spans="1:7" x14ac:dyDescent="0.3">
      <c r="A9139" s="24">
        <v>44017</v>
      </c>
      <c r="B9139" s="66">
        <v>1706.9</v>
      </c>
      <c r="C9139" s="66">
        <v>1639.989</v>
      </c>
      <c r="D9139" s="70"/>
      <c r="E9139" s="111">
        <f t="shared" si="146"/>
        <v>138710</v>
      </c>
      <c r="F9139" s="69">
        <v>6.4162172214989779E-2</v>
      </c>
      <c r="G9139" s="69">
        <v>4.3124999999999997E-2</v>
      </c>
    </row>
    <row r="9140" spans="1:7" x14ac:dyDescent="0.3">
      <c r="A9140" s="24">
        <v>44018</v>
      </c>
      <c r="B9140" s="66">
        <v>1706.9</v>
      </c>
      <c r="C9140" s="66">
        <v>1615</v>
      </c>
      <c r="D9140" s="70"/>
      <c r="E9140" s="111">
        <f t="shared" si="146"/>
        <v>138710</v>
      </c>
      <c r="F9140" s="69">
        <v>6.4162172214989779E-2</v>
      </c>
      <c r="G9140" s="69">
        <v>4.3480087380272224E-2</v>
      </c>
    </row>
    <row r="9141" spans="1:7" x14ac:dyDescent="0.3">
      <c r="A9141" s="24">
        <v>44019</v>
      </c>
      <c r="B9141" s="66">
        <v>1706.9</v>
      </c>
      <c r="C9141" s="66">
        <v>1632.106</v>
      </c>
      <c r="D9141" s="70"/>
      <c r="E9141" s="111">
        <f t="shared" si="146"/>
        <v>138710</v>
      </c>
      <c r="F9141" s="69">
        <v>6.4162172214989779E-2</v>
      </c>
      <c r="G9141" s="69">
        <v>4.3124999999999997E-2</v>
      </c>
    </row>
    <row r="9142" spans="1:7" x14ac:dyDescent="0.3">
      <c r="A9142" s="24">
        <v>44020</v>
      </c>
      <c r="B9142" s="66">
        <v>1706.9</v>
      </c>
      <c r="C9142" s="66">
        <v>1633.0150000000001</v>
      </c>
      <c r="D9142" s="70"/>
      <c r="E9142" s="111">
        <f t="shared" si="146"/>
        <v>138710</v>
      </c>
      <c r="F9142" s="69">
        <v>6.4162172214989779E-2</v>
      </c>
      <c r="G9142" s="69">
        <v>4.3126796949872911E-2</v>
      </c>
    </row>
    <row r="9143" spans="1:7" x14ac:dyDescent="0.3">
      <c r="A9143" s="24">
        <v>44021</v>
      </c>
      <c r="B9143" s="66">
        <v>1706.9</v>
      </c>
      <c r="C9143" s="66">
        <v>1634.5940000000001</v>
      </c>
      <c r="D9143" s="70"/>
      <c r="E9143" s="111">
        <f t="shared" si="146"/>
        <v>138710</v>
      </c>
      <c r="F9143" s="69">
        <v>6.4162172214989779E-2</v>
      </c>
      <c r="G9143" s="69">
        <v>4.3124999999999997E-2</v>
      </c>
    </row>
    <row r="9144" spans="1:7" x14ac:dyDescent="0.3">
      <c r="A9144" s="24">
        <v>44022</v>
      </c>
      <c r="B9144" s="66">
        <v>1706.9</v>
      </c>
      <c r="C9144" s="66">
        <v>1613.511</v>
      </c>
      <c r="D9144" s="70"/>
      <c r="E9144" s="111">
        <f t="shared" si="146"/>
        <v>138710</v>
      </c>
      <c r="F9144" s="69">
        <v>6.4162172214989779E-2</v>
      </c>
      <c r="G9144" s="69">
        <v>4.3116017496354929E-2</v>
      </c>
    </row>
    <row r="9145" spans="1:7" x14ac:dyDescent="0.3">
      <c r="A9145" s="24">
        <v>44023</v>
      </c>
      <c r="B9145" s="66">
        <v>1706.9</v>
      </c>
      <c r="C9145" s="66">
        <v>1613.511</v>
      </c>
      <c r="D9145" s="70"/>
      <c r="E9145" s="111">
        <f t="shared" si="146"/>
        <v>138710</v>
      </c>
      <c r="F9145" s="69">
        <v>6.4162172214989779E-2</v>
      </c>
      <c r="G9145" s="69">
        <v>4.3116017496354929E-2</v>
      </c>
    </row>
    <row r="9146" spans="1:7" x14ac:dyDescent="0.3">
      <c r="A9146" s="24">
        <v>44024</v>
      </c>
      <c r="B9146" s="66">
        <v>1706.9</v>
      </c>
      <c r="C9146" s="66">
        <v>1613.511</v>
      </c>
      <c r="D9146" s="70"/>
      <c r="E9146" s="111">
        <f t="shared" si="146"/>
        <v>138710</v>
      </c>
      <c r="F9146" s="69">
        <v>6.4162172214989779E-2</v>
      </c>
      <c r="G9146" s="69">
        <v>4.3116017496354929E-2</v>
      </c>
    </row>
    <row r="9147" spans="1:7" x14ac:dyDescent="0.3">
      <c r="A9147" s="24">
        <v>44025</v>
      </c>
      <c r="B9147" s="66">
        <v>1706.9</v>
      </c>
      <c r="C9147" s="66">
        <v>1613.511</v>
      </c>
      <c r="D9147" s="70"/>
      <c r="E9147" s="111">
        <f t="shared" si="146"/>
        <v>138710</v>
      </c>
      <c r="F9147" s="69">
        <v>6.4162172214989779E-2</v>
      </c>
      <c r="G9147" s="69">
        <v>4.2944276171113231E-2</v>
      </c>
    </row>
    <row r="9148" spans="1:7" x14ac:dyDescent="0.3">
      <c r="A9148" s="24">
        <v>44026</v>
      </c>
      <c r="B9148" s="66">
        <v>1706.9</v>
      </c>
      <c r="C9148" s="66">
        <v>1644.2819999999999</v>
      </c>
      <c r="D9148" s="70"/>
      <c r="E9148" s="111">
        <f t="shared" si="146"/>
        <v>138710</v>
      </c>
      <c r="F9148" s="69">
        <v>6.4162172214989779E-2</v>
      </c>
      <c r="G9148" s="69">
        <v>4.2944276171113231E-2</v>
      </c>
    </row>
    <row r="9149" spans="1:7" x14ac:dyDescent="0.3">
      <c r="A9149" s="24">
        <v>44027</v>
      </c>
      <c r="B9149" s="66">
        <v>1706.9</v>
      </c>
      <c r="C9149" s="66">
        <v>1652.086</v>
      </c>
      <c r="D9149" s="70"/>
      <c r="E9149" s="111">
        <f t="shared" si="146"/>
        <v>138710</v>
      </c>
      <c r="F9149" s="69">
        <v>6.4162172214989779E-2</v>
      </c>
      <c r="G9149" s="69">
        <v>4.2505133470225873E-2</v>
      </c>
    </row>
    <row r="9150" spans="1:7" x14ac:dyDescent="0.3">
      <c r="A9150" s="24">
        <v>44028</v>
      </c>
      <c r="B9150" s="66">
        <v>1706.9</v>
      </c>
      <c r="C9150" s="66">
        <v>1652.086</v>
      </c>
      <c r="D9150" s="70"/>
      <c r="E9150" s="111">
        <f t="shared" si="146"/>
        <v>138710</v>
      </c>
      <c r="F9150" s="69">
        <v>6.4162172214989779E-2</v>
      </c>
      <c r="G9150" s="69">
        <v>4.1184194819147667E-2</v>
      </c>
    </row>
    <row r="9151" spans="1:7" x14ac:dyDescent="0.3">
      <c r="A9151" s="24">
        <v>44029</v>
      </c>
      <c r="B9151" s="66">
        <v>1706.9</v>
      </c>
      <c r="C9151" s="66">
        <v>1579.366</v>
      </c>
      <c r="D9151" s="70"/>
      <c r="E9151" s="111">
        <f t="shared" si="146"/>
        <v>138710</v>
      </c>
      <c r="F9151" s="69">
        <v>6.4162172214989779E-2</v>
      </c>
      <c r="G9151" s="69">
        <v>4.0667976424361492E-2</v>
      </c>
    </row>
    <row r="9152" spans="1:7" x14ac:dyDescent="0.3">
      <c r="A9152" s="24">
        <v>44030</v>
      </c>
      <c r="B9152" s="66">
        <v>1706.9</v>
      </c>
      <c r="C9152" s="66">
        <v>1579.366</v>
      </c>
      <c r="D9152" s="70"/>
      <c r="E9152" s="111">
        <f t="shared" si="146"/>
        <v>138710</v>
      </c>
      <c r="F9152" s="69">
        <v>6.4162172214989779E-2</v>
      </c>
      <c r="G9152" s="69">
        <v>4.0667976424361492E-2</v>
      </c>
    </row>
    <row r="9153" spans="1:7" x14ac:dyDescent="0.3">
      <c r="A9153" s="24">
        <v>44031</v>
      </c>
      <c r="B9153" s="66">
        <v>1706.9</v>
      </c>
      <c r="C9153" s="66">
        <v>1579.366</v>
      </c>
      <c r="D9153" s="70"/>
      <c r="E9153" s="111">
        <f t="shared" si="146"/>
        <v>138710</v>
      </c>
      <c r="F9153" s="69">
        <v>6.4162172214989779E-2</v>
      </c>
      <c r="G9153" s="69">
        <v>4.0667976424361492E-2</v>
      </c>
    </row>
    <row r="9154" spans="1:7" x14ac:dyDescent="0.3">
      <c r="A9154" s="24">
        <v>44032</v>
      </c>
      <c r="B9154" s="66">
        <v>1706.9</v>
      </c>
      <c r="C9154" s="66">
        <v>1587.1320000000001</v>
      </c>
      <c r="D9154" s="70"/>
      <c r="E9154" s="111">
        <f t="shared" si="146"/>
        <v>138710</v>
      </c>
      <c r="F9154" s="69">
        <v>6.4162172214989779E-2</v>
      </c>
      <c r="G9154" s="69">
        <v>4.0583460769321254E-2</v>
      </c>
    </row>
    <row r="9155" spans="1:7" x14ac:dyDescent="0.3">
      <c r="A9155" s="24">
        <v>44033</v>
      </c>
      <c r="B9155" s="66">
        <v>1706.9</v>
      </c>
      <c r="C9155" s="66">
        <v>1571.748</v>
      </c>
      <c r="D9155" s="70"/>
      <c r="E9155" s="111">
        <f t="shared" si="146"/>
        <v>138710</v>
      </c>
      <c r="F9155" s="69">
        <v>6.4162172214989779E-2</v>
      </c>
      <c r="G9155" s="69">
        <v>4.0556426332288405E-2</v>
      </c>
    </row>
    <row r="9156" spans="1:7" x14ac:dyDescent="0.3">
      <c r="A9156" s="24">
        <v>44034</v>
      </c>
      <c r="B9156" s="66">
        <v>1706.9</v>
      </c>
      <c r="C9156" s="66">
        <v>1500</v>
      </c>
      <c r="D9156" s="70"/>
      <c r="E9156" s="111">
        <f t="shared" si="146"/>
        <v>138710</v>
      </c>
      <c r="F9156" s="69">
        <v>6.4162172214989779E-2</v>
      </c>
      <c r="G9156" s="69">
        <v>4.0350877192982457E-2</v>
      </c>
    </row>
    <row r="9157" spans="1:7" x14ac:dyDescent="0.3">
      <c r="A9157" s="24">
        <v>44035</v>
      </c>
      <c r="B9157" s="66">
        <v>1706.9</v>
      </c>
      <c r="C9157" s="66">
        <v>1532.66</v>
      </c>
      <c r="D9157" s="70"/>
      <c r="E9157" s="111">
        <f t="shared" si="146"/>
        <v>138710</v>
      </c>
      <c r="F9157" s="69">
        <v>6.4162172214989779E-2</v>
      </c>
      <c r="G9157" s="69">
        <v>3.9655172413793106E-2</v>
      </c>
    </row>
    <row r="9158" spans="1:7" x14ac:dyDescent="0.3">
      <c r="A9158" s="24">
        <v>44036</v>
      </c>
      <c r="B9158" s="66">
        <v>1706.9</v>
      </c>
      <c r="C9158" s="66">
        <v>1550</v>
      </c>
      <c r="D9158" s="70"/>
      <c r="E9158" s="111">
        <f t="shared" si="146"/>
        <v>138710</v>
      </c>
      <c r="F9158" s="69">
        <v>6.4162172214989779E-2</v>
      </c>
      <c r="G9158" s="69">
        <v>3.9655172413793106E-2</v>
      </c>
    </row>
    <row r="9159" spans="1:7" x14ac:dyDescent="0.3">
      <c r="A9159" s="24">
        <v>44037</v>
      </c>
      <c r="B9159" s="66">
        <v>1706.9</v>
      </c>
      <c r="C9159" s="66">
        <v>1550</v>
      </c>
      <c r="D9159" s="70"/>
      <c r="E9159" s="111">
        <f t="shared" si="146"/>
        <v>138710</v>
      </c>
      <c r="F9159" s="69">
        <v>6.4162172214989779E-2</v>
      </c>
      <c r="G9159" s="69">
        <v>3.9655172413793106E-2</v>
      </c>
    </row>
    <row r="9160" spans="1:7" x14ac:dyDescent="0.3">
      <c r="A9160" s="24">
        <v>44038</v>
      </c>
      <c r="B9160" s="66">
        <v>1706.9</v>
      </c>
      <c r="C9160" s="66">
        <v>1550</v>
      </c>
      <c r="D9160" s="70"/>
      <c r="E9160" s="111">
        <f t="shared" si="146"/>
        <v>138710</v>
      </c>
      <c r="F9160" s="69">
        <v>6.4162172214989779E-2</v>
      </c>
      <c r="G9160" s="69">
        <v>3.9655172413793106E-2</v>
      </c>
    </row>
    <row r="9161" spans="1:7" x14ac:dyDescent="0.3">
      <c r="A9161" s="24">
        <v>44039</v>
      </c>
      <c r="B9161" s="66">
        <v>1706.9</v>
      </c>
      <c r="C9161" s="66">
        <v>1567.376</v>
      </c>
      <c r="D9161" s="70"/>
      <c r="E9161" s="111">
        <f t="shared" ref="E9161:E9224" si="147">+E9160</f>
        <v>138710</v>
      </c>
      <c r="F9161" s="69">
        <v>6.4162172214989779E-2</v>
      </c>
      <c r="G9161" s="69">
        <v>3.9647577092511016E-2</v>
      </c>
    </row>
    <row r="9162" spans="1:7" x14ac:dyDescent="0.3">
      <c r="A9162" s="24">
        <v>44040</v>
      </c>
      <c r="B9162" s="66">
        <v>1706.9</v>
      </c>
      <c r="C9162" s="66">
        <v>1570</v>
      </c>
      <c r="D9162" s="70"/>
      <c r="E9162" s="111">
        <f t="shared" si="147"/>
        <v>138710</v>
      </c>
      <c r="F9162" s="69">
        <v>6.4162172214989779E-2</v>
      </c>
      <c r="G9162" s="69">
        <v>3.9807692307692308E-2</v>
      </c>
    </row>
    <row r="9163" spans="1:7" x14ac:dyDescent="0.3">
      <c r="A9163" s="24">
        <v>44041</v>
      </c>
      <c r="B9163" s="66">
        <v>1706.9</v>
      </c>
      <c r="C9163" s="66">
        <v>1564.1279999999999</v>
      </c>
      <c r="D9163" s="70"/>
      <c r="E9163" s="111">
        <f t="shared" si="147"/>
        <v>138710</v>
      </c>
      <c r="F9163" s="69">
        <v>6.4162172214989779E-2</v>
      </c>
      <c r="G9163" s="69">
        <v>3.9206030531459525E-2</v>
      </c>
    </row>
    <row r="9164" spans="1:7" x14ac:dyDescent="0.3">
      <c r="A9164" s="24">
        <v>44042</v>
      </c>
      <c r="B9164" s="66">
        <v>1706.9</v>
      </c>
      <c r="C9164" s="66">
        <v>1565</v>
      </c>
      <c r="D9164" s="70"/>
      <c r="E9164" s="111">
        <f t="shared" si="147"/>
        <v>138710</v>
      </c>
      <c r="F9164" s="69">
        <v>6.4162172214989779E-2</v>
      </c>
      <c r="G9164" s="69">
        <v>3.914375401838055E-2</v>
      </c>
    </row>
    <row r="9165" spans="1:7" x14ac:dyDescent="0.3">
      <c r="A9165" s="24">
        <v>44043</v>
      </c>
      <c r="B9165" s="66">
        <v>1706.9</v>
      </c>
      <c r="C9165" s="66">
        <v>1553.6890000000001</v>
      </c>
      <c r="D9165" s="70"/>
      <c r="E9165" s="111">
        <f t="shared" si="147"/>
        <v>138710</v>
      </c>
      <c r="F9165" s="69">
        <v>6.4162172214989779E-2</v>
      </c>
      <c r="G9165" s="69">
        <v>3.9204545454545457E-2</v>
      </c>
    </row>
    <row r="9166" spans="1:7" x14ac:dyDescent="0.3">
      <c r="A9166" s="24">
        <v>44044</v>
      </c>
      <c r="B9166" s="66">
        <v>1706.9</v>
      </c>
      <c r="C9166" s="66">
        <v>1553.6890000000001</v>
      </c>
      <c r="D9166" s="70"/>
      <c r="E9166" s="111">
        <f t="shared" si="147"/>
        <v>138710</v>
      </c>
      <c r="F9166" s="69">
        <v>6.4162172214989779E-2</v>
      </c>
      <c r="G9166" s="69">
        <v>3.9204545454545457E-2</v>
      </c>
    </row>
    <row r="9167" spans="1:7" x14ac:dyDescent="0.3">
      <c r="A9167" s="24">
        <v>44045</v>
      </c>
      <c r="B9167" s="66">
        <v>1706.9</v>
      </c>
      <c r="C9167" s="66">
        <v>1553.6890000000001</v>
      </c>
      <c r="D9167" s="70"/>
      <c r="E9167" s="111">
        <f t="shared" si="147"/>
        <v>138710</v>
      </c>
      <c r="F9167" s="69">
        <v>6.4162172214989779E-2</v>
      </c>
      <c r="G9167" s="69">
        <v>3.9204545454545457E-2</v>
      </c>
    </row>
    <row r="9168" spans="1:7" x14ac:dyDescent="0.3">
      <c r="A9168" s="24">
        <v>44046</v>
      </c>
      <c r="B9168" s="66">
        <v>1706.9</v>
      </c>
      <c r="C9168" s="66">
        <v>1560.0650000000001</v>
      </c>
      <c r="D9168" s="70"/>
      <c r="E9168" s="111">
        <f t="shared" si="147"/>
        <v>138710</v>
      </c>
      <c r="F9168" s="69">
        <v>6.4162172214989779E-2</v>
      </c>
      <c r="G9168" s="69">
        <v>3.9286392104763715E-2</v>
      </c>
    </row>
    <row r="9169" spans="1:7" x14ac:dyDescent="0.3">
      <c r="A9169" s="24">
        <v>44047</v>
      </c>
      <c r="B9169" s="66">
        <v>1706.9</v>
      </c>
      <c r="C9169" s="66">
        <v>1560</v>
      </c>
      <c r="D9169" s="70"/>
      <c r="E9169" s="111">
        <f t="shared" si="147"/>
        <v>138710</v>
      </c>
      <c r="F9169" s="69">
        <v>6.4162172214989779E-2</v>
      </c>
      <c r="G9169" s="69">
        <v>3.9056603773584907E-2</v>
      </c>
    </row>
    <row r="9170" spans="1:7" x14ac:dyDescent="0.3">
      <c r="A9170" s="24">
        <v>44048</v>
      </c>
      <c r="B9170" s="66">
        <v>1706.9</v>
      </c>
      <c r="C9170" s="66">
        <v>1560</v>
      </c>
      <c r="D9170" s="70"/>
      <c r="E9170" s="111">
        <f t="shared" si="147"/>
        <v>138710</v>
      </c>
      <c r="F9170" s="69">
        <v>6.4162172214989779E-2</v>
      </c>
      <c r="G9170" s="69">
        <v>3.9056603773584907E-2</v>
      </c>
    </row>
    <row r="9171" spans="1:7" x14ac:dyDescent="0.3">
      <c r="A9171" s="24">
        <v>44049</v>
      </c>
      <c r="B9171" s="66">
        <v>1706.9</v>
      </c>
      <c r="C9171" s="66">
        <v>1560</v>
      </c>
      <c r="D9171" s="70"/>
      <c r="E9171" s="111">
        <f t="shared" si="147"/>
        <v>138710</v>
      </c>
      <c r="F9171" s="69">
        <v>6.4162172214989779E-2</v>
      </c>
      <c r="G9171" s="69">
        <v>3.9056603773584907E-2</v>
      </c>
    </row>
    <row r="9172" spans="1:7" x14ac:dyDescent="0.3">
      <c r="A9172" s="24">
        <v>44050</v>
      </c>
      <c r="B9172" s="66">
        <v>1706.9</v>
      </c>
      <c r="C9172" s="66">
        <v>1555</v>
      </c>
      <c r="D9172" s="70"/>
      <c r="E9172" s="111">
        <f t="shared" si="147"/>
        <v>138710</v>
      </c>
      <c r="F9172" s="69">
        <v>6.4162172214989779E-2</v>
      </c>
      <c r="G9172" s="69">
        <v>4.0836456894851055E-2</v>
      </c>
    </row>
    <row r="9173" spans="1:7" x14ac:dyDescent="0.3">
      <c r="A9173" s="24">
        <v>44051</v>
      </c>
      <c r="B9173" s="66">
        <v>1706.9</v>
      </c>
      <c r="C9173" s="66">
        <v>1555</v>
      </c>
      <c r="D9173" s="70"/>
      <c r="E9173" s="111">
        <f t="shared" si="147"/>
        <v>138710</v>
      </c>
      <c r="F9173" s="69">
        <v>6.4162172214989779E-2</v>
      </c>
      <c r="G9173" s="69">
        <v>4.0836456894851055E-2</v>
      </c>
    </row>
    <row r="9174" spans="1:7" x14ac:dyDescent="0.3">
      <c r="A9174" s="24">
        <v>44052</v>
      </c>
      <c r="B9174" s="66">
        <v>1706.9</v>
      </c>
      <c r="C9174" s="66">
        <v>1555</v>
      </c>
      <c r="D9174" s="70"/>
      <c r="E9174" s="111">
        <f t="shared" si="147"/>
        <v>138710</v>
      </c>
      <c r="F9174" s="69">
        <v>6.4162172214989779E-2</v>
      </c>
      <c r="G9174" s="69">
        <v>4.0836456894851055E-2</v>
      </c>
    </row>
    <row r="9175" spans="1:7" x14ac:dyDescent="0.3">
      <c r="A9175" s="24">
        <v>44053</v>
      </c>
      <c r="B9175" s="66">
        <v>1706.9</v>
      </c>
      <c r="C9175" s="66">
        <v>1550</v>
      </c>
      <c r="D9175" s="70"/>
      <c r="E9175" s="111">
        <f t="shared" si="147"/>
        <v>138710</v>
      </c>
      <c r="F9175" s="69">
        <v>6.4162172214989779E-2</v>
      </c>
      <c r="G9175" s="69">
        <v>3.9128955427015992E-2</v>
      </c>
    </row>
    <row r="9176" spans="1:7" x14ac:dyDescent="0.3">
      <c r="A9176" s="24">
        <v>44054</v>
      </c>
      <c r="B9176" s="66">
        <v>1706.9</v>
      </c>
      <c r="C9176" s="66">
        <v>1540</v>
      </c>
      <c r="D9176" s="70"/>
      <c r="E9176" s="111">
        <f t="shared" si="147"/>
        <v>138710</v>
      </c>
      <c r="F9176" s="69">
        <v>6.4162172214989779E-2</v>
      </c>
      <c r="G9176" s="69">
        <v>3.9204545454545457E-2</v>
      </c>
    </row>
    <row r="9177" spans="1:7" x14ac:dyDescent="0.3">
      <c r="A9177" s="24">
        <v>44055</v>
      </c>
      <c r="B9177" s="66">
        <v>1706.9</v>
      </c>
      <c r="C9177" s="66">
        <v>1530</v>
      </c>
      <c r="D9177" s="70"/>
      <c r="E9177" s="111">
        <f t="shared" si="147"/>
        <v>138710</v>
      </c>
      <c r="F9177" s="69">
        <v>6.4162172214989779E-2</v>
      </c>
      <c r="G9177" s="69">
        <v>3.9600550964187332E-2</v>
      </c>
    </row>
    <row r="9178" spans="1:7" x14ac:dyDescent="0.3">
      <c r="A9178" s="24">
        <v>44056</v>
      </c>
      <c r="B9178" s="66">
        <v>1706.9</v>
      </c>
      <c r="C9178" s="66">
        <v>1517.0429999999999</v>
      </c>
      <c r="D9178" s="70"/>
      <c r="E9178" s="111">
        <f t="shared" si="147"/>
        <v>138710</v>
      </c>
      <c r="F9178" s="69">
        <v>6.4162172214989779E-2</v>
      </c>
      <c r="G9178" s="69">
        <v>3.9600550964187332E-2</v>
      </c>
    </row>
    <row r="9179" spans="1:7" x14ac:dyDescent="0.3">
      <c r="A9179" s="24">
        <v>44057</v>
      </c>
      <c r="B9179" s="66">
        <v>1706.9</v>
      </c>
      <c r="C9179" s="66">
        <v>1509.4780000000001</v>
      </c>
      <c r="D9179" s="70"/>
      <c r="E9179" s="111">
        <f t="shared" si="147"/>
        <v>138710</v>
      </c>
      <c r="F9179" s="69">
        <v>6.4162172214989779E-2</v>
      </c>
      <c r="G9179" s="69">
        <v>3.9086102719033233E-2</v>
      </c>
    </row>
    <row r="9180" spans="1:7" x14ac:dyDescent="0.3">
      <c r="A9180" s="24">
        <v>44058</v>
      </c>
      <c r="B9180" s="66">
        <v>1706.9</v>
      </c>
      <c r="C9180" s="66">
        <v>1509.4780000000001</v>
      </c>
      <c r="D9180" s="70"/>
      <c r="E9180" s="111">
        <f t="shared" si="147"/>
        <v>138710</v>
      </c>
      <c r="F9180" s="69">
        <v>6.4162172214989779E-2</v>
      </c>
      <c r="G9180" s="69">
        <v>3.9086102719033233E-2</v>
      </c>
    </row>
    <row r="9181" spans="1:7" x14ac:dyDescent="0.3">
      <c r="A9181" s="24">
        <v>44059</v>
      </c>
      <c r="B9181" s="66">
        <v>1706.9</v>
      </c>
      <c r="C9181" s="66">
        <v>1509.4780000000001</v>
      </c>
      <c r="D9181" s="70"/>
      <c r="E9181" s="111">
        <f t="shared" si="147"/>
        <v>138710</v>
      </c>
      <c r="F9181" s="69">
        <v>6.4162172214989779E-2</v>
      </c>
      <c r="G9181" s="69">
        <v>3.9086102719033233E-2</v>
      </c>
    </row>
    <row r="9182" spans="1:7" x14ac:dyDescent="0.3">
      <c r="A9182" s="24">
        <v>44060</v>
      </c>
      <c r="B9182" s="66">
        <v>1706.9</v>
      </c>
      <c r="C9182" s="66">
        <v>1489.9</v>
      </c>
      <c r="D9182" s="70"/>
      <c r="E9182" s="111">
        <f t="shared" si="147"/>
        <v>138710</v>
      </c>
      <c r="F9182" s="69">
        <v>6.4162172214989779E-2</v>
      </c>
      <c r="G9182" s="69">
        <v>3.9056603773584907E-2</v>
      </c>
    </row>
    <row r="9183" spans="1:7" x14ac:dyDescent="0.3">
      <c r="A9183" s="24">
        <v>44061</v>
      </c>
      <c r="B9183" s="66">
        <v>1706.9</v>
      </c>
      <c r="C9183" s="66">
        <v>1500</v>
      </c>
      <c r="D9183" s="70"/>
      <c r="E9183" s="111">
        <f t="shared" si="147"/>
        <v>138710</v>
      </c>
      <c r="F9183" s="69">
        <v>6.4162172214989779E-2</v>
      </c>
      <c r="G9183" s="69">
        <v>3.9058077663308051E-2</v>
      </c>
    </row>
    <row r="9184" spans="1:7" x14ac:dyDescent="0.3">
      <c r="A9184" s="24">
        <v>44062</v>
      </c>
      <c r="B9184" s="66">
        <v>1706.9</v>
      </c>
      <c r="C9184" s="66">
        <v>1523.2840000000001</v>
      </c>
      <c r="D9184" s="70"/>
      <c r="E9184" s="111">
        <f t="shared" si="147"/>
        <v>138710</v>
      </c>
      <c r="F9184" s="69">
        <v>6.4162172214989779E-2</v>
      </c>
      <c r="G9184" s="69">
        <v>3.8996269922007464E-2</v>
      </c>
    </row>
    <row r="9185" spans="1:7" x14ac:dyDescent="0.3">
      <c r="A9185" s="24">
        <v>44063</v>
      </c>
      <c r="B9185" s="66">
        <v>1706.9</v>
      </c>
      <c r="C9185" s="66">
        <v>1548.1559999999999</v>
      </c>
      <c r="D9185" s="70"/>
      <c r="E9185" s="111">
        <f t="shared" si="147"/>
        <v>138710</v>
      </c>
      <c r="F9185" s="69">
        <v>6.4162172214989779E-2</v>
      </c>
      <c r="G9185" s="69">
        <v>3.8981582614590789E-2</v>
      </c>
    </row>
    <row r="9186" spans="1:7" x14ac:dyDescent="0.3">
      <c r="A9186" s="24">
        <v>44064</v>
      </c>
      <c r="B9186" s="66">
        <v>1668.9608000000001</v>
      </c>
      <c r="C9186" s="66">
        <v>1539</v>
      </c>
      <c r="D9186" s="70"/>
      <c r="E9186" s="111">
        <f t="shared" si="147"/>
        <v>138710</v>
      </c>
      <c r="F9186" s="69">
        <v>6.445778855603343E-2</v>
      </c>
      <c r="G9186" s="69">
        <v>3.898305084745763E-2</v>
      </c>
    </row>
    <row r="9187" spans="1:7" x14ac:dyDescent="0.3">
      <c r="A9187" s="24">
        <v>44065</v>
      </c>
      <c r="B9187" s="66">
        <v>1668.9608000000001</v>
      </c>
      <c r="C9187" s="66">
        <v>1539</v>
      </c>
      <c r="D9187" s="70"/>
      <c r="E9187" s="111">
        <f t="shared" si="147"/>
        <v>138710</v>
      </c>
      <c r="F9187" s="69">
        <v>6.445778855603343E-2</v>
      </c>
      <c r="G9187" s="69">
        <v>3.898305084745763E-2</v>
      </c>
    </row>
    <row r="9188" spans="1:7" x14ac:dyDescent="0.3">
      <c r="A9188" s="24">
        <v>44066</v>
      </c>
      <c r="B9188" s="66">
        <v>1668.9608000000001</v>
      </c>
      <c r="C9188" s="66">
        <v>1539</v>
      </c>
      <c r="D9188" s="70"/>
      <c r="E9188" s="111">
        <f t="shared" si="147"/>
        <v>138710</v>
      </c>
      <c r="F9188" s="69">
        <v>6.445778855603343E-2</v>
      </c>
      <c r="G9188" s="69">
        <v>3.898305084745763E-2</v>
      </c>
    </row>
    <row r="9189" spans="1:7" x14ac:dyDescent="0.3">
      <c r="A9189" s="24">
        <v>44067</v>
      </c>
      <c r="B9189" s="66">
        <v>1668.9608000000001</v>
      </c>
      <c r="C9189" s="66">
        <v>1518.04</v>
      </c>
      <c r="D9189" s="70"/>
      <c r="E9189" s="111">
        <f t="shared" si="147"/>
        <v>138710</v>
      </c>
      <c r="F9189" s="69">
        <v>6.445778855603343E-2</v>
      </c>
      <c r="G9189" s="69">
        <v>3.9056603773584907E-2</v>
      </c>
    </row>
    <row r="9190" spans="1:7" x14ac:dyDescent="0.3">
      <c r="A9190" s="24">
        <v>44068</v>
      </c>
      <c r="B9190" s="66">
        <v>1668.9608000000001</v>
      </c>
      <c r="C9190" s="66">
        <v>1501.9169999999999</v>
      </c>
      <c r="D9190" s="70"/>
      <c r="E9190" s="111">
        <f t="shared" si="147"/>
        <v>138710</v>
      </c>
      <c r="F9190" s="69">
        <v>6.445778855603343E-2</v>
      </c>
      <c r="G9190" s="69">
        <v>3.880328421999775E-2</v>
      </c>
    </row>
    <row r="9191" spans="1:7" x14ac:dyDescent="0.3">
      <c r="A9191" s="24">
        <v>44069</v>
      </c>
      <c r="B9191" s="66">
        <v>1668.9608000000001</v>
      </c>
      <c r="C9191" s="66">
        <v>1499.538</v>
      </c>
      <c r="D9191" s="70"/>
      <c r="E9191" s="111">
        <f t="shared" si="147"/>
        <v>138710</v>
      </c>
      <c r="F9191" s="69">
        <v>6.445778855603343E-2</v>
      </c>
      <c r="G9191" s="69">
        <v>3.8860103626943004E-2</v>
      </c>
    </row>
    <row r="9192" spans="1:7" x14ac:dyDescent="0.3">
      <c r="A9192" s="24">
        <v>44070</v>
      </c>
      <c r="B9192" s="66">
        <v>1668.9608000000001</v>
      </c>
      <c r="C9192" s="66">
        <v>1494.5740000000001</v>
      </c>
      <c r="D9192" s="70"/>
      <c r="E9192" s="111">
        <f t="shared" si="147"/>
        <v>138710</v>
      </c>
      <c r="F9192" s="69">
        <v>6.445778855603343E-2</v>
      </c>
      <c r="G9192" s="69">
        <v>3.8655462184873951E-2</v>
      </c>
    </row>
    <row r="9193" spans="1:7" x14ac:dyDescent="0.3">
      <c r="A9193" s="24">
        <v>44071</v>
      </c>
      <c r="B9193" s="66">
        <v>1668.9608000000001</v>
      </c>
      <c r="C9193" s="66">
        <v>1480.152</v>
      </c>
      <c r="D9193" s="70"/>
      <c r="E9193" s="111">
        <f t="shared" si="147"/>
        <v>138710</v>
      </c>
      <c r="F9193" s="69">
        <v>6.445778855603343E-2</v>
      </c>
      <c r="G9193" s="69">
        <v>3.8691588785046728E-2</v>
      </c>
    </row>
    <row r="9194" spans="1:7" x14ac:dyDescent="0.3">
      <c r="A9194" s="24">
        <v>44072</v>
      </c>
      <c r="B9194" s="66">
        <v>1668.9608000000001</v>
      </c>
      <c r="C9194" s="66">
        <v>1480.152</v>
      </c>
      <c r="D9194" s="70"/>
      <c r="E9194" s="111">
        <f t="shared" si="147"/>
        <v>138710</v>
      </c>
      <c r="F9194" s="69">
        <v>6.445778855603343E-2</v>
      </c>
      <c r="G9194" s="69">
        <v>3.8691588785046728E-2</v>
      </c>
    </row>
    <row r="9195" spans="1:7" x14ac:dyDescent="0.3">
      <c r="A9195" s="24">
        <v>44073</v>
      </c>
      <c r="B9195" s="66">
        <v>1668.9608000000001</v>
      </c>
      <c r="C9195" s="66">
        <v>1480.152</v>
      </c>
      <c r="D9195" s="70"/>
      <c r="E9195" s="111">
        <f t="shared" si="147"/>
        <v>138710</v>
      </c>
      <c r="F9195" s="69">
        <v>6.445778855603343E-2</v>
      </c>
      <c r="G9195" s="69">
        <v>3.8691588785046728E-2</v>
      </c>
    </row>
    <row r="9196" spans="1:7" x14ac:dyDescent="0.3">
      <c r="A9196" s="24">
        <v>44074</v>
      </c>
      <c r="B9196" s="66">
        <v>1668.9608000000001</v>
      </c>
      <c r="C9196" s="66">
        <v>1464.7059999999999</v>
      </c>
      <c r="D9196" s="70"/>
      <c r="E9196" s="111">
        <f t="shared" si="147"/>
        <v>138710</v>
      </c>
      <c r="F9196" s="69">
        <v>6.445778855603343E-2</v>
      </c>
      <c r="G9196" s="69">
        <v>3.8691588785046728E-2</v>
      </c>
    </row>
    <row r="9197" spans="1:7" x14ac:dyDescent="0.3">
      <c r="A9197" s="24">
        <v>44075</v>
      </c>
      <c r="B9197" s="66">
        <v>1668.9608000000001</v>
      </c>
      <c r="C9197" s="66">
        <v>1464.7059999999999</v>
      </c>
      <c r="D9197" s="70"/>
      <c r="E9197" s="111">
        <f t="shared" si="147"/>
        <v>138710</v>
      </c>
      <c r="F9197" s="69">
        <v>6.445778855603343E-2</v>
      </c>
      <c r="G9197" s="69">
        <v>3.8706058339566196E-2</v>
      </c>
    </row>
    <row r="9198" spans="1:7" x14ac:dyDescent="0.3">
      <c r="A9198" s="24">
        <v>44076</v>
      </c>
      <c r="B9198" s="66">
        <v>1668.9608000000001</v>
      </c>
      <c r="C9198" s="66">
        <v>1500.1</v>
      </c>
      <c r="D9198" s="70"/>
      <c r="E9198" s="111">
        <f t="shared" si="147"/>
        <v>138710</v>
      </c>
      <c r="F9198" s="69">
        <v>6.445778855603343E-2</v>
      </c>
      <c r="G9198" s="69">
        <v>3.8706058339566196E-2</v>
      </c>
    </row>
    <row r="9199" spans="1:7" x14ac:dyDescent="0.3">
      <c r="A9199" s="24">
        <v>44077</v>
      </c>
      <c r="B9199" s="66">
        <v>1668.9608000000001</v>
      </c>
      <c r="C9199" s="66">
        <v>1520</v>
      </c>
      <c r="D9199" s="70"/>
      <c r="E9199" s="111">
        <f t="shared" si="147"/>
        <v>138710</v>
      </c>
      <c r="F9199" s="69">
        <v>6.445778855603343E-2</v>
      </c>
      <c r="G9199" s="69">
        <v>3.8835315748001954E-2</v>
      </c>
    </row>
    <row r="9200" spans="1:7" x14ac:dyDescent="0.3">
      <c r="A9200" s="24">
        <v>44078</v>
      </c>
      <c r="B9200" s="66">
        <v>1668.9608000000001</v>
      </c>
      <c r="C9200" s="66">
        <v>1505.175</v>
      </c>
      <c r="D9200" s="70"/>
      <c r="E9200" s="111">
        <f t="shared" si="147"/>
        <v>138710</v>
      </c>
      <c r="F9200" s="69">
        <v>6.445778855603343E-2</v>
      </c>
      <c r="G9200" s="69">
        <v>3.8732130828530803E-2</v>
      </c>
    </row>
    <row r="9201" spans="1:7" x14ac:dyDescent="0.3">
      <c r="A9201" s="24">
        <v>44079</v>
      </c>
      <c r="B9201" s="66">
        <v>1668.9608000000001</v>
      </c>
      <c r="C9201" s="66">
        <v>1505.175</v>
      </c>
      <c r="D9201" s="70"/>
      <c r="E9201" s="111">
        <f t="shared" si="147"/>
        <v>138710</v>
      </c>
      <c r="F9201" s="69">
        <v>6.445778855603343E-2</v>
      </c>
      <c r="G9201" s="69">
        <v>3.8732130828530803E-2</v>
      </c>
    </row>
    <row r="9202" spans="1:7" x14ac:dyDescent="0.3">
      <c r="A9202" s="24">
        <v>44080</v>
      </c>
      <c r="B9202" s="66">
        <v>1668.9608000000001</v>
      </c>
      <c r="C9202" s="66">
        <v>1505.175</v>
      </c>
      <c r="D9202" s="70"/>
      <c r="E9202" s="111">
        <f t="shared" si="147"/>
        <v>138710</v>
      </c>
      <c r="F9202" s="69">
        <v>6.445778855603343E-2</v>
      </c>
      <c r="G9202" s="69">
        <v>3.8732130828530803E-2</v>
      </c>
    </row>
    <row r="9203" spans="1:7" x14ac:dyDescent="0.3">
      <c r="A9203" s="24">
        <v>44081</v>
      </c>
      <c r="B9203" s="66">
        <v>1668.9608000000001</v>
      </c>
      <c r="C9203" s="66">
        <v>1525</v>
      </c>
      <c r="D9203" s="70"/>
      <c r="E9203" s="111">
        <f t="shared" si="147"/>
        <v>138710</v>
      </c>
      <c r="F9203" s="69">
        <v>6.445778855603343E-2</v>
      </c>
      <c r="G9203" s="69">
        <v>3.9009497964721848E-2</v>
      </c>
    </row>
    <row r="9204" spans="1:7" x14ac:dyDescent="0.3">
      <c r="A9204" s="24">
        <v>44082</v>
      </c>
      <c r="B9204" s="66">
        <v>1668.9608000000001</v>
      </c>
      <c r="C9204" s="66">
        <v>1521.9770000000001</v>
      </c>
      <c r="D9204" s="70"/>
      <c r="E9204" s="111">
        <f t="shared" si="147"/>
        <v>138710</v>
      </c>
      <c r="F9204" s="69">
        <v>6.445778855603343E-2</v>
      </c>
      <c r="G9204" s="69">
        <v>3.9599035849561925E-2</v>
      </c>
    </row>
    <row r="9205" spans="1:7" x14ac:dyDescent="0.3">
      <c r="A9205" s="24">
        <v>44083</v>
      </c>
      <c r="B9205" s="66">
        <v>1668.9608000000001</v>
      </c>
      <c r="C9205" s="66">
        <v>1525</v>
      </c>
      <c r="D9205" s="70"/>
      <c r="E9205" s="111">
        <f t="shared" si="147"/>
        <v>138710</v>
      </c>
      <c r="F9205" s="69">
        <v>6.445778855603343E-2</v>
      </c>
      <c r="G9205" s="69">
        <v>3.9813817510386214E-2</v>
      </c>
    </row>
    <row r="9206" spans="1:7" x14ac:dyDescent="0.3">
      <c r="A9206" s="24">
        <v>44084</v>
      </c>
      <c r="B9206" s="66">
        <v>1668.9608000000001</v>
      </c>
      <c r="C9206" s="66">
        <v>1523.89</v>
      </c>
      <c r="D9206" s="70"/>
      <c r="E9206" s="111">
        <f t="shared" si="147"/>
        <v>138710</v>
      </c>
      <c r="F9206" s="69">
        <v>6.445778855603343E-2</v>
      </c>
      <c r="G9206" s="69">
        <v>4.1733870967741934E-2</v>
      </c>
    </row>
    <row r="9207" spans="1:7" x14ac:dyDescent="0.3">
      <c r="A9207" s="24">
        <v>44085</v>
      </c>
      <c r="B9207" s="66">
        <v>1668.9608000000001</v>
      </c>
      <c r="C9207" s="66">
        <v>1524.883</v>
      </c>
      <c r="D9207" s="70"/>
      <c r="E9207" s="111">
        <f t="shared" si="147"/>
        <v>138710</v>
      </c>
      <c r="F9207" s="69">
        <v>6.445778855603343E-2</v>
      </c>
      <c r="G9207" s="69">
        <v>4.3124999999999997E-2</v>
      </c>
    </row>
    <row r="9208" spans="1:7" x14ac:dyDescent="0.3">
      <c r="A9208" s="24">
        <v>44086</v>
      </c>
      <c r="B9208" s="66">
        <v>1668.9608000000001</v>
      </c>
      <c r="C9208" s="66">
        <v>1524.883</v>
      </c>
      <c r="D9208" s="70"/>
      <c r="E9208" s="111">
        <f t="shared" si="147"/>
        <v>138710</v>
      </c>
      <c r="F9208" s="69">
        <v>6.445778855603343E-2</v>
      </c>
      <c r="G9208" s="69">
        <v>4.3124999999999997E-2</v>
      </c>
    </row>
    <row r="9209" spans="1:7" x14ac:dyDescent="0.3">
      <c r="A9209" s="24">
        <v>44087</v>
      </c>
      <c r="B9209" s="66">
        <v>1668.9608000000001</v>
      </c>
      <c r="C9209" s="66">
        <v>1524.883</v>
      </c>
      <c r="D9209" s="70"/>
      <c r="E9209" s="111">
        <f t="shared" si="147"/>
        <v>138710</v>
      </c>
      <c r="F9209" s="69">
        <v>6.445778855603343E-2</v>
      </c>
      <c r="G9209" s="69">
        <v>4.3124999999999997E-2</v>
      </c>
    </row>
    <row r="9210" spans="1:7" x14ac:dyDescent="0.3">
      <c r="A9210" s="24">
        <v>44088</v>
      </c>
      <c r="B9210" s="66">
        <v>1668.9608000000001</v>
      </c>
      <c r="C9210" s="66">
        <v>1535.136</v>
      </c>
      <c r="D9210" s="70"/>
      <c r="E9210" s="111">
        <f t="shared" si="147"/>
        <v>138710</v>
      </c>
      <c r="F9210" s="69">
        <v>6.445778855603343E-2</v>
      </c>
      <c r="G9210" s="69">
        <v>4.2244897959183673E-2</v>
      </c>
    </row>
    <row r="9211" spans="1:7" x14ac:dyDescent="0.3">
      <c r="A9211" s="24">
        <v>44089</v>
      </c>
      <c r="B9211" s="66">
        <v>1668.9608000000001</v>
      </c>
      <c r="C9211" s="66">
        <v>1535</v>
      </c>
      <c r="D9211" s="70"/>
      <c r="E9211" s="111">
        <f t="shared" si="147"/>
        <v>138710</v>
      </c>
      <c r="F9211" s="69">
        <v>6.445778855603343E-2</v>
      </c>
      <c r="G9211" s="69">
        <v>4.1235059760956178E-2</v>
      </c>
    </row>
    <row r="9212" spans="1:7" x14ac:dyDescent="0.3">
      <c r="A9212" s="24">
        <v>44090</v>
      </c>
      <c r="B9212" s="66">
        <v>1668.9608000000001</v>
      </c>
      <c r="C9212" s="66">
        <v>1550</v>
      </c>
      <c r="D9212" s="70"/>
      <c r="E9212" s="111">
        <f t="shared" si="147"/>
        <v>138710</v>
      </c>
      <c r="F9212" s="69">
        <v>6.445778855603343E-2</v>
      </c>
      <c r="G9212" s="69">
        <v>4.1235059760956178E-2</v>
      </c>
    </row>
    <row r="9213" spans="1:7" x14ac:dyDescent="0.3">
      <c r="A9213" s="24">
        <v>44091</v>
      </c>
      <c r="B9213" s="66">
        <v>1668.9608000000001</v>
      </c>
      <c r="C9213" s="66">
        <v>1550</v>
      </c>
      <c r="D9213" s="70"/>
      <c r="E9213" s="111">
        <f t="shared" si="147"/>
        <v>138710</v>
      </c>
      <c r="F9213" s="69">
        <v>6.445778855603343E-2</v>
      </c>
      <c r="G9213" s="69">
        <v>4.1235059760956178E-2</v>
      </c>
    </row>
    <row r="9214" spans="1:7" x14ac:dyDescent="0.3">
      <c r="A9214" s="24">
        <v>44092</v>
      </c>
      <c r="B9214" s="66">
        <v>1668.9608000000001</v>
      </c>
      <c r="C9214" s="66">
        <v>1550</v>
      </c>
      <c r="D9214" s="70"/>
      <c r="E9214" s="111">
        <f t="shared" si="147"/>
        <v>138710</v>
      </c>
      <c r="F9214" s="69">
        <v>6.445778855603343E-2</v>
      </c>
      <c r="G9214" s="69">
        <v>4.1235059760956178E-2</v>
      </c>
    </row>
    <row r="9215" spans="1:7" x14ac:dyDescent="0.3">
      <c r="A9215" s="24">
        <v>44093</v>
      </c>
      <c r="B9215" s="66">
        <v>1668.9608000000001</v>
      </c>
      <c r="C9215" s="66">
        <v>1550</v>
      </c>
      <c r="D9215" s="70"/>
      <c r="E9215" s="111">
        <f t="shared" si="147"/>
        <v>138710</v>
      </c>
      <c r="F9215" s="69">
        <v>6.445778855603343E-2</v>
      </c>
      <c r="G9215" s="69">
        <v>4.1235059760956178E-2</v>
      </c>
    </row>
    <row r="9216" spans="1:7" x14ac:dyDescent="0.3">
      <c r="A9216" s="24">
        <v>44094</v>
      </c>
      <c r="B9216" s="66">
        <v>1668.9608000000001</v>
      </c>
      <c r="C9216" s="66">
        <v>1550</v>
      </c>
      <c r="D9216" s="70"/>
      <c r="E9216" s="111">
        <f t="shared" si="147"/>
        <v>138710</v>
      </c>
      <c r="F9216" s="69">
        <v>6.445778855603343E-2</v>
      </c>
      <c r="G9216" s="69">
        <v>4.1235059760956178E-2</v>
      </c>
    </row>
    <row r="9217" spans="1:7" x14ac:dyDescent="0.3">
      <c r="A9217" s="24">
        <v>44095</v>
      </c>
      <c r="B9217" s="66">
        <v>1668.9608000000001</v>
      </c>
      <c r="C9217" s="66">
        <v>1550.01</v>
      </c>
      <c r="D9217" s="70"/>
      <c r="E9217" s="111">
        <f t="shared" si="147"/>
        <v>138710</v>
      </c>
      <c r="F9217" s="69">
        <v>6.445778855603343E-2</v>
      </c>
      <c r="G9217" s="69">
        <v>4.0772109513492222E-2</v>
      </c>
    </row>
    <row r="9218" spans="1:7" x14ac:dyDescent="0.3">
      <c r="A9218" s="24">
        <v>44096</v>
      </c>
      <c r="B9218" s="66">
        <v>1668.9608000000001</v>
      </c>
      <c r="C9218" s="66">
        <v>1550.0029999999999</v>
      </c>
      <c r="D9218" s="70"/>
      <c r="E9218" s="111">
        <f t="shared" si="147"/>
        <v>138710</v>
      </c>
      <c r="F9218" s="69">
        <v>6.445778855603343E-2</v>
      </c>
      <c r="G9218" s="69">
        <v>4.0184811306103435E-2</v>
      </c>
    </row>
    <row r="9219" spans="1:7" x14ac:dyDescent="0.3">
      <c r="A9219" s="24">
        <v>44097</v>
      </c>
      <c r="B9219" s="66">
        <v>1668.9608000000001</v>
      </c>
      <c r="C9219" s="66">
        <v>1550</v>
      </c>
      <c r="D9219" s="70"/>
      <c r="E9219" s="111">
        <f t="shared" si="147"/>
        <v>138710</v>
      </c>
      <c r="F9219" s="69">
        <v>6.445778855603343E-2</v>
      </c>
      <c r="G9219" s="69">
        <v>3.9719088187888552E-2</v>
      </c>
    </row>
    <row r="9220" spans="1:7" x14ac:dyDescent="0.3">
      <c r="A9220" s="24">
        <v>44098</v>
      </c>
      <c r="B9220" s="66">
        <v>1668.9608000000001</v>
      </c>
      <c r="C9220" s="66">
        <v>1540</v>
      </c>
      <c r="D9220" s="70"/>
      <c r="E9220" s="111">
        <f t="shared" si="147"/>
        <v>138710</v>
      </c>
      <c r="F9220" s="69">
        <v>6.445778855603343E-2</v>
      </c>
      <c r="G9220" s="69">
        <v>3.951890034364261E-2</v>
      </c>
    </row>
    <row r="9221" spans="1:7" x14ac:dyDescent="0.3">
      <c r="A9221" s="24">
        <v>44099</v>
      </c>
      <c r="B9221" s="66">
        <v>1668.9608000000001</v>
      </c>
      <c r="C9221" s="66">
        <v>1539.9380000000001</v>
      </c>
      <c r="D9221" s="70"/>
      <c r="E9221" s="111">
        <f t="shared" si="147"/>
        <v>138710</v>
      </c>
      <c r="F9221" s="69">
        <v>6.445778855603343E-2</v>
      </c>
      <c r="G9221" s="69">
        <v>3.9231294064134642E-2</v>
      </c>
    </row>
    <row r="9222" spans="1:7" x14ac:dyDescent="0.3">
      <c r="A9222" s="24">
        <v>44100</v>
      </c>
      <c r="B9222" s="66">
        <v>1668.9608000000001</v>
      </c>
      <c r="C9222" s="66">
        <v>1539.9380000000001</v>
      </c>
      <c r="D9222" s="70"/>
      <c r="E9222" s="111">
        <f t="shared" si="147"/>
        <v>138710</v>
      </c>
      <c r="F9222" s="69">
        <v>5.3559128655254834E-2</v>
      </c>
      <c r="G9222" s="69">
        <v>3.259798347358047E-2</v>
      </c>
    </row>
    <row r="9223" spans="1:7" x14ac:dyDescent="0.3">
      <c r="A9223" s="24">
        <v>44101</v>
      </c>
      <c r="B9223" s="66">
        <v>1668.9608000000001</v>
      </c>
      <c r="C9223" s="66">
        <v>1539.9380000000001</v>
      </c>
      <c r="D9223" s="70"/>
      <c r="E9223" s="111">
        <f t="shared" si="147"/>
        <v>138710</v>
      </c>
      <c r="F9223" s="69">
        <v>5.3559128655254834E-2</v>
      </c>
      <c r="G9223" s="69">
        <v>3.259798347358047E-2</v>
      </c>
    </row>
    <row r="9224" spans="1:7" x14ac:dyDescent="0.3">
      <c r="A9224" s="24">
        <v>44102</v>
      </c>
      <c r="B9224" s="66">
        <v>1668.9608000000001</v>
      </c>
      <c r="C9224" s="66">
        <v>1548.3409999999999</v>
      </c>
      <c r="D9224" s="70"/>
      <c r="E9224" s="111">
        <f t="shared" si="147"/>
        <v>138710</v>
      </c>
      <c r="F9224" s="69">
        <v>5.3559128655254834E-2</v>
      </c>
      <c r="G9224" s="69">
        <v>3.2575757575757577E-2</v>
      </c>
    </row>
    <row r="9225" spans="1:7" x14ac:dyDescent="0.3">
      <c r="A9225" s="24">
        <v>44103</v>
      </c>
      <c r="B9225" s="66">
        <v>1668.9608000000001</v>
      </c>
      <c r="C9225" s="66">
        <v>1550</v>
      </c>
      <c r="D9225" s="70"/>
      <c r="E9225" s="111">
        <f t="shared" ref="E9225:E9288" si="148">+E9224</f>
        <v>138710</v>
      </c>
      <c r="F9225" s="69">
        <v>5.3559128655254834E-2</v>
      </c>
      <c r="G9225" s="69">
        <v>3.2645004555116916E-2</v>
      </c>
    </row>
    <row r="9226" spans="1:7" x14ac:dyDescent="0.3">
      <c r="A9226" s="24">
        <v>44104</v>
      </c>
      <c r="B9226" s="66">
        <v>1668.9608000000001</v>
      </c>
      <c r="C9226" s="66">
        <v>1570</v>
      </c>
      <c r="D9226" s="70">
        <v>18</v>
      </c>
      <c r="E9226" s="111">
        <f t="shared" si="148"/>
        <v>138710</v>
      </c>
      <c r="F9226" s="69">
        <v>6.4769178838912825E-2</v>
      </c>
      <c r="G9226" s="69">
        <v>3.939543164513807E-2</v>
      </c>
    </row>
    <row r="9227" spans="1:7" x14ac:dyDescent="0.3">
      <c r="A9227" s="24">
        <v>44105</v>
      </c>
      <c r="B9227" s="66">
        <v>1668.9608000000001</v>
      </c>
      <c r="C9227" s="66">
        <v>1570</v>
      </c>
      <c r="D9227" s="70"/>
      <c r="E9227" s="111">
        <f t="shared" si="148"/>
        <v>138710</v>
      </c>
      <c r="F9227" s="69">
        <v>6.4769178838912825E-2</v>
      </c>
      <c r="G9227" s="69">
        <v>3.9431279620853084E-2</v>
      </c>
    </row>
    <row r="9228" spans="1:7" x14ac:dyDescent="0.3">
      <c r="A9228" s="24">
        <v>44106</v>
      </c>
      <c r="B9228" s="66">
        <v>1668.9608000000001</v>
      </c>
      <c r="C9228" s="66">
        <v>1554.999</v>
      </c>
      <c r="D9228" s="70"/>
      <c r="E9228" s="111">
        <f t="shared" si="148"/>
        <v>138710</v>
      </c>
      <c r="F9228" s="69">
        <v>6.4769178838912825E-2</v>
      </c>
      <c r="G9228" s="69">
        <v>3.9452221084177383E-2</v>
      </c>
    </row>
    <row r="9229" spans="1:7" x14ac:dyDescent="0.3">
      <c r="A9229" s="24">
        <v>44107</v>
      </c>
      <c r="B9229" s="66">
        <v>1668.9608000000001</v>
      </c>
      <c r="C9229" s="66">
        <v>1554.999</v>
      </c>
      <c r="D9229" s="70"/>
      <c r="E9229" s="111">
        <f t="shared" si="148"/>
        <v>138710</v>
      </c>
      <c r="F9229" s="69">
        <v>6.4769178838912825E-2</v>
      </c>
      <c r="G9229" s="69">
        <v>3.9452221084177383E-2</v>
      </c>
    </row>
    <row r="9230" spans="1:7" x14ac:dyDescent="0.3">
      <c r="A9230" s="24">
        <v>44108</v>
      </c>
      <c r="B9230" s="66">
        <v>1668.9608000000001</v>
      </c>
      <c r="C9230" s="66">
        <v>1554.999</v>
      </c>
      <c r="D9230" s="70"/>
      <c r="E9230" s="111">
        <f t="shared" si="148"/>
        <v>138710</v>
      </c>
      <c r="F9230" s="69">
        <v>6.4769178838912825E-2</v>
      </c>
      <c r="G9230" s="69">
        <v>3.9452221084177383E-2</v>
      </c>
    </row>
    <row r="9231" spans="1:7" x14ac:dyDescent="0.3">
      <c r="A9231" s="24">
        <v>44109</v>
      </c>
      <c r="B9231" s="66">
        <v>1668.9608000000001</v>
      </c>
      <c r="C9231" s="66">
        <v>1550.4359999999999</v>
      </c>
      <c r="D9231" s="70"/>
      <c r="E9231" s="111">
        <f t="shared" si="148"/>
        <v>138710</v>
      </c>
      <c r="F9231" s="69">
        <v>6.4769178838912825E-2</v>
      </c>
      <c r="G9231" s="69">
        <v>3.962810547172687E-2</v>
      </c>
    </row>
    <row r="9232" spans="1:7" x14ac:dyDescent="0.3">
      <c r="A9232" s="24">
        <v>44110</v>
      </c>
      <c r="B9232" s="66">
        <v>1668.9608000000001</v>
      </c>
      <c r="C9232" s="66">
        <v>1560.1</v>
      </c>
      <c r="D9232" s="70"/>
      <c r="E9232" s="111">
        <f t="shared" si="148"/>
        <v>138710</v>
      </c>
      <c r="F9232" s="69">
        <v>6.4769178838912825E-2</v>
      </c>
      <c r="G9232" s="69">
        <v>4.0030792917628948E-2</v>
      </c>
    </row>
    <row r="9233" spans="1:7" x14ac:dyDescent="0.3">
      <c r="A9233" s="24">
        <v>44111</v>
      </c>
      <c r="B9233" s="66">
        <v>1668.9608000000001</v>
      </c>
      <c r="C9233" s="66">
        <v>1550.027</v>
      </c>
      <c r="D9233" s="70"/>
      <c r="E9233" s="111">
        <f t="shared" si="148"/>
        <v>138710</v>
      </c>
      <c r="F9233" s="69">
        <v>6.4769178838912825E-2</v>
      </c>
      <c r="G9233" s="69">
        <v>4.0154440154440155E-2</v>
      </c>
    </row>
    <row r="9234" spans="1:7" x14ac:dyDescent="0.3">
      <c r="A9234" s="24">
        <v>44112</v>
      </c>
      <c r="B9234" s="66">
        <v>1668.9608000000001</v>
      </c>
      <c r="C9234" s="66">
        <v>1555.26</v>
      </c>
      <c r="D9234" s="70"/>
      <c r="E9234" s="111">
        <f t="shared" si="148"/>
        <v>138710</v>
      </c>
      <c r="F9234" s="69">
        <v>6.4769178838912825E-2</v>
      </c>
      <c r="G9234" s="69">
        <v>3.9862016098121886E-2</v>
      </c>
    </row>
    <row r="9235" spans="1:7" x14ac:dyDescent="0.3">
      <c r="A9235" s="24">
        <v>44113</v>
      </c>
      <c r="B9235" s="66">
        <v>1668.9608000000001</v>
      </c>
      <c r="C9235" s="66">
        <v>1570</v>
      </c>
      <c r="D9235" s="70"/>
      <c r="E9235" s="111">
        <f t="shared" si="148"/>
        <v>138710</v>
      </c>
      <c r="F9235" s="69">
        <v>6.4769178838912825E-2</v>
      </c>
      <c r="G9235" s="69">
        <v>0.04</v>
      </c>
    </row>
    <row r="9236" spans="1:7" x14ac:dyDescent="0.3">
      <c r="A9236" s="24">
        <v>44114</v>
      </c>
      <c r="B9236" s="66">
        <v>1668.9608000000001</v>
      </c>
      <c r="C9236" s="66">
        <v>1570</v>
      </c>
      <c r="D9236" s="70"/>
      <c r="E9236" s="111">
        <f t="shared" si="148"/>
        <v>138710</v>
      </c>
      <c r="F9236" s="69">
        <v>6.4769178838912825E-2</v>
      </c>
      <c r="G9236" s="69">
        <v>0.04</v>
      </c>
    </row>
    <row r="9237" spans="1:7" x14ac:dyDescent="0.3">
      <c r="A9237" s="24">
        <v>44115</v>
      </c>
      <c r="B9237" s="66">
        <v>1668.9608000000001</v>
      </c>
      <c r="C9237" s="66">
        <v>1570</v>
      </c>
      <c r="D9237" s="70"/>
      <c r="E9237" s="111">
        <f t="shared" si="148"/>
        <v>138710</v>
      </c>
      <c r="F9237" s="69">
        <v>6.4769178838912825E-2</v>
      </c>
      <c r="G9237" s="69">
        <v>0.04</v>
      </c>
    </row>
    <row r="9238" spans="1:7" x14ac:dyDescent="0.3">
      <c r="A9238" s="24">
        <v>44116</v>
      </c>
      <c r="B9238" s="66">
        <v>1668.9608000000001</v>
      </c>
      <c r="C9238" s="66">
        <v>1570</v>
      </c>
      <c r="D9238" s="70"/>
      <c r="E9238" s="111">
        <f t="shared" si="148"/>
        <v>138710</v>
      </c>
      <c r="F9238" s="69">
        <v>6.4769178838912825E-2</v>
      </c>
      <c r="G9238" s="69">
        <v>3.9972326850641858E-2</v>
      </c>
    </row>
    <row r="9239" spans="1:7" x14ac:dyDescent="0.3">
      <c r="A9239" s="24">
        <v>44117</v>
      </c>
      <c r="B9239" s="66">
        <v>1668.9608000000001</v>
      </c>
      <c r="C9239" s="66">
        <v>1570</v>
      </c>
      <c r="D9239" s="70"/>
      <c r="E9239" s="111">
        <f t="shared" si="148"/>
        <v>138710</v>
      </c>
      <c r="F9239" s="69">
        <v>6.4769178838912825E-2</v>
      </c>
      <c r="G9239" s="69">
        <v>3.9906373508307433E-2</v>
      </c>
    </row>
    <row r="9240" spans="1:7" x14ac:dyDescent="0.3">
      <c r="A9240" s="24">
        <v>44118</v>
      </c>
      <c r="B9240" s="66">
        <v>1668.9608000000001</v>
      </c>
      <c r="C9240" s="66">
        <v>1577.9</v>
      </c>
      <c r="D9240" s="70"/>
      <c r="E9240" s="111">
        <f t="shared" si="148"/>
        <v>138710</v>
      </c>
      <c r="F9240" s="69">
        <v>6.4769178838912825E-2</v>
      </c>
      <c r="G9240" s="69">
        <v>3.9846743295019159E-2</v>
      </c>
    </row>
    <row r="9241" spans="1:7" x14ac:dyDescent="0.3">
      <c r="A9241" s="24">
        <v>44119</v>
      </c>
      <c r="B9241" s="66">
        <v>1668.9608000000001</v>
      </c>
      <c r="C9241" s="66">
        <v>1577.9</v>
      </c>
      <c r="D9241" s="70"/>
      <c r="E9241" s="111">
        <f t="shared" si="148"/>
        <v>138710</v>
      </c>
      <c r="F9241" s="69">
        <v>6.4769178838912825E-2</v>
      </c>
      <c r="G9241" s="69">
        <v>3.9543726235741442E-2</v>
      </c>
    </row>
    <row r="9242" spans="1:7" x14ac:dyDescent="0.3">
      <c r="A9242" s="24">
        <v>44120</v>
      </c>
      <c r="B9242" s="66">
        <v>1668.9608000000001</v>
      </c>
      <c r="C9242" s="66">
        <v>1600</v>
      </c>
      <c r="D9242" s="70"/>
      <c r="E9242" s="111">
        <f t="shared" si="148"/>
        <v>138710</v>
      </c>
      <c r="F9242" s="69">
        <v>6.4769178838912825E-2</v>
      </c>
      <c r="G9242" s="69">
        <v>3.9813184289104971E-2</v>
      </c>
    </row>
    <row r="9243" spans="1:7" x14ac:dyDescent="0.3">
      <c r="A9243" s="24">
        <v>44121</v>
      </c>
      <c r="B9243" s="66">
        <v>1668.9608000000001</v>
      </c>
      <c r="C9243" s="66">
        <v>1600</v>
      </c>
      <c r="D9243" s="70"/>
      <c r="E9243" s="111">
        <f t="shared" si="148"/>
        <v>138710</v>
      </c>
      <c r="F9243" s="69">
        <v>6.4769178838912825E-2</v>
      </c>
      <c r="G9243" s="69">
        <v>3.9813184289104971E-2</v>
      </c>
    </row>
    <row r="9244" spans="1:7" x14ac:dyDescent="0.3">
      <c r="A9244" s="24">
        <v>44122</v>
      </c>
      <c r="B9244" s="66">
        <v>1668.9608000000001</v>
      </c>
      <c r="C9244" s="66">
        <v>1600</v>
      </c>
      <c r="D9244" s="70"/>
      <c r="E9244" s="111">
        <f t="shared" si="148"/>
        <v>138710</v>
      </c>
      <c r="F9244" s="69">
        <v>6.4769178838912825E-2</v>
      </c>
      <c r="G9244" s="69">
        <v>3.9813184289104971E-2</v>
      </c>
    </row>
    <row r="9245" spans="1:7" x14ac:dyDescent="0.3">
      <c r="A9245" s="24">
        <v>44123</v>
      </c>
      <c r="B9245" s="66">
        <v>1668.9608000000001</v>
      </c>
      <c r="C9245" s="66">
        <v>1587.04</v>
      </c>
      <c r="D9245" s="70"/>
      <c r="E9245" s="111">
        <f t="shared" si="148"/>
        <v>138710</v>
      </c>
      <c r="F9245" s="69">
        <v>6.4769178838912825E-2</v>
      </c>
      <c r="G9245" s="69">
        <v>4.1269841269841269E-2</v>
      </c>
    </row>
    <row r="9246" spans="1:7" x14ac:dyDescent="0.3">
      <c r="A9246" s="24">
        <v>44124</v>
      </c>
      <c r="B9246" s="66">
        <v>1668.9608000000001</v>
      </c>
      <c r="C9246" s="66">
        <v>1602.13</v>
      </c>
      <c r="D9246" s="70"/>
      <c r="E9246" s="111">
        <f t="shared" si="148"/>
        <v>138710</v>
      </c>
      <c r="F9246" s="69">
        <v>6.4769178838912825E-2</v>
      </c>
      <c r="G9246" s="69">
        <v>4.144251842996613E-2</v>
      </c>
    </row>
    <row r="9247" spans="1:7" x14ac:dyDescent="0.3">
      <c r="A9247" s="24">
        <v>44125</v>
      </c>
      <c r="B9247" s="66">
        <v>1668.9608000000001</v>
      </c>
      <c r="C9247" s="66">
        <v>1590</v>
      </c>
      <c r="D9247" s="70"/>
      <c r="E9247" s="111">
        <f t="shared" si="148"/>
        <v>138710</v>
      </c>
      <c r="F9247" s="69">
        <v>6.4769178838912825E-2</v>
      </c>
      <c r="G9247" s="69">
        <v>4.4064062367595969E-2</v>
      </c>
    </row>
    <row r="9248" spans="1:7" x14ac:dyDescent="0.3">
      <c r="A9248" s="24">
        <v>44126</v>
      </c>
      <c r="B9248" s="66">
        <v>1668.9608000000001</v>
      </c>
      <c r="C9248" s="66">
        <v>1604.4</v>
      </c>
      <c r="D9248" s="70"/>
      <c r="E9248" s="111">
        <f t="shared" si="148"/>
        <v>138710</v>
      </c>
      <c r="F9248" s="69">
        <v>6.4769178838912825E-2</v>
      </c>
      <c r="G9248" s="69">
        <v>4.4694658128840943E-2</v>
      </c>
    </row>
    <row r="9249" spans="1:7" x14ac:dyDescent="0.3">
      <c r="A9249" s="24">
        <v>44127</v>
      </c>
      <c r="B9249" s="66">
        <v>1668.9608000000001</v>
      </c>
      <c r="C9249" s="66">
        <v>1630</v>
      </c>
      <c r="D9249" s="70"/>
      <c r="E9249" s="111">
        <f t="shared" si="148"/>
        <v>138710</v>
      </c>
      <c r="F9249" s="69">
        <v>6.4769178838912825E-2</v>
      </c>
      <c r="G9249" s="69">
        <v>4.4846916774471758E-2</v>
      </c>
    </row>
    <row r="9250" spans="1:7" x14ac:dyDescent="0.3">
      <c r="A9250" s="24">
        <v>44128</v>
      </c>
      <c r="B9250" s="66">
        <v>1668.9608000000001</v>
      </c>
      <c r="C9250" s="66">
        <v>1630</v>
      </c>
      <c r="D9250" s="70"/>
      <c r="E9250" s="111">
        <f t="shared" si="148"/>
        <v>138710</v>
      </c>
      <c r="F9250" s="69">
        <v>6.4769178838912825E-2</v>
      </c>
      <c r="G9250" s="69">
        <v>4.4846916774471758E-2</v>
      </c>
    </row>
    <row r="9251" spans="1:7" x14ac:dyDescent="0.3">
      <c r="A9251" s="24">
        <v>44129</v>
      </c>
      <c r="B9251" s="66">
        <v>1668.9608000000001</v>
      </c>
      <c r="C9251" s="66">
        <v>1630</v>
      </c>
      <c r="D9251" s="70"/>
      <c r="E9251" s="111">
        <f t="shared" si="148"/>
        <v>138710</v>
      </c>
      <c r="F9251" s="69">
        <v>6.4769178838912825E-2</v>
      </c>
      <c r="G9251" s="69">
        <v>4.4846916774471758E-2</v>
      </c>
    </row>
    <row r="9252" spans="1:7" x14ac:dyDescent="0.3">
      <c r="A9252" s="24">
        <v>44130</v>
      </c>
      <c r="B9252" s="66">
        <v>1668.9608000000001</v>
      </c>
      <c r="C9252" s="66">
        <v>1629.88</v>
      </c>
      <c r="D9252" s="70"/>
      <c r="E9252" s="111">
        <f t="shared" si="148"/>
        <v>138710</v>
      </c>
      <c r="F9252" s="69">
        <v>6.4769178838912825E-2</v>
      </c>
      <c r="G9252" s="69">
        <v>4.4677377781596354E-2</v>
      </c>
    </row>
    <row r="9253" spans="1:7" x14ac:dyDescent="0.3">
      <c r="A9253" s="24">
        <v>44131</v>
      </c>
      <c r="B9253" s="66">
        <v>1668.9608000000001</v>
      </c>
      <c r="C9253" s="66">
        <v>1590</v>
      </c>
      <c r="D9253" s="70"/>
      <c r="E9253" s="111">
        <f t="shared" si="148"/>
        <v>138710</v>
      </c>
      <c r="F9253" s="69">
        <v>6.4769178838912825E-2</v>
      </c>
      <c r="G9253" s="69">
        <v>4.3892968684055032E-2</v>
      </c>
    </row>
    <row r="9254" spans="1:7" x14ac:dyDescent="0.3">
      <c r="A9254" s="24">
        <v>44132</v>
      </c>
      <c r="B9254" s="66">
        <v>1668.9608000000001</v>
      </c>
      <c r="C9254" s="66">
        <v>1580.11</v>
      </c>
      <c r="D9254" s="70"/>
      <c r="E9254" s="111">
        <f t="shared" si="148"/>
        <v>138710</v>
      </c>
      <c r="F9254" s="69">
        <v>6.4769178838912825E-2</v>
      </c>
      <c r="G9254" s="69">
        <v>4.538313841857218E-2</v>
      </c>
    </row>
    <row r="9255" spans="1:7" x14ac:dyDescent="0.3">
      <c r="A9255" s="24">
        <v>44133</v>
      </c>
      <c r="B9255" s="66">
        <v>1668.9608000000001</v>
      </c>
      <c r="C9255" s="66">
        <v>1570</v>
      </c>
      <c r="D9255" s="70"/>
      <c r="E9255" s="111">
        <f t="shared" si="148"/>
        <v>138710</v>
      </c>
      <c r="F9255" s="69">
        <v>6.4769178838912825E-2</v>
      </c>
      <c r="G9255" s="69">
        <v>4.538313841857218E-2</v>
      </c>
    </row>
    <row r="9256" spans="1:7" x14ac:dyDescent="0.3">
      <c r="A9256" s="24">
        <v>44134</v>
      </c>
      <c r="B9256" s="66">
        <v>1668.9608000000001</v>
      </c>
      <c r="C9256" s="66">
        <v>1600</v>
      </c>
      <c r="D9256" s="70"/>
      <c r="E9256" s="111">
        <f t="shared" si="148"/>
        <v>138710</v>
      </c>
      <c r="F9256" s="69">
        <v>6.4769178838912825E-2</v>
      </c>
      <c r="G9256" s="69">
        <v>4.538313841857218E-2</v>
      </c>
    </row>
    <row r="9257" spans="1:7" x14ac:dyDescent="0.3">
      <c r="A9257" s="24">
        <v>44135</v>
      </c>
      <c r="B9257" s="66">
        <v>1668.9608000000001</v>
      </c>
      <c r="C9257" s="66">
        <v>1600</v>
      </c>
      <c r="D9257" s="70"/>
      <c r="E9257" s="111">
        <f t="shared" si="148"/>
        <v>138710</v>
      </c>
      <c r="F9257" s="69">
        <v>6.4769178838912825E-2</v>
      </c>
      <c r="G9257" s="69">
        <v>4.538313841857218E-2</v>
      </c>
    </row>
    <row r="9258" spans="1:7" x14ac:dyDescent="0.3">
      <c r="A9258" s="24">
        <v>44136</v>
      </c>
      <c r="B9258" s="66">
        <v>1668.9608000000001</v>
      </c>
      <c r="C9258" s="66">
        <v>1600</v>
      </c>
      <c r="D9258" s="70"/>
      <c r="E9258" s="111">
        <f t="shared" si="148"/>
        <v>138710</v>
      </c>
      <c r="F9258" s="69">
        <v>6.4769178838912825E-2</v>
      </c>
      <c r="G9258" s="69">
        <v>4.538313841857218E-2</v>
      </c>
    </row>
    <row r="9259" spans="1:7" x14ac:dyDescent="0.3">
      <c r="A9259" s="24">
        <v>44137</v>
      </c>
      <c r="B9259" s="66">
        <v>1668.9608000000001</v>
      </c>
      <c r="C9259" s="66">
        <v>1600</v>
      </c>
      <c r="D9259" s="70"/>
      <c r="E9259" s="111">
        <f t="shared" si="148"/>
        <v>138710</v>
      </c>
      <c r="F9259" s="69">
        <v>6.4769178838912825E-2</v>
      </c>
      <c r="G9259" s="69">
        <v>4.7272727272727272E-2</v>
      </c>
    </row>
    <row r="9260" spans="1:7" x14ac:dyDescent="0.3">
      <c r="A9260" s="24">
        <v>44138</v>
      </c>
      <c r="B9260" s="66">
        <v>1668.9608000000001</v>
      </c>
      <c r="C9260" s="66">
        <v>1600</v>
      </c>
      <c r="D9260" s="70"/>
      <c r="E9260" s="111">
        <f t="shared" si="148"/>
        <v>138710</v>
      </c>
      <c r="F9260" s="69">
        <v>6.4769178838912825E-2</v>
      </c>
      <c r="G9260" s="69">
        <v>5.6830601092896178E-2</v>
      </c>
    </row>
    <row r="9261" spans="1:7" x14ac:dyDescent="0.3">
      <c r="A9261" s="24">
        <v>44139</v>
      </c>
      <c r="B9261" s="66">
        <v>1668.9608000000001</v>
      </c>
      <c r="C9261" s="66">
        <v>1555</v>
      </c>
      <c r="D9261" s="70"/>
      <c r="E9261" s="111">
        <f t="shared" si="148"/>
        <v>138710</v>
      </c>
      <c r="F9261" s="69">
        <v>6.4769178838912825E-2</v>
      </c>
      <c r="G9261" s="69">
        <v>5.1216389244558264E-2</v>
      </c>
    </row>
    <row r="9262" spans="1:7" x14ac:dyDescent="0.3">
      <c r="A9262" s="24">
        <v>44140</v>
      </c>
      <c r="B9262" s="66">
        <v>1668.9608000000001</v>
      </c>
      <c r="C9262" s="66">
        <v>1525.66</v>
      </c>
      <c r="D9262" s="70"/>
      <c r="E9262" s="111">
        <f t="shared" si="148"/>
        <v>138710</v>
      </c>
      <c r="F9262" s="69">
        <v>6.4769178838912825E-2</v>
      </c>
      <c r="G9262" s="69">
        <v>5.1042944785276073E-2</v>
      </c>
    </row>
    <row r="9263" spans="1:7" x14ac:dyDescent="0.3">
      <c r="A9263" s="24">
        <v>44141</v>
      </c>
      <c r="B9263" s="66">
        <v>1668.9608000000001</v>
      </c>
      <c r="C9263" s="66">
        <v>1563</v>
      </c>
      <c r="D9263" s="70"/>
      <c r="E9263" s="111">
        <f t="shared" si="148"/>
        <v>138710</v>
      </c>
      <c r="F9263" s="69">
        <v>6.4769178838912825E-2</v>
      </c>
      <c r="G9263" s="69">
        <v>5.1304819693157713E-2</v>
      </c>
    </row>
    <row r="9264" spans="1:7" x14ac:dyDescent="0.3">
      <c r="A9264" s="24">
        <v>44142</v>
      </c>
      <c r="B9264" s="66">
        <v>1668.9608000000001</v>
      </c>
      <c r="C9264" s="66">
        <v>1563</v>
      </c>
      <c r="D9264" s="70"/>
      <c r="E9264" s="111">
        <f t="shared" si="148"/>
        <v>138710</v>
      </c>
      <c r="F9264" s="69">
        <v>6.4769178838912825E-2</v>
      </c>
      <c r="G9264" s="69">
        <v>5.1304819693157713E-2</v>
      </c>
    </row>
    <row r="9265" spans="1:7" x14ac:dyDescent="0.3">
      <c r="A9265" s="24">
        <v>44143</v>
      </c>
      <c r="B9265" s="66">
        <v>1668.9608000000001</v>
      </c>
      <c r="C9265" s="66">
        <v>1563</v>
      </c>
      <c r="D9265" s="70"/>
      <c r="E9265" s="111">
        <f t="shared" si="148"/>
        <v>138710</v>
      </c>
      <c r="F9265" s="69">
        <v>6.4769178838912825E-2</v>
      </c>
      <c r="G9265" s="69">
        <v>5.1304819693157713E-2</v>
      </c>
    </row>
    <row r="9266" spans="1:7" x14ac:dyDescent="0.3">
      <c r="A9266" s="24">
        <v>44144</v>
      </c>
      <c r="B9266" s="66">
        <v>1668.9608000000001</v>
      </c>
      <c r="C9266" s="66">
        <v>1610</v>
      </c>
      <c r="D9266" s="70"/>
      <c r="E9266" s="111">
        <f t="shared" si="148"/>
        <v>138710</v>
      </c>
      <c r="F9266" s="69">
        <v>6.4769178838912825E-2</v>
      </c>
      <c r="G9266" s="69">
        <v>5.6824390776964266E-2</v>
      </c>
    </row>
    <row r="9267" spans="1:7" x14ac:dyDescent="0.3">
      <c r="A9267" s="24">
        <v>44145</v>
      </c>
      <c r="B9267" s="66">
        <v>1668.9608000000001</v>
      </c>
      <c r="C9267" s="66">
        <v>1608</v>
      </c>
      <c r="D9267" s="70"/>
      <c r="E9267" s="111">
        <f t="shared" si="148"/>
        <v>138710</v>
      </c>
      <c r="F9267" s="69">
        <v>6.4769178838912825E-2</v>
      </c>
      <c r="G9267" s="69">
        <v>6.32372613401435E-2</v>
      </c>
    </row>
    <row r="9268" spans="1:7" x14ac:dyDescent="0.3">
      <c r="A9268" s="24">
        <v>44146</v>
      </c>
      <c r="B9268" s="66">
        <v>1668.9608000000001</v>
      </c>
      <c r="C9268" s="66">
        <v>1606.1</v>
      </c>
      <c r="D9268" s="70"/>
      <c r="E9268" s="111">
        <f t="shared" si="148"/>
        <v>138710</v>
      </c>
      <c r="F9268" s="69">
        <v>6.4769178838912825E-2</v>
      </c>
      <c r="G9268" s="69">
        <v>6.9291758278366311E-2</v>
      </c>
    </row>
    <row r="9269" spans="1:7" x14ac:dyDescent="0.3">
      <c r="A9269" s="24">
        <v>44147</v>
      </c>
      <c r="B9269" s="66">
        <v>1668.9608000000001</v>
      </c>
      <c r="C9269" s="66">
        <v>1617.31</v>
      </c>
      <c r="D9269" s="70"/>
      <c r="E9269" s="111">
        <f t="shared" si="148"/>
        <v>138710</v>
      </c>
      <c r="F9269" s="69">
        <v>6.4769178838912825E-2</v>
      </c>
      <c r="G9269" s="69">
        <v>6.3901689708141321E-2</v>
      </c>
    </row>
    <row r="9270" spans="1:7" x14ac:dyDescent="0.3">
      <c r="A9270" s="24">
        <v>44148</v>
      </c>
      <c r="B9270" s="66">
        <v>1668.9608000000001</v>
      </c>
      <c r="C9270" s="66">
        <v>1623.5</v>
      </c>
      <c r="D9270" s="70"/>
      <c r="E9270" s="111">
        <f t="shared" si="148"/>
        <v>138710</v>
      </c>
      <c r="F9270" s="69">
        <v>6.4769178838912825E-2</v>
      </c>
      <c r="G9270" s="69">
        <v>5.3333333333333337E-2</v>
      </c>
    </row>
    <row r="9271" spans="1:7" x14ac:dyDescent="0.3">
      <c r="A9271" s="24">
        <v>44149</v>
      </c>
      <c r="B9271" s="66">
        <v>1668.9608000000001</v>
      </c>
      <c r="C9271" s="66">
        <v>1623.5</v>
      </c>
      <c r="D9271" s="70"/>
      <c r="E9271" s="111">
        <f t="shared" si="148"/>
        <v>138710</v>
      </c>
      <c r="F9271" s="69">
        <v>6.4769178838912825E-2</v>
      </c>
      <c r="G9271" s="69">
        <v>5.3333333333333337E-2</v>
      </c>
    </row>
    <row r="9272" spans="1:7" x14ac:dyDescent="0.3">
      <c r="A9272" s="24">
        <v>44150</v>
      </c>
      <c r="B9272" s="66">
        <v>1668.9608000000001</v>
      </c>
      <c r="C9272" s="66">
        <v>1623.5</v>
      </c>
      <c r="D9272" s="70"/>
      <c r="E9272" s="111">
        <f t="shared" si="148"/>
        <v>138710</v>
      </c>
      <c r="F9272" s="69">
        <v>6.4769178838912825E-2</v>
      </c>
      <c r="G9272" s="69">
        <v>5.3333333333333337E-2</v>
      </c>
    </row>
    <row r="9273" spans="1:7" x14ac:dyDescent="0.3">
      <c r="A9273" s="24">
        <v>44151</v>
      </c>
      <c r="B9273" s="66">
        <v>1668.9608000000001</v>
      </c>
      <c r="C9273" s="66">
        <v>1677.42</v>
      </c>
      <c r="D9273" s="70"/>
      <c r="E9273" s="111">
        <f t="shared" si="148"/>
        <v>138710</v>
      </c>
      <c r="F9273" s="69">
        <v>6.4769178838912825E-2</v>
      </c>
      <c r="G9273" s="69">
        <v>5.0734404902504568E-2</v>
      </c>
    </row>
    <row r="9274" spans="1:7" x14ac:dyDescent="0.3">
      <c r="A9274" s="24">
        <v>44152</v>
      </c>
      <c r="B9274" s="66">
        <v>1668.9608000000001</v>
      </c>
      <c r="C9274" s="66">
        <v>1674</v>
      </c>
      <c r="D9274" s="70"/>
      <c r="E9274" s="111">
        <f t="shared" si="148"/>
        <v>138710</v>
      </c>
      <c r="F9274" s="69">
        <v>6.4769178838912825E-2</v>
      </c>
      <c r="G9274" s="69">
        <v>5.1995892324506368E-2</v>
      </c>
    </row>
    <row r="9275" spans="1:7" x14ac:dyDescent="0.3">
      <c r="A9275" s="24">
        <v>44153</v>
      </c>
      <c r="B9275" s="66">
        <v>1668.9608000000001</v>
      </c>
      <c r="C9275" s="66">
        <v>1687.53</v>
      </c>
      <c r="D9275" s="70"/>
      <c r="E9275" s="111">
        <f t="shared" si="148"/>
        <v>138710</v>
      </c>
      <c r="F9275" s="69">
        <v>6.4769178838912825E-2</v>
      </c>
      <c r="G9275" s="69">
        <v>5.0608272506082727E-2</v>
      </c>
    </row>
    <row r="9276" spans="1:7" x14ac:dyDescent="0.3">
      <c r="A9276" s="24">
        <v>44154</v>
      </c>
      <c r="B9276" s="66">
        <v>1729.98</v>
      </c>
      <c r="C9276" s="66">
        <v>1672.71</v>
      </c>
      <c r="D9276" s="70"/>
      <c r="E9276" s="111">
        <f t="shared" si="148"/>
        <v>138710</v>
      </c>
      <c r="F9276" s="69">
        <v>6.1823802163833076E-2</v>
      </c>
      <c r="G9276" s="69">
        <v>5.1999844000467997E-2</v>
      </c>
    </row>
    <row r="9277" spans="1:7" x14ac:dyDescent="0.3">
      <c r="A9277" s="24">
        <v>44155</v>
      </c>
      <c r="B9277" s="66">
        <v>1729.98</v>
      </c>
      <c r="C9277" s="66">
        <v>1681.87</v>
      </c>
      <c r="D9277" s="70"/>
      <c r="E9277" s="111">
        <f t="shared" si="148"/>
        <v>138710</v>
      </c>
      <c r="F9277" s="69">
        <v>6.1823802163833076E-2</v>
      </c>
      <c r="G9277" s="69">
        <v>5.3280681091044904E-2</v>
      </c>
    </row>
    <row r="9278" spans="1:7" x14ac:dyDescent="0.3">
      <c r="A9278" s="24">
        <v>44156</v>
      </c>
      <c r="B9278" s="66">
        <v>1729.98</v>
      </c>
      <c r="C9278" s="66">
        <v>1681.87</v>
      </c>
      <c r="D9278" s="70"/>
      <c r="E9278" s="111">
        <f t="shared" si="148"/>
        <v>138710</v>
      </c>
      <c r="F9278" s="69">
        <v>6.1823802163833076E-2</v>
      </c>
      <c r="G9278" s="69">
        <v>5.3280681091044904E-2</v>
      </c>
    </row>
    <row r="9279" spans="1:7" x14ac:dyDescent="0.3">
      <c r="A9279" s="24">
        <v>44157</v>
      </c>
      <c r="B9279" s="66">
        <v>1729.98</v>
      </c>
      <c r="C9279" s="66">
        <v>1681.87</v>
      </c>
      <c r="D9279" s="70"/>
      <c r="E9279" s="111">
        <f t="shared" si="148"/>
        <v>138710</v>
      </c>
      <c r="F9279" s="69">
        <v>6.1823802163833076E-2</v>
      </c>
      <c r="G9279" s="69">
        <v>5.3280681091044904E-2</v>
      </c>
    </row>
    <row r="9280" spans="1:7" x14ac:dyDescent="0.3">
      <c r="A9280" s="24">
        <v>44158</v>
      </c>
      <c r="B9280" s="66">
        <v>1729.98</v>
      </c>
      <c r="C9280" s="66">
        <v>1681.87</v>
      </c>
      <c r="D9280" s="70"/>
      <c r="E9280" s="111">
        <f t="shared" si="148"/>
        <v>138710</v>
      </c>
      <c r="F9280" s="69">
        <v>6.1823802163833076E-2</v>
      </c>
      <c r="G9280" s="69">
        <v>5.4725061815640734E-2</v>
      </c>
    </row>
    <row r="9281" spans="1:7" x14ac:dyDescent="0.3">
      <c r="A9281" s="24">
        <v>44159</v>
      </c>
      <c r="B9281" s="66">
        <v>1729.98</v>
      </c>
      <c r="C9281" s="66">
        <v>1710</v>
      </c>
      <c r="D9281" s="70"/>
      <c r="E9281" s="111">
        <f t="shared" si="148"/>
        <v>138710</v>
      </c>
      <c r="F9281" s="69">
        <v>6.1823802163833076E-2</v>
      </c>
      <c r="G9281" s="69">
        <v>5.475505536578483E-2</v>
      </c>
    </row>
    <row r="9282" spans="1:7" x14ac:dyDescent="0.3">
      <c r="A9282" s="24">
        <v>44160</v>
      </c>
      <c r="B9282" s="66">
        <v>1729.98</v>
      </c>
      <c r="C9282" s="66">
        <v>1720</v>
      </c>
      <c r="D9282" s="70"/>
      <c r="E9282" s="111">
        <f t="shared" si="148"/>
        <v>138710</v>
      </c>
      <c r="F9282" s="69">
        <v>6.1823802163833076E-2</v>
      </c>
      <c r="G9282" s="69">
        <v>5.6216216216216218E-2</v>
      </c>
    </row>
    <row r="9283" spans="1:7" x14ac:dyDescent="0.3">
      <c r="A9283" s="24">
        <v>44161</v>
      </c>
      <c r="B9283" s="66">
        <v>1729.98</v>
      </c>
      <c r="C9283" s="66">
        <v>1720.55</v>
      </c>
      <c r="D9283" s="70"/>
      <c r="E9283" s="111">
        <f t="shared" si="148"/>
        <v>138710</v>
      </c>
      <c r="F9283" s="69">
        <v>6.1823802163833076E-2</v>
      </c>
      <c r="G9283" s="69">
        <v>5.9124502558271744E-2</v>
      </c>
    </row>
    <row r="9284" spans="1:7" x14ac:dyDescent="0.3">
      <c r="A9284" s="24">
        <v>44162</v>
      </c>
      <c r="B9284" s="66">
        <v>1729.98</v>
      </c>
      <c r="C9284" s="66">
        <v>1730</v>
      </c>
      <c r="D9284" s="70"/>
      <c r="E9284" s="111">
        <f t="shared" si="148"/>
        <v>138710</v>
      </c>
      <c r="F9284" s="69">
        <v>6.1823802163833076E-2</v>
      </c>
      <c r="G9284" s="69">
        <v>5.2419354838709679E-2</v>
      </c>
    </row>
    <row r="9285" spans="1:7" x14ac:dyDescent="0.3">
      <c r="A9285" s="24">
        <v>44163</v>
      </c>
      <c r="B9285" s="66">
        <v>1729.98</v>
      </c>
      <c r="C9285" s="66">
        <v>1730</v>
      </c>
      <c r="D9285" s="70"/>
      <c r="E9285" s="111">
        <f t="shared" si="148"/>
        <v>138710</v>
      </c>
      <c r="F9285" s="69">
        <v>6.1823802163833076E-2</v>
      </c>
      <c r="G9285" s="69">
        <v>5.2419354838709679E-2</v>
      </c>
    </row>
    <row r="9286" spans="1:7" x14ac:dyDescent="0.3">
      <c r="A9286" s="24">
        <v>44164</v>
      </c>
      <c r="B9286" s="66">
        <v>1729.98</v>
      </c>
      <c r="C9286" s="66">
        <v>1730</v>
      </c>
      <c r="D9286" s="70"/>
      <c r="E9286" s="111">
        <f t="shared" si="148"/>
        <v>138710</v>
      </c>
      <c r="F9286" s="69">
        <v>6.1823802163833076E-2</v>
      </c>
      <c r="G9286" s="69">
        <v>5.2419354838709679E-2</v>
      </c>
    </row>
    <row r="9287" spans="1:7" x14ac:dyDescent="0.3">
      <c r="A9287" s="24">
        <v>44165</v>
      </c>
      <c r="B9287" s="66">
        <v>1729.98</v>
      </c>
      <c r="C9287" s="66">
        <v>1738.68</v>
      </c>
      <c r="D9287" s="70"/>
      <c r="E9287" s="111">
        <f t="shared" si="148"/>
        <v>138710</v>
      </c>
      <c r="F9287" s="69">
        <v>6.1823802163833076E-2</v>
      </c>
      <c r="G9287" s="69">
        <v>5.5429624896002831E-2</v>
      </c>
    </row>
    <row r="9288" spans="1:7" x14ac:dyDescent="0.3">
      <c r="A9288" s="24">
        <v>44166</v>
      </c>
      <c r="B9288" s="66">
        <v>1729.98</v>
      </c>
      <c r="C9288" s="66">
        <v>1710.09</v>
      </c>
      <c r="D9288" s="70"/>
      <c r="E9288" s="111">
        <f t="shared" si="148"/>
        <v>138710</v>
      </c>
      <c r="F9288" s="69">
        <v>6.1823802163833076E-2</v>
      </c>
      <c r="G9288" s="69">
        <v>5.5332776103902186E-2</v>
      </c>
    </row>
    <row r="9289" spans="1:7" x14ac:dyDescent="0.3">
      <c r="A9289" s="24">
        <v>44167</v>
      </c>
      <c r="B9289" s="66">
        <v>1729.98</v>
      </c>
      <c r="C9289" s="66">
        <v>1710</v>
      </c>
      <c r="D9289" s="70"/>
      <c r="E9289" s="111">
        <f t="shared" ref="E9289:E9352" si="149">+E9288</f>
        <v>138710</v>
      </c>
      <c r="F9289" s="69">
        <v>6.1823802163833076E-2</v>
      </c>
      <c r="G9289" s="69">
        <v>5.4720541144059193E-2</v>
      </c>
    </row>
    <row r="9290" spans="1:7" x14ac:dyDescent="0.3">
      <c r="A9290" s="24">
        <v>44168</v>
      </c>
      <c r="B9290" s="66">
        <v>1729.98</v>
      </c>
      <c r="C9290" s="66">
        <v>1710</v>
      </c>
      <c r="D9290" s="70"/>
      <c r="E9290" s="111">
        <f t="shared" si="149"/>
        <v>138710</v>
      </c>
      <c r="F9290" s="69">
        <v>6.1823802163833076E-2</v>
      </c>
      <c r="G9290" s="69">
        <v>5.3608247422680409E-2</v>
      </c>
    </row>
    <row r="9291" spans="1:7" x14ac:dyDescent="0.3">
      <c r="A9291" s="24">
        <v>44169</v>
      </c>
      <c r="B9291" s="66">
        <v>1729.98</v>
      </c>
      <c r="C9291" s="66">
        <v>1690.3</v>
      </c>
      <c r="D9291" s="70"/>
      <c r="E9291" s="111">
        <f t="shared" si="149"/>
        <v>138710</v>
      </c>
      <c r="F9291" s="69">
        <v>6.1823802163833076E-2</v>
      </c>
      <c r="G9291" s="69">
        <v>5.3673042404800024E-2</v>
      </c>
    </row>
    <row r="9292" spans="1:7" x14ac:dyDescent="0.3">
      <c r="A9292" s="24">
        <v>44170</v>
      </c>
      <c r="B9292" s="66">
        <v>1729.98</v>
      </c>
      <c r="C9292" s="66">
        <v>1690.3</v>
      </c>
      <c r="D9292" s="70"/>
      <c r="E9292" s="111">
        <f t="shared" si="149"/>
        <v>138710</v>
      </c>
      <c r="F9292" s="69">
        <v>6.1823802163833076E-2</v>
      </c>
      <c r="G9292" s="69">
        <v>5.3673042404800024E-2</v>
      </c>
    </row>
    <row r="9293" spans="1:7" x14ac:dyDescent="0.3">
      <c r="A9293" s="24">
        <v>44171</v>
      </c>
      <c r="B9293" s="66">
        <v>1729.98</v>
      </c>
      <c r="C9293" s="66">
        <v>1690.3</v>
      </c>
      <c r="D9293" s="70"/>
      <c r="E9293" s="111">
        <f t="shared" si="149"/>
        <v>138710</v>
      </c>
      <c r="F9293" s="69">
        <v>6.1823802163833076E-2</v>
      </c>
      <c r="G9293" s="69">
        <v>5.3673042404800024E-2</v>
      </c>
    </row>
    <row r="9294" spans="1:7" x14ac:dyDescent="0.3">
      <c r="A9294" s="24">
        <v>44172</v>
      </c>
      <c r="B9294" s="66">
        <v>1729.98</v>
      </c>
      <c r="C9294" s="66">
        <v>1645</v>
      </c>
      <c r="D9294" s="70"/>
      <c r="E9294" s="111">
        <f t="shared" si="149"/>
        <v>138710</v>
      </c>
      <c r="F9294" s="69">
        <v>6.1823802163833076E-2</v>
      </c>
      <c r="G9294" s="69">
        <v>5.4210232494134605E-2</v>
      </c>
    </row>
    <row r="9295" spans="1:7" x14ac:dyDescent="0.3">
      <c r="A9295" s="24">
        <v>44173</v>
      </c>
      <c r="B9295" s="66">
        <v>1729.98</v>
      </c>
      <c r="C9295" s="66">
        <v>1645</v>
      </c>
      <c r="D9295" s="70"/>
      <c r="E9295" s="111">
        <f t="shared" si="149"/>
        <v>138710</v>
      </c>
      <c r="F9295" s="69">
        <v>6.1823802163833076E-2</v>
      </c>
      <c r="G9295" s="69">
        <v>5.4308093994778067E-2</v>
      </c>
    </row>
    <row r="9296" spans="1:7" x14ac:dyDescent="0.3">
      <c r="A9296" s="24">
        <v>44174</v>
      </c>
      <c r="B9296" s="66">
        <v>1729.98</v>
      </c>
      <c r="C9296" s="66">
        <v>1650.4</v>
      </c>
      <c r="D9296" s="70"/>
      <c r="E9296" s="111">
        <f t="shared" si="149"/>
        <v>138710</v>
      </c>
      <c r="F9296" s="69">
        <v>6.1823802163833076E-2</v>
      </c>
      <c r="G9296" s="69">
        <v>5.4038157174136923E-2</v>
      </c>
    </row>
    <row r="9297" spans="1:7" x14ac:dyDescent="0.3">
      <c r="A9297" s="24">
        <v>44175</v>
      </c>
      <c r="B9297" s="66">
        <v>1729.98</v>
      </c>
      <c r="C9297" s="66">
        <v>1650</v>
      </c>
      <c r="D9297" s="70"/>
      <c r="E9297" s="111">
        <f t="shared" si="149"/>
        <v>138710</v>
      </c>
      <c r="F9297" s="69">
        <v>6.1823802163833076E-2</v>
      </c>
      <c r="G9297" s="69">
        <v>5.4612985602651674E-2</v>
      </c>
    </row>
    <row r="9298" spans="1:7" x14ac:dyDescent="0.3">
      <c r="A9298" s="24">
        <v>44176</v>
      </c>
      <c r="B9298" s="66">
        <v>1729.98</v>
      </c>
      <c r="C9298" s="66">
        <v>1643.21</v>
      </c>
      <c r="D9298" s="70"/>
      <c r="E9298" s="111">
        <f t="shared" si="149"/>
        <v>138710</v>
      </c>
      <c r="F9298" s="69">
        <v>6.1823802163833076E-2</v>
      </c>
      <c r="G9298" s="69">
        <v>5.3913945049248319E-2</v>
      </c>
    </row>
    <row r="9299" spans="1:7" x14ac:dyDescent="0.3">
      <c r="A9299" s="24">
        <v>44177</v>
      </c>
      <c r="B9299" s="66">
        <v>1729.98</v>
      </c>
      <c r="C9299" s="66">
        <v>1643.21</v>
      </c>
      <c r="D9299" s="70"/>
      <c r="E9299" s="111">
        <f t="shared" si="149"/>
        <v>138710</v>
      </c>
      <c r="F9299" s="69">
        <v>6.1823802163833076E-2</v>
      </c>
      <c r="G9299" s="69">
        <v>5.3913945049248319E-2</v>
      </c>
    </row>
    <row r="9300" spans="1:7" x14ac:dyDescent="0.3">
      <c r="A9300" s="24">
        <v>44178</v>
      </c>
      <c r="B9300" s="66">
        <v>1729.98</v>
      </c>
      <c r="C9300" s="66">
        <v>1643.21</v>
      </c>
      <c r="D9300" s="70"/>
      <c r="E9300" s="111">
        <f t="shared" si="149"/>
        <v>138710</v>
      </c>
      <c r="F9300" s="69">
        <v>6.1823802163833076E-2</v>
      </c>
      <c r="G9300" s="69">
        <v>5.3913945049248319E-2</v>
      </c>
    </row>
    <row r="9301" spans="1:7" x14ac:dyDescent="0.3">
      <c r="A9301" s="24">
        <v>44179</v>
      </c>
      <c r="B9301" s="66">
        <v>1729.98</v>
      </c>
      <c r="C9301" s="66">
        <v>1630</v>
      </c>
      <c r="D9301" s="70"/>
      <c r="E9301" s="111">
        <f t="shared" si="149"/>
        <v>138710</v>
      </c>
      <c r="F9301" s="69">
        <v>6.1823802163833076E-2</v>
      </c>
      <c r="G9301" s="69">
        <v>5.473684210526316E-2</v>
      </c>
    </row>
    <row r="9302" spans="1:7" x14ac:dyDescent="0.3">
      <c r="A9302" s="24">
        <v>44180</v>
      </c>
      <c r="B9302" s="66">
        <v>1729.98</v>
      </c>
      <c r="C9302" s="66">
        <v>1630</v>
      </c>
      <c r="D9302" s="70"/>
      <c r="E9302" s="111">
        <f t="shared" si="149"/>
        <v>138710</v>
      </c>
      <c r="F9302" s="69">
        <v>6.1823802163833076E-2</v>
      </c>
      <c r="G9302" s="69">
        <v>5.4765810336520108E-2</v>
      </c>
    </row>
    <row r="9303" spans="1:7" x14ac:dyDescent="0.3">
      <c r="A9303" s="24">
        <v>44181</v>
      </c>
      <c r="B9303" s="66">
        <v>1729.98</v>
      </c>
      <c r="C9303" s="66">
        <v>1630</v>
      </c>
      <c r="D9303" s="70"/>
      <c r="E9303" s="111">
        <f t="shared" si="149"/>
        <v>138710</v>
      </c>
      <c r="F9303" s="69">
        <v>6.1823802163833076E-2</v>
      </c>
      <c r="G9303" s="69">
        <v>5.4933475033527905E-2</v>
      </c>
    </row>
    <row r="9304" spans="1:7" x14ac:dyDescent="0.3">
      <c r="A9304" s="24">
        <v>44182</v>
      </c>
      <c r="B9304" s="66">
        <v>1729.98</v>
      </c>
      <c r="C9304" s="66">
        <v>1629.84</v>
      </c>
      <c r="D9304" s="70"/>
      <c r="E9304" s="111">
        <f t="shared" si="149"/>
        <v>138710</v>
      </c>
      <c r="F9304" s="69">
        <v>6.1823802163833076E-2</v>
      </c>
      <c r="G9304" s="69">
        <v>5.575489718314465E-2</v>
      </c>
    </row>
    <row r="9305" spans="1:7" x14ac:dyDescent="0.3">
      <c r="A9305" s="24">
        <v>44183</v>
      </c>
      <c r="B9305" s="66">
        <v>1729.98</v>
      </c>
      <c r="C9305" s="66">
        <v>1630</v>
      </c>
      <c r="D9305" s="70"/>
      <c r="E9305" s="111">
        <f t="shared" si="149"/>
        <v>138710</v>
      </c>
      <c r="F9305" s="69">
        <v>6.1823802163833076E-2</v>
      </c>
      <c r="G9305" s="69">
        <v>5.7777777777777775E-2</v>
      </c>
    </row>
    <row r="9306" spans="1:7" x14ac:dyDescent="0.3">
      <c r="A9306" s="24">
        <v>44184</v>
      </c>
      <c r="B9306" s="66">
        <v>1729.98</v>
      </c>
      <c r="C9306" s="66">
        <v>1630</v>
      </c>
      <c r="D9306" s="70"/>
      <c r="E9306" s="111">
        <f t="shared" si="149"/>
        <v>138710</v>
      </c>
      <c r="F9306" s="69">
        <v>5.1123528712400425E-2</v>
      </c>
      <c r="G9306" s="69">
        <v>4.777777777777778E-2</v>
      </c>
    </row>
    <row r="9307" spans="1:7" x14ac:dyDescent="0.3">
      <c r="A9307" s="24">
        <v>44185</v>
      </c>
      <c r="B9307" s="66">
        <v>1729.98</v>
      </c>
      <c r="C9307" s="66">
        <v>1630</v>
      </c>
      <c r="D9307" s="70"/>
      <c r="E9307" s="111">
        <f t="shared" si="149"/>
        <v>138710</v>
      </c>
      <c r="F9307" s="69">
        <v>5.1123528712400425E-2</v>
      </c>
      <c r="G9307" s="69">
        <v>4.777777777777778E-2</v>
      </c>
    </row>
    <row r="9308" spans="1:7" x14ac:dyDescent="0.3">
      <c r="A9308" s="24">
        <v>44186</v>
      </c>
      <c r="B9308" s="66">
        <v>1729.98</v>
      </c>
      <c r="C9308" s="66">
        <v>1629.64</v>
      </c>
      <c r="D9308" s="70">
        <v>18</v>
      </c>
      <c r="E9308" s="111">
        <f t="shared" si="149"/>
        <v>138710</v>
      </c>
      <c r="F9308" s="69">
        <v>6.1823802163833076E-2</v>
      </c>
      <c r="G9308" s="69">
        <v>5.7826287607937767E-2</v>
      </c>
    </row>
    <row r="9309" spans="1:7" x14ac:dyDescent="0.3">
      <c r="A9309" s="24">
        <v>44187</v>
      </c>
      <c r="B9309" s="66">
        <v>1729.98</v>
      </c>
      <c r="C9309" s="66">
        <v>1626.44</v>
      </c>
      <c r="D9309" s="70"/>
      <c r="E9309" s="111">
        <f t="shared" si="149"/>
        <v>138710</v>
      </c>
      <c r="F9309" s="69">
        <v>6.1823802163833076E-2</v>
      </c>
      <c r="G9309" s="69">
        <v>5.2419354838709679E-2</v>
      </c>
    </row>
    <row r="9310" spans="1:7" x14ac:dyDescent="0.3">
      <c r="A9310" s="24">
        <v>44188</v>
      </c>
      <c r="B9310" s="66">
        <v>1729.98</v>
      </c>
      <c r="C9310" s="66">
        <v>1655</v>
      </c>
      <c r="D9310" s="70"/>
      <c r="E9310" s="111">
        <f t="shared" si="149"/>
        <v>138710</v>
      </c>
      <c r="F9310" s="69">
        <v>6.1823802163833076E-2</v>
      </c>
      <c r="G9310" s="69">
        <v>5.2419354838709679E-2</v>
      </c>
    </row>
    <row r="9311" spans="1:7" x14ac:dyDescent="0.3">
      <c r="A9311" s="24">
        <v>44189</v>
      </c>
      <c r="B9311" s="66">
        <v>1729.98</v>
      </c>
      <c r="C9311" s="66">
        <v>1643.16</v>
      </c>
      <c r="D9311" s="70"/>
      <c r="E9311" s="111">
        <f t="shared" si="149"/>
        <v>138710</v>
      </c>
      <c r="F9311" s="69">
        <v>6.1823802163833076E-2</v>
      </c>
      <c r="G9311" s="69">
        <v>5.5557009772157495E-2</v>
      </c>
    </row>
    <row r="9312" spans="1:7" x14ac:dyDescent="0.3">
      <c r="A9312" s="24">
        <v>44190</v>
      </c>
      <c r="B9312" s="66">
        <v>1729.98</v>
      </c>
      <c r="C9312" s="66">
        <v>1643.16</v>
      </c>
      <c r="D9312" s="70"/>
      <c r="E9312" s="111">
        <f t="shared" si="149"/>
        <v>138710</v>
      </c>
      <c r="F9312" s="69">
        <v>6.1823802163833076E-2</v>
      </c>
      <c r="G9312" s="69">
        <v>5.3913945049248319E-2</v>
      </c>
    </row>
    <row r="9313" spans="1:7" x14ac:dyDescent="0.3">
      <c r="A9313" s="24">
        <v>44191</v>
      </c>
      <c r="B9313" s="66">
        <v>1729.98</v>
      </c>
      <c r="C9313" s="66">
        <v>1643.16</v>
      </c>
      <c r="D9313" s="70"/>
      <c r="E9313" s="111">
        <f t="shared" si="149"/>
        <v>138710</v>
      </c>
      <c r="F9313" s="69">
        <v>6.1823802163833076E-2</v>
      </c>
      <c r="G9313" s="69">
        <v>5.3913945049248319E-2</v>
      </c>
    </row>
    <row r="9314" spans="1:7" x14ac:dyDescent="0.3">
      <c r="A9314" s="24">
        <v>44192</v>
      </c>
      <c r="B9314" s="66">
        <v>1729.98</v>
      </c>
      <c r="C9314" s="66">
        <v>1643.16</v>
      </c>
      <c r="D9314" s="70"/>
      <c r="E9314" s="111">
        <f t="shared" si="149"/>
        <v>138710</v>
      </c>
      <c r="F9314" s="69">
        <v>6.1823802163833076E-2</v>
      </c>
      <c r="G9314" s="69">
        <v>5.3913945049248319E-2</v>
      </c>
    </row>
    <row r="9315" spans="1:7" x14ac:dyDescent="0.3">
      <c r="A9315" s="24">
        <v>44193</v>
      </c>
      <c r="B9315" s="66">
        <v>1729.98</v>
      </c>
      <c r="C9315" s="66">
        <v>1639.55</v>
      </c>
      <c r="D9315" s="70"/>
      <c r="E9315" s="111">
        <f t="shared" si="149"/>
        <v>138710</v>
      </c>
      <c r="F9315" s="69">
        <v>6.1823802163833076E-2</v>
      </c>
      <c r="G9315" s="69">
        <v>5.2009751828467836E-2</v>
      </c>
    </row>
    <row r="9316" spans="1:7" x14ac:dyDescent="0.3">
      <c r="A9316" s="24">
        <v>44194</v>
      </c>
      <c r="B9316" s="66">
        <v>1729.98</v>
      </c>
      <c r="C9316" s="66">
        <v>1626.47</v>
      </c>
      <c r="D9316" s="70"/>
      <c r="E9316" s="111">
        <f t="shared" si="149"/>
        <v>138710</v>
      </c>
      <c r="F9316" s="69">
        <v>6.1823802163833076E-2</v>
      </c>
      <c r="G9316" s="69">
        <v>5.2009751828467836E-2</v>
      </c>
    </row>
    <row r="9317" spans="1:7" x14ac:dyDescent="0.3">
      <c r="A9317" s="24">
        <v>44195</v>
      </c>
      <c r="B9317" s="66">
        <v>1729.98</v>
      </c>
      <c r="C9317" s="66">
        <v>1640</v>
      </c>
      <c r="D9317" s="70"/>
      <c r="E9317" s="111">
        <f t="shared" si="149"/>
        <v>138710</v>
      </c>
      <c r="F9317" s="69">
        <v>6.1823802163833076E-2</v>
      </c>
      <c r="G9317" s="69">
        <v>5.2009751828467836E-2</v>
      </c>
    </row>
    <row r="9318" spans="1:7" x14ac:dyDescent="0.3">
      <c r="A9318" s="24">
        <v>44196</v>
      </c>
      <c r="B9318" s="66">
        <v>1729.98</v>
      </c>
      <c r="C9318" s="66">
        <v>1640</v>
      </c>
      <c r="D9318" s="70"/>
      <c r="E9318" s="111">
        <f t="shared" si="149"/>
        <v>138710</v>
      </c>
      <c r="F9318" s="69">
        <v>6.1823802163833076E-2</v>
      </c>
      <c r="G9318" s="69">
        <v>5.3327262229633347E-2</v>
      </c>
    </row>
    <row r="9319" spans="1:7" x14ac:dyDescent="0.3">
      <c r="A9319" s="24">
        <v>44197</v>
      </c>
      <c r="B9319" s="66">
        <v>1729.98</v>
      </c>
      <c r="C9319" s="66">
        <v>1640</v>
      </c>
      <c r="D9319" s="70"/>
      <c r="E9319" s="111">
        <f t="shared" si="149"/>
        <v>138710</v>
      </c>
      <c r="F9319" s="69">
        <v>6.1823802163833076E-2</v>
      </c>
      <c r="G9319" s="69">
        <v>5.3329258431022451E-2</v>
      </c>
    </row>
    <row r="9320" spans="1:7" x14ac:dyDescent="0.3">
      <c r="A9320" s="24">
        <v>44198</v>
      </c>
      <c r="B9320" s="66">
        <v>1729.98</v>
      </c>
      <c r="C9320" s="66">
        <v>1640</v>
      </c>
      <c r="D9320" s="70"/>
      <c r="E9320" s="111">
        <f t="shared" si="149"/>
        <v>138710</v>
      </c>
      <c r="F9320" s="69">
        <v>6.1823802163833076E-2</v>
      </c>
      <c r="G9320" s="69">
        <v>5.3329258431022451E-2</v>
      </c>
    </row>
    <row r="9321" spans="1:7" x14ac:dyDescent="0.3">
      <c r="A9321" s="24">
        <v>44199</v>
      </c>
      <c r="B9321" s="66">
        <v>1729.98</v>
      </c>
      <c r="C9321" s="66">
        <v>1640</v>
      </c>
      <c r="D9321" s="70"/>
      <c r="E9321" s="111">
        <f t="shared" si="149"/>
        <v>138710</v>
      </c>
      <c r="F9321" s="69">
        <v>6.1823802163833076E-2</v>
      </c>
      <c r="G9321" s="69">
        <v>5.3329258431022451E-2</v>
      </c>
    </row>
    <row r="9322" spans="1:7" x14ac:dyDescent="0.3">
      <c r="A9322" s="24">
        <v>44200</v>
      </c>
      <c r="B9322" s="66">
        <v>1729.98</v>
      </c>
      <c r="C9322" s="66">
        <v>1629.4</v>
      </c>
      <c r="D9322" s="70"/>
      <c r="E9322" s="111">
        <f t="shared" si="149"/>
        <v>138710</v>
      </c>
      <c r="F9322" s="69">
        <v>6.1823802163833076E-2</v>
      </c>
      <c r="G9322" s="69">
        <v>5.3329258431022451E-2</v>
      </c>
    </row>
    <row r="9323" spans="1:7" x14ac:dyDescent="0.3">
      <c r="A9323" s="24">
        <v>44201</v>
      </c>
      <c r="B9323" s="66">
        <v>1729.98</v>
      </c>
      <c r="C9323" s="66">
        <v>1635.55</v>
      </c>
      <c r="D9323" s="70"/>
      <c r="E9323" s="111">
        <f t="shared" si="149"/>
        <v>138710</v>
      </c>
      <c r="F9323" s="69">
        <v>6.1823802163833076E-2</v>
      </c>
      <c r="G9323" s="69">
        <v>5.3601726800244914E-2</v>
      </c>
    </row>
    <row r="9324" spans="1:7" x14ac:dyDescent="0.3">
      <c r="A9324" s="24">
        <v>44202</v>
      </c>
      <c r="B9324" s="66">
        <v>1729.98</v>
      </c>
      <c r="C9324" s="66">
        <v>1631.56</v>
      </c>
      <c r="D9324" s="70"/>
      <c r="E9324" s="111">
        <f t="shared" si="149"/>
        <v>138710</v>
      </c>
      <c r="F9324" s="69">
        <v>6.1823802163833076E-2</v>
      </c>
      <c r="G9324" s="69">
        <v>5.3373020964306794E-2</v>
      </c>
    </row>
    <row r="9325" spans="1:7" x14ac:dyDescent="0.3">
      <c r="A9325" s="24">
        <v>44203</v>
      </c>
      <c r="B9325" s="66">
        <v>1729.98</v>
      </c>
      <c r="C9325" s="66">
        <v>1639.98</v>
      </c>
      <c r="D9325" s="70"/>
      <c r="E9325" s="111">
        <f t="shared" si="149"/>
        <v>138710</v>
      </c>
      <c r="F9325" s="69">
        <v>6.1823802163833076E-2</v>
      </c>
      <c r="G9325" s="69">
        <v>5.3403634425420538E-2</v>
      </c>
    </row>
    <row r="9326" spans="1:7" x14ac:dyDescent="0.3">
      <c r="A9326" s="24">
        <v>44204</v>
      </c>
      <c r="B9326" s="66">
        <v>1729.98</v>
      </c>
      <c r="C9326" s="66">
        <v>1630</v>
      </c>
      <c r="D9326" s="70"/>
      <c r="E9326" s="111">
        <f t="shared" si="149"/>
        <v>138710</v>
      </c>
      <c r="F9326" s="69">
        <v>6.1823802163833076E-2</v>
      </c>
      <c r="G9326" s="69">
        <v>5.3388501451499884E-2</v>
      </c>
    </row>
    <row r="9327" spans="1:7" x14ac:dyDescent="0.3">
      <c r="A9327" s="24">
        <v>44205</v>
      </c>
      <c r="B9327" s="66">
        <v>1729.98</v>
      </c>
      <c r="C9327" s="66">
        <v>1630</v>
      </c>
      <c r="D9327" s="70"/>
      <c r="E9327" s="111">
        <f t="shared" si="149"/>
        <v>138710</v>
      </c>
      <c r="F9327" s="69">
        <v>6.1823802163833076E-2</v>
      </c>
      <c r="G9327" s="69">
        <v>5.3388501451499884E-2</v>
      </c>
    </row>
    <row r="9328" spans="1:7" x14ac:dyDescent="0.3">
      <c r="A9328" s="24">
        <v>44206</v>
      </c>
      <c r="B9328" s="66">
        <v>1729.98</v>
      </c>
      <c r="C9328" s="66">
        <v>1630</v>
      </c>
      <c r="D9328" s="70"/>
      <c r="E9328" s="111">
        <f t="shared" si="149"/>
        <v>138710</v>
      </c>
      <c r="F9328" s="69">
        <v>6.1823802163833076E-2</v>
      </c>
      <c r="G9328" s="69">
        <v>5.3388501451499884E-2</v>
      </c>
    </row>
    <row r="9329" spans="1:7" x14ac:dyDescent="0.3">
      <c r="A9329" s="24">
        <v>44207</v>
      </c>
      <c r="B9329" s="66">
        <v>1729.98</v>
      </c>
      <c r="C9329" s="66">
        <v>1630</v>
      </c>
      <c r="D9329" s="70"/>
      <c r="E9329" s="111">
        <f t="shared" si="149"/>
        <v>138710</v>
      </c>
      <c r="F9329" s="69">
        <v>6.1823802163833076E-2</v>
      </c>
      <c r="G9329" s="69">
        <v>5.6216216216216218E-2</v>
      </c>
    </row>
    <row r="9330" spans="1:7" x14ac:dyDescent="0.3">
      <c r="A9330" s="24">
        <v>44208</v>
      </c>
      <c r="B9330" s="66">
        <v>1729.98</v>
      </c>
      <c r="C9330" s="66">
        <v>1640</v>
      </c>
      <c r="D9330" s="70"/>
      <c r="E9330" s="111">
        <f t="shared" si="149"/>
        <v>138710</v>
      </c>
      <c r="F9330" s="69">
        <v>6.1823802163833076E-2</v>
      </c>
      <c r="G9330" s="69">
        <v>5.7777777777777775E-2</v>
      </c>
    </row>
    <row r="9331" spans="1:7" x14ac:dyDescent="0.3">
      <c r="A9331" s="24">
        <v>44209</v>
      </c>
      <c r="B9331" s="66">
        <v>1729.98</v>
      </c>
      <c r="C9331" s="66">
        <v>1640</v>
      </c>
      <c r="D9331" s="70"/>
      <c r="E9331" s="111">
        <f t="shared" si="149"/>
        <v>138710</v>
      </c>
      <c r="F9331" s="69">
        <v>6.1823802163833076E-2</v>
      </c>
      <c r="G9331" s="69">
        <v>5.8100558659217878E-2</v>
      </c>
    </row>
    <row r="9332" spans="1:7" x14ac:dyDescent="0.3">
      <c r="A9332" s="24">
        <v>44210</v>
      </c>
      <c r="B9332" s="66">
        <v>1729.98</v>
      </c>
      <c r="C9332" s="66">
        <v>1642.54</v>
      </c>
      <c r="D9332" s="70"/>
      <c r="E9332" s="111">
        <f t="shared" si="149"/>
        <v>138710</v>
      </c>
      <c r="F9332" s="69">
        <v>6.1823802163833076E-2</v>
      </c>
      <c r="G9332" s="69">
        <v>5.7759134412725677E-2</v>
      </c>
    </row>
    <row r="9333" spans="1:7" x14ac:dyDescent="0.3">
      <c r="A9333" s="24">
        <v>44211</v>
      </c>
      <c r="B9333" s="66">
        <v>1729.98</v>
      </c>
      <c r="C9333" s="66">
        <v>1650</v>
      </c>
      <c r="D9333" s="70"/>
      <c r="E9333" s="111">
        <f t="shared" si="149"/>
        <v>138710</v>
      </c>
      <c r="F9333" s="69">
        <v>6.1823802163833076E-2</v>
      </c>
      <c r="G9333" s="69">
        <v>5.7777777777777775E-2</v>
      </c>
    </row>
    <row r="9334" spans="1:7" x14ac:dyDescent="0.3">
      <c r="A9334" s="24">
        <v>44212</v>
      </c>
      <c r="B9334" s="66">
        <v>1729.98</v>
      </c>
      <c r="C9334" s="66">
        <v>1650</v>
      </c>
      <c r="D9334" s="70"/>
      <c r="E9334" s="111">
        <f t="shared" si="149"/>
        <v>138710</v>
      </c>
      <c r="F9334" s="69">
        <v>6.1823802163833076E-2</v>
      </c>
      <c r="G9334" s="69">
        <v>5.7777777777777775E-2</v>
      </c>
    </row>
    <row r="9335" spans="1:7" x14ac:dyDescent="0.3">
      <c r="A9335" s="24">
        <v>44213</v>
      </c>
      <c r="B9335" s="66">
        <v>1729.98</v>
      </c>
      <c r="C9335" s="66">
        <v>1650</v>
      </c>
      <c r="D9335" s="70"/>
      <c r="E9335" s="111">
        <f t="shared" si="149"/>
        <v>138710</v>
      </c>
      <c r="F9335" s="69">
        <v>6.1823802163833076E-2</v>
      </c>
      <c r="G9335" s="69">
        <v>5.7777777777777775E-2</v>
      </c>
    </row>
    <row r="9336" spans="1:7" x14ac:dyDescent="0.3">
      <c r="A9336" s="24">
        <v>44214</v>
      </c>
      <c r="B9336" s="66">
        <v>1729.98</v>
      </c>
      <c r="C9336" s="66">
        <v>1646.92</v>
      </c>
      <c r="D9336" s="70"/>
      <c r="E9336" s="111">
        <f t="shared" si="149"/>
        <v>138710</v>
      </c>
      <c r="F9336" s="69">
        <v>6.1823802163833076E-2</v>
      </c>
      <c r="G9336" s="69">
        <v>5.7780987832657366E-2</v>
      </c>
    </row>
    <row r="9337" spans="1:7" x14ac:dyDescent="0.3">
      <c r="A9337" s="24">
        <v>44215</v>
      </c>
      <c r="B9337" s="66">
        <v>1729.98</v>
      </c>
      <c r="C9337" s="66">
        <v>1647.22</v>
      </c>
      <c r="D9337" s="70"/>
      <c r="E9337" s="111">
        <f t="shared" si="149"/>
        <v>138710</v>
      </c>
      <c r="F9337" s="69">
        <v>6.1823802163833076E-2</v>
      </c>
      <c r="G9337" s="69">
        <v>5.942755267052565E-2</v>
      </c>
    </row>
    <row r="9338" spans="1:7" x14ac:dyDescent="0.3">
      <c r="A9338" s="24">
        <v>44216</v>
      </c>
      <c r="B9338" s="66">
        <v>1729.98</v>
      </c>
      <c r="C9338" s="66">
        <v>1634.87</v>
      </c>
      <c r="D9338" s="70"/>
      <c r="E9338" s="111">
        <f t="shared" si="149"/>
        <v>138710</v>
      </c>
      <c r="F9338" s="69">
        <v>6.1823802163833076E-2</v>
      </c>
      <c r="G9338" s="69">
        <v>6.1176470588235297E-2</v>
      </c>
    </row>
    <row r="9339" spans="1:7" x14ac:dyDescent="0.3">
      <c r="A9339" s="24">
        <v>44217</v>
      </c>
      <c r="B9339" s="66">
        <v>1729.98</v>
      </c>
      <c r="C9339" s="66">
        <v>1619.29</v>
      </c>
      <c r="D9339" s="70"/>
      <c r="E9339" s="111">
        <f t="shared" si="149"/>
        <v>138710</v>
      </c>
      <c r="F9339" s="69">
        <v>6.1823802163833076E-2</v>
      </c>
      <c r="G9339" s="69">
        <v>5.9522787497925285E-2</v>
      </c>
    </row>
    <row r="9340" spans="1:7" x14ac:dyDescent="0.3">
      <c r="A9340" s="24">
        <v>44218</v>
      </c>
      <c r="B9340" s="66">
        <v>1729.98</v>
      </c>
      <c r="C9340" s="66">
        <v>1630.45</v>
      </c>
      <c r="D9340" s="70"/>
      <c r="E9340" s="111">
        <f t="shared" si="149"/>
        <v>138710</v>
      </c>
      <c r="F9340" s="69">
        <v>6.1823802163833076E-2</v>
      </c>
      <c r="G9340" s="69">
        <v>5.9428571428571428E-2</v>
      </c>
    </row>
    <row r="9341" spans="1:7" x14ac:dyDescent="0.3">
      <c r="A9341" s="24">
        <v>44219</v>
      </c>
      <c r="B9341" s="66">
        <v>1729.98</v>
      </c>
      <c r="C9341" s="66">
        <v>1630.45</v>
      </c>
      <c r="D9341" s="70"/>
      <c r="E9341" s="111">
        <f t="shared" si="149"/>
        <v>138710</v>
      </c>
      <c r="F9341" s="69">
        <v>6.1823802163833076E-2</v>
      </c>
      <c r="G9341" s="69">
        <v>5.9428571428571428E-2</v>
      </c>
    </row>
    <row r="9342" spans="1:7" x14ac:dyDescent="0.3">
      <c r="A9342" s="24">
        <v>44220</v>
      </c>
      <c r="B9342" s="66">
        <v>1729.98</v>
      </c>
      <c r="C9342" s="66">
        <v>1630.45</v>
      </c>
      <c r="D9342" s="70"/>
      <c r="E9342" s="111">
        <f t="shared" si="149"/>
        <v>138710</v>
      </c>
      <c r="F9342" s="69">
        <v>6.1823802163833076E-2</v>
      </c>
      <c r="G9342" s="69">
        <v>5.9428571428571428E-2</v>
      </c>
    </row>
    <row r="9343" spans="1:7" x14ac:dyDescent="0.3">
      <c r="A9343" s="24">
        <v>44221</v>
      </c>
      <c r="B9343" s="66">
        <v>1729.98</v>
      </c>
      <c r="C9343" s="66">
        <v>1636.81</v>
      </c>
      <c r="D9343" s="70"/>
      <c r="E9343" s="111">
        <f t="shared" si="149"/>
        <v>138710</v>
      </c>
      <c r="F9343" s="69">
        <v>6.1823802163833076E-2</v>
      </c>
      <c r="G9343" s="69">
        <v>5.9428571428571428E-2</v>
      </c>
    </row>
    <row r="9344" spans="1:7" x14ac:dyDescent="0.3">
      <c r="A9344" s="24">
        <v>44222</v>
      </c>
      <c r="B9344" s="66">
        <v>1729.98</v>
      </c>
      <c r="C9344" s="66">
        <v>1632.3</v>
      </c>
      <c r="D9344" s="70"/>
      <c r="E9344" s="111">
        <f t="shared" si="149"/>
        <v>138710</v>
      </c>
      <c r="F9344" s="69">
        <v>6.1823802163833076E-2</v>
      </c>
      <c r="G9344" s="69">
        <v>5.9493164006635776E-2</v>
      </c>
    </row>
    <row r="9345" spans="1:7" x14ac:dyDescent="0.3">
      <c r="A9345" s="24">
        <v>44223</v>
      </c>
      <c r="B9345" s="66">
        <v>1729.98</v>
      </c>
      <c r="C9345" s="66">
        <v>1640.36</v>
      </c>
      <c r="D9345" s="70"/>
      <c r="E9345" s="111">
        <f t="shared" si="149"/>
        <v>138710</v>
      </c>
      <c r="F9345" s="69">
        <v>6.1823802163833076E-2</v>
      </c>
      <c r="G9345" s="69">
        <v>5.9532634473631336E-2</v>
      </c>
    </row>
    <row r="9346" spans="1:7" x14ac:dyDescent="0.3">
      <c r="A9346" s="24">
        <v>44224</v>
      </c>
      <c r="B9346" s="66">
        <v>1729.98</v>
      </c>
      <c r="C9346" s="66">
        <v>1680.48</v>
      </c>
      <c r="D9346" s="70"/>
      <c r="E9346" s="111">
        <f t="shared" si="149"/>
        <v>138710</v>
      </c>
      <c r="F9346" s="69">
        <v>6.1823802163833076E-2</v>
      </c>
      <c r="G9346" s="69">
        <v>5.9238601695591052E-2</v>
      </c>
    </row>
    <row r="9347" spans="1:7" x14ac:dyDescent="0.3">
      <c r="A9347" s="24">
        <v>44225</v>
      </c>
      <c r="B9347" s="66">
        <v>1729.98</v>
      </c>
      <c r="C9347" s="66">
        <v>1690</v>
      </c>
      <c r="D9347" s="70"/>
      <c r="E9347" s="111">
        <f t="shared" si="149"/>
        <v>138710</v>
      </c>
      <c r="F9347" s="69">
        <v>6.1823802163833076E-2</v>
      </c>
      <c r="G9347" s="69">
        <v>5.8078560187817124E-2</v>
      </c>
    </row>
    <row r="9348" spans="1:7" x14ac:dyDescent="0.3">
      <c r="A9348" s="24">
        <v>44226</v>
      </c>
      <c r="B9348" s="66">
        <v>1729.98</v>
      </c>
      <c r="C9348" s="66">
        <v>1690</v>
      </c>
      <c r="D9348" s="70"/>
      <c r="E9348" s="111">
        <f t="shared" si="149"/>
        <v>138710</v>
      </c>
      <c r="F9348" s="69">
        <v>6.1823802163833076E-2</v>
      </c>
      <c r="G9348" s="69">
        <v>5.8078560187817124E-2</v>
      </c>
    </row>
    <row r="9349" spans="1:7" x14ac:dyDescent="0.3">
      <c r="A9349" s="24">
        <v>44227</v>
      </c>
      <c r="B9349" s="66">
        <v>1729.98</v>
      </c>
      <c r="C9349" s="66">
        <v>1690</v>
      </c>
      <c r="D9349" s="70"/>
      <c r="E9349" s="111">
        <f t="shared" si="149"/>
        <v>138710</v>
      </c>
      <c r="F9349" s="69">
        <v>6.1823802163833076E-2</v>
      </c>
      <c r="G9349" s="69">
        <v>5.8078560187817124E-2</v>
      </c>
    </row>
    <row r="9350" spans="1:7" x14ac:dyDescent="0.3">
      <c r="A9350" s="24">
        <v>44228</v>
      </c>
      <c r="B9350" s="66">
        <v>1729.98</v>
      </c>
      <c r="C9350" s="66">
        <v>1690</v>
      </c>
      <c r="D9350" s="70"/>
      <c r="E9350" s="111">
        <f t="shared" si="149"/>
        <v>138710</v>
      </c>
      <c r="F9350" s="69">
        <v>6.1823802163833076E-2</v>
      </c>
      <c r="G9350" s="69">
        <v>5.8484991289110437E-2</v>
      </c>
    </row>
    <row r="9351" spans="1:7" x14ac:dyDescent="0.3">
      <c r="A9351" s="24">
        <v>44229</v>
      </c>
      <c r="B9351" s="66">
        <v>1729.98</v>
      </c>
      <c r="C9351" s="66">
        <v>1689.97</v>
      </c>
      <c r="D9351" s="70"/>
      <c r="E9351" s="111">
        <f t="shared" si="149"/>
        <v>138710</v>
      </c>
      <c r="F9351" s="69">
        <v>6.1823802163833076E-2</v>
      </c>
      <c r="G9351" s="69">
        <v>5.8484991289110437E-2</v>
      </c>
    </row>
    <row r="9352" spans="1:7" x14ac:dyDescent="0.3">
      <c r="A9352" s="24">
        <v>44230</v>
      </c>
      <c r="B9352" s="66">
        <v>1729.98</v>
      </c>
      <c r="C9352" s="66">
        <v>1689.97</v>
      </c>
      <c r="D9352" s="70"/>
      <c r="E9352" s="111">
        <f t="shared" si="149"/>
        <v>138710</v>
      </c>
      <c r="F9352" s="69">
        <v>6.1823802163833076E-2</v>
      </c>
      <c r="G9352" s="69">
        <v>5.9428571428571428E-2</v>
      </c>
    </row>
    <row r="9353" spans="1:7" x14ac:dyDescent="0.3">
      <c r="A9353" s="24">
        <v>44231</v>
      </c>
      <c r="B9353" s="66">
        <v>1729.98</v>
      </c>
      <c r="C9353" s="66">
        <v>1660.01</v>
      </c>
      <c r="D9353" s="70"/>
      <c r="E9353" s="111">
        <f t="shared" ref="E9353:E9416" si="150">+E9352</f>
        <v>138710</v>
      </c>
      <c r="F9353" s="69">
        <v>6.1823802163833076E-2</v>
      </c>
      <c r="G9353" s="69">
        <v>5.9770114942528735E-2</v>
      </c>
    </row>
    <row r="9354" spans="1:7" x14ac:dyDescent="0.3">
      <c r="A9354" s="24">
        <v>44232</v>
      </c>
      <c r="B9354" s="66">
        <v>1729.98</v>
      </c>
      <c r="C9354" s="66">
        <v>1665</v>
      </c>
      <c r="D9354" s="70"/>
      <c r="E9354" s="111">
        <f t="shared" si="150"/>
        <v>138710</v>
      </c>
      <c r="F9354" s="69">
        <v>6.1823802163833076E-2</v>
      </c>
      <c r="G9354" s="69">
        <v>5.9479928097917689E-2</v>
      </c>
    </row>
    <row r="9355" spans="1:7" x14ac:dyDescent="0.3">
      <c r="A9355" s="24">
        <v>44233</v>
      </c>
      <c r="B9355" s="66">
        <v>1729.98</v>
      </c>
      <c r="C9355" s="66">
        <v>1665</v>
      </c>
      <c r="D9355" s="70"/>
      <c r="E9355" s="111">
        <f t="shared" si="150"/>
        <v>138710</v>
      </c>
      <c r="F9355" s="69">
        <v>6.1823802163833076E-2</v>
      </c>
      <c r="G9355" s="69">
        <v>5.9479928097917689E-2</v>
      </c>
    </row>
    <row r="9356" spans="1:7" x14ac:dyDescent="0.3">
      <c r="A9356" s="24">
        <v>44234</v>
      </c>
      <c r="B9356" s="66">
        <v>1729.98</v>
      </c>
      <c r="C9356" s="66">
        <v>1665</v>
      </c>
      <c r="D9356" s="70"/>
      <c r="E9356" s="111">
        <f t="shared" si="150"/>
        <v>138710</v>
      </c>
      <c r="F9356" s="69">
        <v>6.1823802163833076E-2</v>
      </c>
      <c r="G9356" s="69">
        <v>5.9479928097917689E-2</v>
      </c>
    </row>
    <row r="9357" spans="1:7" x14ac:dyDescent="0.3">
      <c r="A9357" s="24">
        <v>44235</v>
      </c>
      <c r="B9357" s="66">
        <v>1729.98</v>
      </c>
      <c r="C9357" s="66">
        <v>1667.2</v>
      </c>
      <c r="D9357" s="70"/>
      <c r="E9357" s="111">
        <f t="shared" si="150"/>
        <v>138710</v>
      </c>
      <c r="F9357" s="69">
        <v>6.1823802163833076E-2</v>
      </c>
      <c r="G9357" s="69">
        <v>5.8923512747875356E-2</v>
      </c>
    </row>
    <row r="9358" spans="1:7" x14ac:dyDescent="0.3">
      <c r="A9358" s="24">
        <v>44236</v>
      </c>
      <c r="B9358" s="66">
        <v>1729.98</v>
      </c>
      <c r="C9358" s="66">
        <v>1670.36</v>
      </c>
      <c r="D9358" s="70"/>
      <c r="E9358" s="111">
        <f t="shared" si="150"/>
        <v>138710</v>
      </c>
      <c r="F9358" s="69">
        <v>6.1823802163833076E-2</v>
      </c>
      <c r="G9358" s="69">
        <v>5.9259259259259262E-2</v>
      </c>
    </row>
    <row r="9359" spans="1:7" x14ac:dyDescent="0.3">
      <c r="A9359" s="24">
        <v>44237</v>
      </c>
      <c r="B9359" s="66">
        <v>1729.98</v>
      </c>
      <c r="C9359" s="66">
        <v>1675</v>
      </c>
      <c r="D9359" s="70"/>
      <c r="E9359" s="111">
        <f t="shared" si="150"/>
        <v>138710</v>
      </c>
      <c r="F9359" s="69">
        <v>6.1823802163833076E-2</v>
      </c>
      <c r="G9359" s="69">
        <v>5.9942363112391928E-2</v>
      </c>
    </row>
    <row r="9360" spans="1:7" x14ac:dyDescent="0.3">
      <c r="A9360" s="24">
        <v>44238</v>
      </c>
      <c r="B9360" s="66">
        <v>1729.98</v>
      </c>
      <c r="C9360" s="66">
        <v>1690</v>
      </c>
      <c r="D9360" s="70"/>
      <c r="E9360" s="111">
        <f t="shared" si="150"/>
        <v>138710</v>
      </c>
      <c r="F9360" s="69">
        <v>6.1823802163833076E-2</v>
      </c>
      <c r="G9360" s="69">
        <v>6.0115606936416183E-2</v>
      </c>
    </row>
    <row r="9361" spans="1:7" x14ac:dyDescent="0.3">
      <c r="A9361" s="24">
        <v>44239</v>
      </c>
      <c r="B9361" s="66">
        <v>1729.98</v>
      </c>
      <c r="C9361" s="66">
        <v>1690</v>
      </c>
      <c r="D9361" s="70"/>
      <c r="E9361" s="111">
        <f t="shared" si="150"/>
        <v>138710</v>
      </c>
      <c r="F9361" s="69">
        <v>6.1823802163833076E-2</v>
      </c>
      <c r="G9361" s="69">
        <v>5.9942363112391928E-2</v>
      </c>
    </row>
    <row r="9362" spans="1:7" x14ac:dyDescent="0.3">
      <c r="A9362" s="24">
        <v>44240</v>
      </c>
      <c r="B9362" s="66">
        <v>1729.98</v>
      </c>
      <c r="C9362" s="66">
        <v>1690</v>
      </c>
      <c r="D9362" s="70"/>
      <c r="E9362" s="111">
        <f t="shared" si="150"/>
        <v>138710</v>
      </c>
      <c r="F9362" s="69">
        <v>6.1823802163833076E-2</v>
      </c>
      <c r="G9362" s="69">
        <v>5.9942363112391928E-2</v>
      </c>
    </row>
    <row r="9363" spans="1:7" x14ac:dyDescent="0.3">
      <c r="A9363" s="24">
        <v>44241</v>
      </c>
      <c r="B9363" s="66">
        <v>1729.98</v>
      </c>
      <c r="C9363" s="66">
        <v>1690</v>
      </c>
      <c r="D9363" s="70"/>
      <c r="E9363" s="111">
        <f t="shared" si="150"/>
        <v>138710</v>
      </c>
      <c r="F9363" s="69">
        <v>6.1823802163833076E-2</v>
      </c>
      <c r="G9363" s="69">
        <v>5.9942363112391928E-2</v>
      </c>
    </row>
    <row r="9364" spans="1:7" x14ac:dyDescent="0.3">
      <c r="A9364" s="24">
        <v>44242</v>
      </c>
      <c r="B9364" s="66">
        <v>1729.98</v>
      </c>
      <c r="C9364" s="66">
        <v>1690</v>
      </c>
      <c r="D9364" s="70"/>
      <c r="E9364" s="111">
        <f t="shared" si="150"/>
        <v>138710</v>
      </c>
      <c r="F9364" s="69">
        <v>6.1823802163833076E-2</v>
      </c>
      <c r="G9364" s="69">
        <v>6.0387770779635155E-2</v>
      </c>
    </row>
    <row r="9365" spans="1:7" x14ac:dyDescent="0.3">
      <c r="A9365" s="24">
        <v>44243</v>
      </c>
      <c r="B9365" s="66">
        <v>1729.98</v>
      </c>
      <c r="C9365" s="66">
        <v>1690.1</v>
      </c>
      <c r="D9365" s="70"/>
      <c r="E9365" s="111">
        <f t="shared" si="150"/>
        <v>138710</v>
      </c>
      <c r="F9365" s="69">
        <v>6.1823802163833076E-2</v>
      </c>
      <c r="G9365" s="69">
        <v>6.117661453321066E-2</v>
      </c>
    </row>
    <row r="9366" spans="1:7" x14ac:dyDescent="0.3">
      <c r="A9366" s="24">
        <v>44244</v>
      </c>
      <c r="B9366" s="66">
        <v>1729.98</v>
      </c>
      <c r="C9366" s="66">
        <v>1700.05</v>
      </c>
      <c r="D9366" s="70"/>
      <c r="E9366" s="111">
        <f t="shared" si="150"/>
        <v>138710</v>
      </c>
      <c r="F9366" s="69">
        <v>6.1823802163833076E-2</v>
      </c>
      <c r="G9366" s="69">
        <v>6.1238321292740969E-2</v>
      </c>
    </row>
    <row r="9367" spans="1:7" x14ac:dyDescent="0.3">
      <c r="A9367" s="24">
        <v>44245</v>
      </c>
      <c r="B9367" s="66">
        <v>1729.98</v>
      </c>
      <c r="C9367" s="66">
        <v>1711.59</v>
      </c>
      <c r="D9367" s="70"/>
      <c r="E9367" s="111">
        <f t="shared" si="150"/>
        <v>138710</v>
      </c>
      <c r="F9367" s="69">
        <v>6.1823802163833076E-2</v>
      </c>
      <c r="G9367" s="69">
        <v>6.1617799012219282E-2</v>
      </c>
    </row>
    <row r="9368" spans="1:7" x14ac:dyDescent="0.3">
      <c r="A9368" s="24">
        <v>44246</v>
      </c>
      <c r="B9368" s="66">
        <v>1729.98</v>
      </c>
      <c r="C9368" s="66">
        <v>1715</v>
      </c>
      <c r="D9368" s="70"/>
      <c r="E9368" s="111">
        <f t="shared" si="150"/>
        <v>138710</v>
      </c>
      <c r="F9368" s="69">
        <v>6.1823802163833076E-2</v>
      </c>
      <c r="G9368" s="69">
        <v>6.2595849895151948E-2</v>
      </c>
    </row>
    <row r="9369" spans="1:7" x14ac:dyDescent="0.3">
      <c r="A9369" s="24">
        <v>44247</v>
      </c>
      <c r="B9369" s="66">
        <v>1729.98</v>
      </c>
      <c r="C9369" s="66">
        <v>1715</v>
      </c>
      <c r="D9369" s="70"/>
      <c r="E9369" s="111">
        <f t="shared" si="150"/>
        <v>138710</v>
      </c>
      <c r="F9369" s="69">
        <v>6.1823802163833076E-2</v>
      </c>
      <c r="G9369" s="69">
        <v>6.2595849895151948E-2</v>
      </c>
    </row>
    <row r="9370" spans="1:7" x14ac:dyDescent="0.3">
      <c r="A9370" s="24">
        <v>44248</v>
      </c>
      <c r="B9370" s="66">
        <v>1729.98</v>
      </c>
      <c r="C9370" s="66">
        <v>1715</v>
      </c>
      <c r="D9370" s="70"/>
      <c r="E9370" s="111">
        <f t="shared" si="150"/>
        <v>138710</v>
      </c>
      <c r="F9370" s="69">
        <v>6.1823802163833076E-2</v>
      </c>
      <c r="G9370" s="69">
        <v>6.2595849895151948E-2</v>
      </c>
    </row>
    <row r="9371" spans="1:7" x14ac:dyDescent="0.3">
      <c r="A9371" s="24">
        <v>44249</v>
      </c>
      <c r="B9371" s="66">
        <v>1729.98</v>
      </c>
      <c r="C9371" s="66">
        <v>1716.2</v>
      </c>
      <c r="D9371" s="70"/>
      <c r="E9371" s="111">
        <f t="shared" si="150"/>
        <v>138710</v>
      </c>
      <c r="F9371" s="69">
        <v>6.1823802163833076E-2</v>
      </c>
      <c r="G9371" s="69">
        <v>6.3803680981595098E-2</v>
      </c>
    </row>
    <row r="9372" spans="1:7" x14ac:dyDescent="0.3">
      <c r="A9372" s="24">
        <v>44250</v>
      </c>
      <c r="B9372" s="66">
        <v>1729.98</v>
      </c>
      <c r="C9372" s="66">
        <v>1765.92</v>
      </c>
      <c r="D9372" s="70"/>
      <c r="E9372" s="111">
        <f t="shared" si="150"/>
        <v>138710</v>
      </c>
      <c r="F9372" s="69">
        <v>6.1823802163833076E-2</v>
      </c>
      <c r="G9372" s="69">
        <v>6.5084202687226603E-2</v>
      </c>
    </row>
    <row r="9373" spans="1:7" x14ac:dyDescent="0.3">
      <c r="A9373" s="24">
        <v>44251</v>
      </c>
      <c r="B9373" s="66">
        <v>1729.98</v>
      </c>
      <c r="C9373" s="66">
        <v>1799.21</v>
      </c>
      <c r="D9373" s="70"/>
      <c r="E9373" s="111">
        <f t="shared" si="150"/>
        <v>138710</v>
      </c>
      <c r="F9373" s="69">
        <v>6.1823802163833076E-2</v>
      </c>
      <c r="G9373" s="69">
        <v>6.6245413779046067E-2</v>
      </c>
    </row>
    <row r="9374" spans="1:7" x14ac:dyDescent="0.3">
      <c r="A9374" s="24">
        <v>44252</v>
      </c>
      <c r="B9374" s="66">
        <v>1729.98</v>
      </c>
      <c r="C9374" s="66">
        <v>1807.04</v>
      </c>
      <c r="D9374" s="70"/>
      <c r="E9374" s="111">
        <f t="shared" si="150"/>
        <v>138710</v>
      </c>
      <c r="F9374" s="69">
        <v>6.1823802163833076E-2</v>
      </c>
      <c r="G9374" s="69">
        <v>6.8983449278592318E-2</v>
      </c>
    </row>
    <row r="9375" spans="1:7" x14ac:dyDescent="0.3">
      <c r="A9375" s="24">
        <v>44253</v>
      </c>
      <c r="B9375" s="66">
        <v>1729.98</v>
      </c>
      <c r="C9375" s="66">
        <v>1804.96</v>
      </c>
      <c r="D9375" s="70"/>
      <c r="E9375" s="111">
        <f t="shared" si="150"/>
        <v>138710</v>
      </c>
      <c r="F9375" s="69">
        <v>6.1823802163833076E-2</v>
      </c>
      <c r="G9375" s="69">
        <v>6.9269143926627988E-2</v>
      </c>
    </row>
    <row r="9376" spans="1:7" x14ac:dyDescent="0.3">
      <c r="A9376" s="24">
        <v>44254</v>
      </c>
      <c r="B9376" s="66">
        <v>1729.98</v>
      </c>
      <c r="C9376" s="66">
        <v>1804.96</v>
      </c>
      <c r="D9376" s="70"/>
      <c r="E9376" s="111">
        <f t="shared" si="150"/>
        <v>138710</v>
      </c>
      <c r="F9376" s="69">
        <v>6.1823802163833076E-2</v>
      </c>
      <c r="G9376" s="69">
        <v>6.9269143926627988E-2</v>
      </c>
    </row>
    <row r="9377" spans="1:7" x14ac:dyDescent="0.3">
      <c r="A9377" s="24">
        <v>44255</v>
      </c>
      <c r="B9377" s="66">
        <v>1729.98</v>
      </c>
      <c r="C9377" s="66">
        <v>1804.96</v>
      </c>
      <c r="D9377" s="70"/>
      <c r="E9377" s="111">
        <f t="shared" si="150"/>
        <v>138710</v>
      </c>
      <c r="F9377" s="69">
        <v>6.1823802163833076E-2</v>
      </c>
      <c r="G9377" s="69">
        <v>6.9269143926627988E-2</v>
      </c>
    </row>
    <row r="9378" spans="1:7" x14ac:dyDescent="0.3">
      <c r="A9378" s="24">
        <v>44256</v>
      </c>
      <c r="B9378" s="66">
        <v>1729.98</v>
      </c>
      <c r="C9378" s="66">
        <v>1802.5</v>
      </c>
      <c r="D9378" s="70"/>
      <c r="E9378" s="111">
        <f t="shared" si="150"/>
        <v>138710</v>
      </c>
      <c r="F9378" s="69">
        <v>6.1823802163833076E-2</v>
      </c>
      <c r="G9378" s="69">
        <v>6.6969014596025514E-2</v>
      </c>
    </row>
    <row r="9379" spans="1:7" x14ac:dyDescent="0.3">
      <c r="A9379" s="24">
        <v>44257</v>
      </c>
      <c r="B9379" s="66">
        <v>1729.98</v>
      </c>
      <c r="C9379" s="66">
        <v>1800</v>
      </c>
      <c r="D9379" s="70"/>
      <c r="E9379" s="111">
        <f t="shared" si="150"/>
        <v>138710</v>
      </c>
      <c r="F9379" s="69">
        <v>6.1823802163833076E-2</v>
      </c>
      <c r="G9379" s="69">
        <v>6.7532467532467527E-2</v>
      </c>
    </row>
    <row r="9380" spans="1:7" x14ac:dyDescent="0.3">
      <c r="A9380" s="24">
        <v>44258</v>
      </c>
      <c r="B9380" s="66">
        <v>1729.98</v>
      </c>
      <c r="C9380" s="66">
        <v>1760</v>
      </c>
      <c r="D9380" s="70"/>
      <c r="E9380" s="111">
        <f t="shared" si="150"/>
        <v>138710</v>
      </c>
      <c r="F9380" s="69">
        <v>6.1823802163833076E-2</v>
      </c>
      <c r="G9380" s="69">
        <v>6.6031746031746039E-2</v>
      </c>
    </row>
    <row r="9381" spans="1:7" x14ac:dyDescent="0.3">
      <c r="A9381" s="24">
        <v>44259</v>
      </c>
      <c r="B9381" s="66">
        <v>1729.98</v>
      </c>
      <c r="C9381" s="66">
        <v>1760</v>
      </c>
      <c r="D9381" s="70"/>
      <c r="E9381" s="111">
        <f t="shared" si="150"/>
        <v>138710</v>
      </c>
      <c r="F9381" s="69">
        <v>6.1823802163833076E-2</v>
      </c>
      <c r="G9381" s="69">
        <v>6.6666666666666666E-2</v>
      </c>
    </row>
    <row r="9382" spans="1:7" x14ac:dyDescent="0.3">
      <c r="A9382" s="24">
        <v>44260</v>
      </c>
      <c r="B9382" s="66">
        <v>1729.98</v>
      </c>
      <c r="C9382" s="66">
        <v>1753.23</v>
      </c>
      <c r="D9382" s="70"/>
      <c r="E9382" s="111">
        <f t="shared" si="150"/>
        <v>138710</v>
      </c>
      <c r="F9382" s="69">
        <v>6.1823802163833076E-2</v>
      </c>
      <c r="G9382" s="69">
        <v>6.556475843799528E-2</v>
      </c>
    </row>
    <row r="9383" spans="1:7" x14ac:dyDescent="0.3">
      <c r="A9383" s="24">
        <v>44261</v>
      </c>
      <c r="B9383" s="66">
        <v>1729.98</v>
      </c>
      <c r="C9383" s="66">
        <v>1753.23</v>
      </c>
      <c r="D9383" s="70"/>
      <c r="E9383" s="111">
        <f t="shared" si="150"/>
        <v>138710</v>
      </c>
      <c r="F9383" s="69">
        <v>6.1823802163833076E-2</v>
      </c>
      <c r="G9383" s="69">
        <v>6.556475843799528E-2</v>
      </c>
    </row>
    <row r="9384" spans="1:7" x14ac:dyDescent="0.3">
      <c r="A9384" s="24">
        <v>44262</v>
      </c>
      <c r="B9384" s="66">
        <v>1729.98</v>
      </c>
      <c r="C9384" s="66">
        <v>1753.23</v>
      </c>
      <c r="D9384" s="70"/>
      <c r="E9384" s="111">
        <f t="shared" si="150"/>
        <v>138710</v>
      </c>
      <c r="F9384" s="69">
        <v>6.1823802163833076E-2</v>
      </c>
      <c r="G9384" s="69">
        <v>6.556475843799528E-2</v>
      </c>
    </row>
    <row r="9385" spans="1:7" x14ac:dyDescent="0.3">
      <c r="A9385" s="24">
        <v>44263</v>
      </c>
      <c r="B9385" s="66">
        <v>1729.98</v>
      </c>
      <c r="C9385" s="66">
        <v>1730</v>
      </c>
      <c r="D9385" s="70"/>
      <c r="E9385" s="111">
        <f t="shared" si="150"/>
        <v>138710</v>
      </c>
      <c r="F9385" s="69">
        <v>6.1823802163833076E-2</v>
      </c>
      <c r="G9385" s="69">
        <v>6.7414841766346642E-2</v>
      </c>
    </row>
    <row r="9386" spans="1:7" x14ac:dyDescent="0.3">
      <c r="A9386" s="24">
        <v>44264</v>
      </c>
      <c r="B9386" s="66">
        <v>1729.98</v>
      </c>
      <c r="C9386" s="66">
        <v>1740.95</v>
      </c>
      <c r="D9386" s="70"/>
      <c r="E9386" s="111">
        <f t="shared" si="150"/>
        <v>138710</v>
      </c>
      <c r="F9386" s="69">
        <v>6.1823802163833076E-2</v>
      </c>
      <c r="G9386" s="69">
        <v>6.3803680981595098E-2</v>
      </c>
    </row>
    <row r="9387" spans="1:7" x14ac:dyDescent="0.3">
      <c r="A9387" s="24">
        <v>44265</v>
      </c>
      <c r="B9387" s="66">
        <v>1729.98</v>
      </c>
      <c r="C9387" s="66">
        <v>1720.43</v>
      </c>
      <c r="D9387" s="70"/>
      <c r="E9387" s="111">
        <f t="shared" si="150"/>
        <v>138710</v>
      </c>
      <c r="F9387" s="69">
        <v>6.1823802163833076E-2</v>
      </c>
      <c r="G9387" s="69">
        <v>6.497198083326565E-2</v>
      </c>
    </row>
    <row r="9388" spans="1:7" x14ac:dyDescent="0.3">
      <c r="A9388" s="24">
        <v>44266</v>
      </c>
      <c r="B9388" s="66">
        <v>1729.98</v>
      </c>
      <c r="C9388" s="66">
        <v>1740</v>
      </c>
      <c r="D9388" s="70"/>
      <c r="E9388" s="111">
        <f t="shared" si="150"/>
        <v>138710</v>
      </c>
      <c r="F9388" s="69">
        <v>6.1823802163833076E-2</v>
      </c>
      <c r="G9388" s="69">
        <v>6.5973019572418704E-2</v>
      </c>
    </row>
    <row r="9389" spans="1:7" x14ac:dyDescent="0.3">
      <c r="A9389" s="24">
        <v>44267</v>
      </c>
      <c r="B9389" s="66">
        <v>1729.98</v>
      </c>
      <c r="C9389" s="66">
        <v>1726.94</v>
      </c>
      <c r="D9389" s="70"/>
      <c r="E9389" s="111">
        <f t="shared" si="150"/>
        <v>138710</v>
      </c>
      <c r="F9389" s="69">
        <v>6.2240460272991453E-2</v>
      </c>
      <c r="G9389" s="69">
        <v>6.5108527777238676E-2</v>
      </c>
    </row>
    <row r="9390" spans="1:7" x14ac:dyDescent="0.3">
      <c r="A9390" s="24">
        <v>44268</v>
      </c>
      <c r="B9390" s="66">
        <v>1729.98</v>
      </c>
      <c r="C9390" s="66">
        <v>1726.94</v>
      </c>
      <c r="D9390" s="70"/>
      <c r="E9390" s="111">
        <f t="shared" si="150"/>
        <v>138710</v>
      </c>
      <c r="F9390" s="69">
        <v>6.2240460272991453E-2</v>
      </c>
      <c r="G9390" s="69">
        <v>6.5108527777238676E-2</v>
      </c>
    </row>
    <row r="9391" spans="1:7" x14ac:dyDescent="0.3">
      <c r="A9391" s="24">
        <v>44269</v>
      </c>
      <c r="B9391" s="66">
        <v>1729.98</v>
      </c>
      <c r="C9391" s="66">
        <v>1726.94</v>
      </c>
      <c r="D9391" s="70"/>
      <c r="E9391" s="111">
        <f t="shared" si="150"/>
        <v>138710</v>
      </c>
      <c r="F9391" s="69">
        <v>6.2240460272991453E-2</v>
      </c>
      <c r="G9391" s="69">
        <v>6.5108527777238676E-2</v>
      </c>
    </row>
    <row r="9392" spans="1:7" x14ac:dyDescent="0.3">
      <c r="A9392" s="24">
        <v>44270</v>
      </c>
      <c r="B9392" s="66">
        <v>1729.98</v>
      </c>
      <c r="C9392" s="66">
        <v>1691.46</v>
      </c>
      <c r="D9392" s="70"/>
      <c r="E9392" s="111">
        <f t="shared" si="150"/>
        <v>138710</v>
      </c>
      <c r="F9392" s="69">
        <v>6.2240460272991453E-2</v>
      </c>
      <c r="G9392" s="69">
        <v>6.8772516386374577E-2</v>
      </c>
    </row>
    <row r="9393" spans="1:7" x14ac:dyDescent="0.3">
      <c r="A9393" s="24">
        <v>44271</v>
      </c>
      <c r="B9393" s="66">
        <v>1729.98</v>
      </c>
      <c r="C9393" s="66">
        <v>1648.93</v>
      </c>
      <c r="D9393" s="70"/>
      <c r="E9393" s="111">
        <f t="shared" si="150"/>
        <v>138710</v>
      </c>
      <c r="F9393" s="69">
        <v>6.2240460272991453E-2</v>
      </c>
      <c r="G9393" s="69">
        <v>6.7532467532467527E-2</v>
      </c>
    </row>
    <row r="9394" spans="1:7" x14ac:dyDescent="0.3">
      <c r="A9394" s="24">
        <v>44272</v>
      </c>
      <c r="B9394" s="66">
        <v>1729.98</v>
      </c>
      <c r="C9394" s="66">
        <v>1613.55</v>
      </c>
      <c r="D9394" s="70"/>
      <c r="E9394" s="111">
        <f t="shared" si="150"/>
        <v>138710</v>
      </c>
      <c r="F9394" s="69">
        <v>6.2240460272991453E-2</v>
      </c>
      <c r="G9394" s="69">
        <v>7.616369335325307E-2</v>
      </c>
    </row>
    <row r="9395" spans="1:7" x14ac:dyDescent="0.3">
      <c r="A9395" s="24">
        <v>44273</v>
      </c>
      <c r="B9395" s="66">
        <v>1729.98</v>
      </c>
      <c r="C9395" s="66">
        <v>1650</v>
      </c>
      <c r="D9395" s="70"/>
      <c r="E9395" s="111">
        <f t="shared" si="150"/>
        <v>138710</v>
      </c>
      <c r="F9395" s="69">
        <v>6.2240460272991453E-2</v>
      </c>
      <c r="G9395" s="69">
        <v>7.4108753170108801E-2</v>
      </c>
    </row>
    <row r="9396" spans="1:7" x14ac:dyDescent="0.3">
      <c r="A9396" s="24">
        <v>44274</v>
      </c>
      <c r="B9396" s="66">
        <v>1718.4426000000001</v>
      </c>
      <c r="C9396" s="66">
        <v>1656.36</v>
      </c>
      <c r="D9396" s="70"/>
      <c r="E9396" s="111">
        <f t="shared" si="150"/>
        <v>138710</v>
      </c>
      <c r="F9396" s="69">
        <v>6.2240460272991453E-2</v>
      </c>
      <c r="G9396" s="69">
        <v>6.6032081432794584E-2</v>
      </c>
    </row>
    <row r="9397" spans="1:7" x14ac:dyDescent="0.3">
      <c r="A9397" s="24">
        <v>44275</v>
      </c>
      <c r="B9397" s="66">
        <v>1718.4426000000001</v>
      </c>
      <c r="C9397" s="66">
        <v>1656.36</v>
      </c>
      <c r="D9397" s="70"/>
      <c r="E9397" s="111">
        <f t="shared" si="150"/>
        <v>138710</v>
      </c>
      <c r="F9397" s="69">
        <v>6.2240460272991453E-2</v>
      </c>
      <c r="G9397" s="69">
        <v>6.6032081432794584E-2</v>
      </c>
    </row>
    <row r="9398" spans="1:7" x14ac:dyDescent="0.3">
      <c r="A9398" s="24">
        <v>44276</v>
      </c>
      <c r="B9398" s="66">
        <v>1718.4426000000001</v>
      </c>
      <c r="C9398" s="66">
        <v>1656.36</v>
      </c>
      <c r="D9398" s="70"/>
      <c r="E9398" s="111">
        <f t="shared" si="150"/>
        <v>138710</v>
      </c>
      <c r="F9398" s="69">
        <v>6.2240460272991453E-2</v>
      </c>
      <c r="G9398" s="69">
        <v>6.6032081432794584E-2</v>
      </c>
    </row>
    <row r="9399" spans="1:7" x14ac:dyDescent="0.3">
      <c r="A9399" s="24">
        <v>44277</v>
      </c>
      <c r="B9399" s="66">
        <v>1718.4426000000001</v>
      </c>
      <c r="C9399" s="66">
        <v>1664.79</v>
      </c>
      <c r="D9399" s="70"/>
      <c r="E9399" s="111">
        <f t="shared" si="150"/>
        <v>138710</v>
      </c>
      <c r="F9399" s="69">
        <v>6.2240460272991453E-2</v>
      </c>
      <c r="G9399" s="69">
        <v>6.7810225260352144E-2</v>
      </c>
    </row>
    <row r="9400" spans="1:7" x14ac:dyDescent="0.3">
      <c r="A9400" s="24">
        <v>44278</v>
      </c>
      <c r="B9400" s="66">
        <v>1718.4426000000001</v>
      </c>
      <c r="C9400" s="66">
        <v>1703.07</v>
      </c>
      <c r="D9400" s="70"/>
      <c r="E9400" s="111">
        <f t="shared" si="150"/>
        <v>138710</v>
      </c>
      <c r="F9400" s="69">
        <v>6.2240460272991453E-2</v>
      </c>
      <c r="G9400" s="69">
        <v>6.5000000000000002E-2</v>
      </c>
    </row>
    <row r="9401" spans="1:7" x14ac:dyDescent="0.3">
      <c r="A9401" s="24">
        <v>44279</v>
      </c>
      <c r="B9401" s="66">
        <v>1718.4426000000001</v>
      </c>
      <c r="C9401" s="66">
        <v>1707.92</v>
      </c>
      <c r="D9401" s="70"/>
      <c r="E9401" s="111">
        <f t="shared" si="150"/>
        <v>138710</v>
      </c>
      <c r="F9401" s="69">
        <v>6.2240460272991453E-2</v>
      </c>
      <c r="G9401" s="69">
        <v>6.6468751697669443E-2</v>
      </c>
    </row>
    <row r="9402" spans="1:7" x14ac:dyDescent="0.3">
      <c r="A9402" s="24">
        <v>44280</v>
      </c>
      <c r="B9402" s="66">
        <v>1718.4426000000001</v>
      </c>
      <c r="C9402" s="66">
        <v>1706</v>
      </c>
      <c r="D9402" s="70"/>
      <c r="E9402" s="111">
        <f t="shared" si="150"/>
        <v>138710</v>
      </c>
      <c r="F9402" s="69">
        <v>6.2240460272991453E-2</v>
      </c>
      <c r="G9402" s="69">
        <v>6.5203761755485895E-2</v>
      </c>
    </row>
    <row r="9403" spans="1:7" x14ac:dyDescent="0.3">
      <c r="A9403" s="24">
        <v>44281</v>
      </c>
      <c r="B9403" s="66">
        <v>1718.4426000000001</v>
      </c>
      <c r="C9403" s="66">
        <v>1710</v>
      </c>
      <c r="D9403" s="70">
        <v>14</v>
      </c>
      <c r="E9403" s="111">
        <f t="shared" si="150"/>
        <v>138710</v>
      </c>
      <c r="F9403" s="69">
        <v>7.0618983771278759E-2</v>
      </c>
      <c r="G9403" s="69">
        <v>7.4486344065048046E-2</v>
      </c>
    </row>
    <row r="9404" spans="1:7" x14ac:dyDescent="0.3">
      <c r="A9404" s="24">
        <v>44282</v>
      </c>
      <c r="B9404" s="66">
        <v>1718.4426000000001</v>
      </c>
      <c r="C9404" s="66">
        <v>1710</v>
      </c>
      <c r="D9404" s="70"/>
      <c r="E9404" s="111">
        <f t="shared" si="150"/>
        <v>138710</v>
      </c>
      <c r="F9404" s="69">
        <v>6.2240460272991453E-2</v>
      </c>
      <c r="G9404" s="69">
        <v>6.564898120987285E-2</v>
      </c>
    </row>
    <row r="9405" spans="1:7" x14ac:dyDescent="0.3">
      <c r="A9405" s="24">
        <v>44283</v>
      </c>
      <c r="B9405" s="66">
        <v>1718.4426000000001</v>
      </c>
      <c r="C9405" s="66">
        <v>1710</v>
      </c>
      <c r="D9405" s="70"/>
      <c r="E9405" s="111">
        <f t="shared" si="150"/>
        <v>138710</v>
      </c>
      <c r="F9405" s="69">
        <v>6.2240460272991453E-2</v>
      </c>
      <c r="G9405" s="69">
        <v>6.564898120987285E-2</v>
      </c>
    </row>
    <row r="9406" spans="1:7" x14ac:dyDescent="0.3">
      <c r="A9406" s="24">
        <v>44284</v>
      </c>
      <c r="B9406" s="66">
        <v>1718.4426000000001</v>
      </c>
      <c r="C9406" s="66">
        <v>1741.16</v>
      </c>
      <c r="D9406" s="70"/>
      <c r="E9406" s="111">
        <f t="shared" si="150"/>
        <v>138710</v>
      </c>
      <c r="F9406" s="69">
        <v>6.2240460272991453E-2</v>
      </c>
      <c r="G9406" s="69">
        <v>6.6218924859348452E-2</v>
      </c>
    </row>
    <row r="9407" spans="1:7" x14ac:dyDescent="0.3">
      <c r="A9407" s="24">
        <v>44285</v>
      </c>
      <c r="B9407" s="66">
        <v>1718.4426000000001</v>
      </c>
      <c r="C9407" s="66">
        <v>1789.85</v>
      </c>
      <c r="D9407" s="70"/>
      <c r="E9407" s="111">
        <f t="shared" si="150"/>
        <v>138710</v>
      </c>
      <c r="F9407" s="69">
        <v>6.2240460272991453E-2</v>
      </c>
      <c r="G9407" s="69">
        <v>6.7153963375261513E-2</v>
      </c>
    </row>
    <row r="9408" spans="1:7" x14ac:dyDescent="0.3">
      <c r="A9408" s="24">
        <v>44286</v>
      </c>
      <c r="B9408" s="66">
        <v>1718.4426000000001</v>
      </c>
      <c r="C9408" s="66">
        <v>1790</v>
      </c>
      <c r="D9408" s="70"/>
      <c r="E9408" s="111">
        <f t="shared" si="150"/>
        <v>138710</v>
      </c>
      <c r="F9408" s="69">
        <v>6.2240460272991453E-2</v>
      </c>
      <c r="G9408" s="69">
        <v>6.7906615344936222E-2</v>
      </c>
    </row>
    <row r="9409" spans="1:7" x14ac:dyDescent="0.3">
      <c r="A9409" s="24">
        <v>44287</v>
      </c>
      <c r="B9409" s="66">
        <v>1718.4426000000001</v>
      </c>
      <c r="C9409" s="66">
        <v>1789.97</v>
      </c>
      <c r="D9409" s="70"/>
      <c r="E9409" s="111">
        <f t="shared" si="150"/>
        <v>138710</v>
      </c>
      <c r="F9409" s="69">
        <v>6.2240460272991453E-2</v>
      </c>
      <c r="G9409" s="69">
        <v>6.756655793215148E-2</v>
      </c>
    </row>
    <row r="9410" spans="1:7" x14ac:dyDescent="0.3">
      <c r="A9410" s="24">
        <v>44288</v>
      </c>
      <c r="B9410" s="66">
        <v>1718.4426000000001</v>
      </c>
      <c r="C9410" s="66">
        <v>1789.97</v>
      </c>
      <c r="D9410" s="70"/>
      <c r="E9410" s="111">
        <f t="shared" si="150"/>
        <v>138710</v>
      </c>
      <c r="F9410" s="69">
        <v>6.2240460272991453E-2</v>
      </c>
      <c r="G9410" s="69">
        <v>6.9332085355796921E-2</v>
      </c>
    </row>
    <row r="9411" spans="1:7" x14ac:dyDescent="0.3">
      <c r="A9411" s="24">
        <v>44289</v>
      </c>
      <c r="B9411" s="66">
        <v>1718.4426000000001</v>
      </c>
      <c r="C9411" s="66">
        <v>1789.97</v>
      </c>
      <c r="D9411" s="70"/>
      <c r="E9411" s="111">
        <f t="shared" si="150"/>
        <v>138710</v>
      </c>
      <c r="F9411" s="69">
        <v>6.2240460272991453E-2</v>
      </c>
      <c r="G9411" s="69">
        <v>6.9332085355796921E-2</v>
      </c>
    </row>
    <row r="9412" spans="1:7" x14ac:dyDescent="0.3">
      <c r="A9412" s="24">
        <v>44290</v>
      </c>
      <c r="B9412" s="66">
        <v>1718.4426000000001</v>
      </c>
      <c r="C9412" s="66">
        <v>1789.97</v>
      </c>
      <c r="D9412" s="70"/>
      <c r="E9412" s="111">
        <f t="shared" si="150"/>
        <v>138710</v>
      </c>
      <c r="F9412" s="69">
        <v>6.2240460272991453E-2</v>
      </c>
      <c r="G9412" s="69">
        <v>6.9332085355796921E-2</v>
      </c>
    </row>
    <row r="9413" spans="1:7" x14ac:dyDescent="0.3">
      <c r="A9413" s="24">
        <v>44291</v>
      </c>
      <c r="B9413" s="66">
        <v>1718.4426000000001</v>
      </c>
      <c r="C9413" s="66">
        <v>1790</v>
      </c>
      <c r="D9413" s="70"/>
      <c r="E9413" s="111">
        <f t="shared" si="150"/>
        <v>138710</v>
      </c>
      <c r="F9413" s="69">
        <v>6.2240460272991453E-2</v>
      </c>
      <c r="G9413" s="69">
        <v>6.9297021693965691E-2</v>
      </c>
    </row>
    <row r="9414" spans="1:7" x14ac:dyDescent="0.3">
      <c r="A9414" s="24">
        <v>44292</v>
      </c>
      <c r="B9414" s="66">
        <v>1718.4426000000001</v>
      </c>
      <c r="C9414" s="66">
        <v>1787.51</v>
      </c>
      <c r="D9414" s="70"/>
      <c r="E9414" s="111">
        <f t="shared" si="150"/>
        <v>138710</v>
      </c>
      <c r="F9414" s="69">
        <v>6.2240460272991453E-2</v>
      </c>
      <c r="G9414" s="69">
        <v>6.7973856209150321E-2</v>
      </c>
    </row>
    <row r="9415" spans="1:7" x14ac:dyDescent="0.3">
      <c r="A9415" s="24">
        <v>44293</v>
      </c>
      <c r="B9415" s="66">
        <v>1718.4426000000001</v>
      </c>
      <c r="C9415" s="66">
        <v>1765.33</v>
      </c>
      <c r="D9415" s="70"/>
      <c r="E9415" s="111">
        <f t="shared" si="150"/>
        <v>138710</v>
      </c>
      <c r="F9415" s="69">
        <v>6.2240460272991453E-2</v>
      </c>
      <c r="G9415" s="69">
        <v>6.6916617390728059E-2</v>
      </c>
    </row>
    <row r="9416" spans="1:7" x14ac:dyDescent="0.3">
      <c r="A9416" s="24">
        <v>44294</v>
      </c>
      <c r="B9416" s="66">
        <v>1718.4426000000001</v>
      </c>
      <c r="C9416" s="66">
        <v>1761.94</v>
      </c>
      <c r="D9416" s="70"/>
      <c r="E9416" s="111">
        <f t="shared" si="150"/>
        <v>138710</v>
      </c>
      <c r="F9416" s="69">
        <v>6.2240460272991453E-2</v>
      </c>
      <c r="G9416" s="69">
        <v>6.6031746031746039E-2</v>
      </c>
    </row>
    <row r="9417" spans="1:7" x14ac:dyDescent="0.3">
      <c r="A9417" s="24">
        <v>44295</v>
      </c>
      <c r="B9417" s="66">
        <v>1718.4426000000001</v>
      </c>
      <c r="C9417" s="66">
        <v>1790</v>
      </c>
      <c r="D9417" s="70"/>
      <c r="E9417" s="111">
        <f t="shared" ref="E9417:E9480" si="151">+E9416</f>
        <v>138710</v>
      </c>
      <c r="F9417" s="69">
        <v>6.2240460272991453E-2</v>
      </c>
      <c r="G9417" s="69">
        <v>6.6031746031746039E-2</v>
      </c>
    </row>
    <row r="9418" spans="1:7" x14ac:dyDescent="0.3">
      <c r="A9418" s="24">
        <v>44296</v>
      </c>
      <c r="B9418" s="66">
        <v>1718.4426000000001</v>
      </c>
      <c r="C9418" s="66">
        <v>1790</v>
      </c>
      <c r="D9418" s="70"/>
      <c r="E9418" s="111">
        <f t="shared" si="151"/>
        <v>138710</v>
      </c>
      <c r="F9418" s="69">
        <v>6.2240460272991453E-2</v>
      </c>
      <c r="G9418" s="69">
        <v>6.6031746031746039E-2</v>
      </c>
    </row>
    <row r="9419" spans="1:7" x14ac:dyDescent="0.3">
      <c r="A9419" s="24">
        <v>44297</v>
      </c>
      <c r="B9419" s="66">
        <v>1718.4426000000001</v>
      </c>
      <c r="C9419" s="66">
        <v>1790</v>
      </c>
      <c r="D9419" s="70"/>
      <c r="E9419" s="111">
        <f t="shared" si="151"/>
        <v>138710</v>
      </c>
      <c r="F9419" s="69">
        <v>6.2240460272991453E-2</v>
      </c>
      <c r="G9419" s="69">
        <v>6.6031746031746039E-2</v>
      </c>
    </row>
    <row r="9420" spans="1:7" x14ac:dyDescent="0.3">
      <c r="A9420" s="24">
        <v>44298</v>
      </c>
      <c r="B9420" s="66">
        <v>1718.4426000000001</v>
      </c>
      <c r="C9420" s="66">
        <v>1760</v>
      </c>
      <c r="D9420" s="70"/>
      <c r="E9420" s="111">
        <f t="shared" si="151"/>
        <v>138710</v>
      </c>
      <c r="F9420" s="69">
        <v>6.2240460272991453E-2</v>
      </c>
      <c r="G9420" s="69">
        <v>6.5203761755485895E-2</v>
      </c>
    </row>
    <row r="9421" spans="1:7" x14ac:dyDescent="0.3">
      <c r="A9421" s="24">
        <v>44299</v>
      </c>
      <c r="B9421" s="66">
        <v>1718.4426000000001</v>
      </c>
      <c r="C9421" s="66">
        <v>1760</v>
      </c>
      <c r="D9421" s="70"/>
      <c r="E9421" s="111">
        <f t="shared" si="151"/>
        <v>138710</v>
      </c>
      <c r="F9421" s="69">
        <v>6.2240460272991453E-2</v>
      </c>
      <c r="G9421" s="69">
        <v>6.0818713450292397E-2</v>
      </c>
    </row>
    <row r="9422" spans="1:7" x14ac:dyDescent="0.3">
      <c r="A9422" s="24">
        <v>44300</v>
      </c>
      <c r="B9422" s="66">
        <v>1718.4426000000001</v>
      </c>
      <c r="C9422" s="66">
        <v>1750</v>
      </c>
      <c r="D9422" s="70"/>
      <c r="E9422" s="111">
        <f t="shared" si="151"/>
        <v>138710</v>
      </c>
      <c r="F9422" s="69">
        <v>6.2240460272991453E-2</v>
      </c>
      <c r="G9422" s="69">
        <v>5.9942363112391928E-2</v>
      </c>
    </row>
    <row r="9423" spans="1:7" x14ac:dyDescent="0.3">
      <c r="A9423" s="24">
        <v>44301</v>
      </c>
      <c r="B9423" s="66">
        <v>1718.4426000000001</v>
      </c>
      <c r="C9423" s="66">
        <v>1730.05</v>
      </c>
      <c r="D9423" s="70"/>
      <c r="E9423" s="111">
        <f t="shared" si="151"/>
        <v>138710</v>
      </c>
      <c r="F9423" s="69">
        <v>6.2240460272991453E-2</v>
      </c>
      <c r="G9423" s="69">
        <v>5.9819001505828327E-2</v>
      </c>
    </row>
    <row r="9424" spans="1:7" x14ac:dyDescent="0.3">
      <c r="A9424" s="24">
        <v>44302</v>
      </c>
      <c r="B9424" s="66">
        <v>1718.4426000000001</v>
      </c>
      <c r="C9424" s="66">
        <v>1735</v>
      </c>
      <c r="D9424" s="70"/>
      <c r="E9424" s="111">
        <f t="shared" si="151"/>
        <v>138710</v>
      </c>
      <c r="F9424" s="69">
        <v>6.2240460272991453E-2</v>
      </c>
      <c r="G9424" s="69">
        <v>5.9440527466096044E-2</v>
      </c>
    </row>
    <row r="9425" spans="1:7" x14ac:dyDescent="0.3">
      <c r="A9425" s="24">
        <v>44303</v>
      </c>
      <c r="B9425" s="66">
        <v>1718.4426000000001</v>
      </c>
      <c r="C9425" s="66">
        <v>1735</v>
      </c>
      <c r="D9425" s="70"/>
      <c r="E9425" s="111">
        <f t="shared" si="151"/>
        <v>138710</v>
      </c>
      <c r="F9425" s="69">
        <v>6.2240460272991453E-2</v>
      </c>
      <c r="G9425" s="69">
        <v>5.9440527466096044E-2</v>
      </c>
    </row>
    <row r="9426" spans="1:7" x14ac:dyDescent="0.3">
      <c r="A9426" s="24">
        <v>44304</v>
      </c>
      <c r="B9426" s="66">
        <v>1718.4426000000001</v>
      </c>
      <c r="C9426" s="66">
        <v>1735</v>
      </c>
      <c r="D9426" s="70"/>
      <c r="E9426" s="111">
        <f t="shared" si="151"/>
        <v>138710</v>
      </c>
      <c r="F9426" s="69">
        <v>6.2240460272991453E-2</v>
      </c>
      <c r="G9426" s="69">
        <v>5.9440527466096044E-2</v>
      </c>
    </row>
    <row r="9427" spans="1:7" x14ac:dyDescent="0.3">
      <c r="A9427" s="24">
        <v>44305</v>
      </c>
      <c r="B9427" s="66">
        <v>1718.4426000000001</v>
      </c>
      <c r="C9427" s="66">
        <v>1736.35</v>
      </c>
      <c r="D9427" s="70"/>
      <c r="E9427" s="111">
        <f t="shared" si="151"/>
        <v>138710</v>
      </c>
      <c r="F9427" s="69">
        <v>6.2240460272991453E-2</v>
      </c>
      <c r="G9427" s="69">
        <v>5.904806569324416E-2</v>
      </c>
    </row>
    <row r="9428" spans="1:7" x14ac:dyDescent="0.3">
      <c r="A9428" s="24">
        <v>44306</v>
      </c>
      <c r="B9428" s="66">
        <v>1718.4426000000001</v>
      </c>
      <c r="C9428" s="66">
        <v>1750</v>
      </c>
      <c r="D9428" s="70"/>
      <c r="E9428" s="111">
        <f t="shared" si="151"/>
        <v>138710</v>
      </c>
      <c r="F9428" s="69">
        <v>6.2240460272991453E-2</v>
      </c>
      <c r="G9428" s="69">
        <v>5.9479315781978563E-2</v>
      </c>
    </row>
    <row r="9429" spans="1:7" x14ac:dyDescent="0.3">
      <c r="A9429" s="24">
        <v>44307</v>
      </c>
      <c r="B9429" s="66">
        <v>1718.4426000000001</v>
      </c>
      <c r="C9429" s="66">
        <v>1750</v>
      </c>
      <c r="D9429" s="70"/>
      <c r="E9429" s="111">
        <f t="shared" si="151"/>
        <v>138710</v>
      </c>
      <c r="F9429" s="69">
        <v>6.2240460272991453E-2</v>
      </c>
      <c r="G9429" s="69">
        <v>5.9428571428571428E-2</v>
      </c>
    </row>
    <row r="9430" spans="1:7" x14ac:dyDescent="0.3">
      <c r="A9430" s="24">
        <v>44308</v>
      </c>
      <c r="B9430" s="66">
        <v>1718.4426000000001</v>
      </c>
      <c r="C9430" s="66">
        <v>1753.2</v>
      </c>
      <c r="D9430" s="70"/>
      <c r="E9430" s="111">
        <f t="shared" si="151"/>
        <v>138710</v>
      </c>
      <c r="F9430" s="69">
        <v>6.2240460272991453E-2</v>
      </c>
      <c r="G9430" s="69">
        <v>5.9576832632064369E-2</v>
      </c>
    </row>
    <row r="9431" spans="1:7" x14ac:dyDescent="0.3">
      <c r="A9431" s="24">
        <v>44309</v>
      </c>
      <c r="B9431" s="66">
        <v>1718.4426000000001</v>
      </c>
      <c r="C9431" s="66">
        <v>1754</v>
      </c>
      <c r="D9431" s="70"/>
      <c r="E9431" s="111">
        <f t="shared" si="151"/>
        <v>138710</v>
      </c>
      <c r="F9431" s="69">
        <v>6.2240460272991453E-2</v>
      </c>
      <c r="G9431" s="69">
        <v>5.9497044026668403E-2</v>
      </c>
    </row>
    <row r="9432" spans="1:7" x14ac:dyDescent="0.3">
      <c r="A9432" s="24">
        <v>44310</v>
      </c>
      <c r="B9432" s="66">
        <v>1718.4426000000001</v>
      </c>
      <c r="C9432" s="66">
        <v>1754</v>
      </c>
      <c r="D9432" s="70"/>
      <c r="E9432" s="111">
        <f t="shared" si="151"/>
        <v>138710</v>
      </c>
      <c r="F9432" s="69">
        <v>3.9498753634783036E-2</v>
      </c>
      <c r="G9432" s="69">
        <v>3.7757739478462643E-2</v>
      </c>
    </row>
    <row r="9433" spans="1:7" x14ac:dyDescent="0.3">
      <c r="A9433" s="24">
        <v>44311</v>
      </c>
      <c r="B9433" s="66">
        <v>1718.4426000000001</v>
      </c>
      <c r="C9433" s="66">
        <v>1754</v>
      </c>
      <c r="D9433" s="70"/>
      <c r="E9433" s="111">
        <f t="shared" si="151"/>
        <v>138710</v>
      </c>
      <c r="F9433" s="69">
        <v>3.9498753634783036E-2</v>
      </c>
      <c r="G9433" s="69">
        <v>3.7757739478462643E-2</v>
      </c>
    </row>
    <row r="9434" spans="1:7" x14ac:dyDescent="0.3">
      <c r="A9434" s="24">
        <v>44312</v>
      </c>
      <c r="B9434" s="66">
        <v>1718.4426000000001</v>
      </c>
      <c r="C9434" s="66">
        <v>1743</v>
      </c>
      <c r="D9434" s="70"/>
      <c r="E9434" s="111">
        <f t="shared" si="151"/>
        <v>138710</v>
      </c>
      <c r="F9434" s="69">
        <v>3.9498753634783036E-2</v>
      </c>
      <c r="G9434" s="69">
        <v>3.774260345047456E-2</v>
      </c>
    </row>
    <row r="9435" spans="1:7" x14ac:dyDescent="0.3">
      <c r="A9435" s="24">
        <v>44313</v>
      </c>
      <c r="B9435" s="66">
        <v>1718.4426000000001</v>
      </c>
      <c r="C9435" s="66">
        <v>1771.32</v>
      </c>
      <c r="D9435" s="70"/>
      <c r="E9435" s="111">
        <f t="shared" si="151"/>
        <v>138710</v>
      </c>
      <c r="F9435" s="69">
        <v>3.9498753634783036E-2</v>
      </c>
      <c r="G9435" s="69">
        <v>3.7797699838157124E-2</v>
      </c>
    </row>
    <row r="9436" spans="1:7" x14ac:dyDescent="0.3">
      <c r="A9436" s="24">
        <v>44314</v>
      </c>
      <c r="B9436" s="66">
        <v>1718.4426000000001</v>
      </c>
      <c r="C9436" s="66">
        <v>1740</v>
      </c>
      <c r="D9436" s="70">
        <v>40</v>
      </c>
      <c r="E9436" s="111">
        <f t="shared" si="151"/>
        <v>138710</v>
      </c>
      <c r="F9436" s="69">
        <v>6.3437392201318207E-2</v>
      </c>
      <c r="G9436" s="69">
        <v>6.0587285129479605E-2</v>
      </c>
    </row>
    <row r="9437" spans="1:7" x14ac:dyDescent="0.3">
      <c r="A9437" s="24">
        <v>44315</v>
      </c>
      <c r="B9437" s="66">
        <v>1718.4426000000001</v>
      </c>
      <c r="C9437" s="66">
        <v>1660</v>
      </c>
      <c r="D9437" s="70"/>
      <c r="E9437" s="111">
        <f t="shared" si="151"/>
        <v>138710</v>
      </c>
      <c r="F9437" s="69">
        <v>6.3437392201318207E-2</v>
      </c>
      <c r="G9437" s="69">
        <v>6.0980731239508153E-2</v>
      </c>
    </row>
    <row r="9438" spans="1:7" x14ac:dyDescent="0.3">
      <c r="A9438" s="24">
        <v>44316</v>
      </c>
      <c r="B9438" s="66">
        <v>1718.4426000000001</v>
      </c>
      <c r="C9438" s="66">
        <v>1660</v>
      </c>
      <c r="D9438" s="70"/>
      <c r="E9438" s="111">
        <f t="shared" si="151"/>
        <v>138710</v>
      </c>
      <c r="F9438" s="69">
        <v>6.3437392201318207E-2</v>
      </c>
      <c r="G9438" s="69">
        <v>6.0980731239508153E-2</v>
      </c>
    </row>
    <row r="9439" spans="1:7" x14ac:dyDescent="0.3">
      <c r="A9439" s="24">
        <v>44317</v>
      </c>
      <c r="B9439" s="66">
        <v>1718.4426000000001</v>
      </c>
      <c r="C9439" s="66">
        <v>1660</v>
      </c>
      <c r="D9439" s="70"/>
      <c r="E9439" s="111">
        <f t="shared" si="151"/>
        <v>138710</v>
      </c>
      <c r="F9439" s="69">
        <v>6.3437392201318207E-2</v>
      </c>
      <c r="G9439" s="69">
        <v>6.0980731239508153E-2</v>
      </c>
    </row>
    <row r="9440" spans="1:7" x14ac:dyDescent="0.3">
      <c r="A9440" s="24">
        <v>44318</v>
      </c>
      <c r="B9440" s="66">
        <v>1718.4426000000001</v>
      </c>
      <c r="C9440" s="66">
        <v>1660</v>
      </c>
      <c r="D9440" s="70"/>
      <c r="E9440" s="111">
        <f t="shared" si="151"/>
        <v>138710</v>
      </c>
      <c r="F9440" s="69">
        <v>6.3437392201318207E-2</v>
      </c>
      <c r="G9440" s="69">
        <v>6.0980731239508153E-2</v>
      </c>
    </row>
    <row r="9441" spans="1:7" x14ac:dyDescent="0.3">
      <c r="A9441" s="24">
        <v>44319</v>
      </c>
      <c r="B9441" s="66">
        <v>1718.4426000000001</v>
      </c>
      <c r="C9441" s="66">
        <v>1658.37</v>
      </c>
      <c r="D9441" s="70"/>
      <c r="E9441" s="111">
        <f t="shared" si="151"/>
        <v>138710</v>
      </c>
      <c r="F9441" s="69">
        <v>6.3437392201318207E-2</v>
      </c>
      <c r="G9441" s="69">
        <v>6.1320768360797515E-2</v>
      </c>
    </row>
    <row r="9442" spans="1:7" x14ac:dyDescent="0.3">
      <c r="A9442" s="24">
        <v>44320</v>
      </c>
      <c r="B9442" s="66">
        <v>1718.4426000000001</v>
      </c>
      <c r="C9442" s="66">
        <v>1648.01</v>
      </c>
      <c r="D9442" s="70"/>
      <c r="E9442" s="111">
        <f t="shared" si="151"/>
        <v>138710</v>
      </c>
      <c r="F9442" s="69">
        <v>6.3437392201318207E-2</v>
      </c>
      <c r="G9442" s="69">
        <v>6.1449275362318839E-2</v>
      </c>
    </row>
    <row r="9443" spans="1:7" x14ac:dyDescent="0.3">
      <c r="A9443" s="24">
        <v>44321</v>
      </c>
      <c r="B9443" s="66">
        <v>1718.4426000000001</v>
      </c>
      <c r="C9443" s="66">
        <v>1630.52</v>
      </c>
      <c r="D9443" s="70"/>
      <c r="E9443" s="111">
        <f t="shared" si="151"/>
        <v>138710</v>
      </c>
      <c r="F9443" s="69">
        <v>6.3437392201318207E-2</v>
      </c>
      <c r="G9443" s="69">
        <v>6.2214824266598745E-2</v>
      </c>
    </row>
    <row r="9444" spans="1:7" x14ac:dyDescent="0.3">
      <c r="A9444" s="24">
        <v>44322</v>
      </c>
      <c r="B9444" s="66">
        <v>1718.4426000000001</v>
      </c>
      <c r="C9444" s="66">
        <v>1645.56</v>
      </c>
      <c r="D9444" s="70"/>
      <c r="E9444" s="111">
        <f t="shared" si="151"/>
        <v>138710</v>
      </c>
      <c r="F9444" s="69">
        <v>6.3437392201318207E-2</v>
      </c>
      <c r="G9444" s="69">
        <v>6.3020214030915581E-2</v>
      </c>
    </row>
    <row r="9445" spans="1:7" x14ac:dyDescent="0.3">
      <c r="A9445" s="24">
        <v>44323</v>
      </c>
      <c r="B9445" s="66">
        <v>1718.4426000000001</v>
      </c>
      <c r="C9445" s="66">
        <v>1650</v>
      </c>
      <c r="D9445" s="70"/>
      <c r="E9445" s="111">
        <f t="shared" si="151"/>
        <v>138710</v>
      </c>
      <c r="F9445" s="69">
        <v>6.3437392201318207E-2</v>
      </c>
      <c r="G9445" s="69">
        <v>6.4809210244746479E-2</v>
      </c>
    </row>
    <row r="9446" spans="1:7" x14ac:dyDescent="0.3">
      <c r="A9446" s="24">
        <v>44324</v>
      </c>
      <c r="B9446" s="66">
        <v>1718.4426000000001</v>
      </c>
      <c r="C9446" s="66">
        <v>1650</v>
      </c>
      <c r="D9446" s="70"/>
      <c r="E9446" s="111">
        <f t="shared" si="151"/>
        <v>138710</v>
      </c>
      <c r="F9446" s="69">
        <v>6.3437392201318207E-2</v>
      </c>
      <c r="G9446" s="69">
        <v>6.4809210244746479E-2</v>
      </c>
    </row>
    <row r="9447" spans="1:7" x14ac:dyDescent="0.3">
      <c r="A9447" s="24">
        <v>44325</v>
      </c>
      <c r="B9447" s="66">
        <v>1718.4426000000001</v>
      </c>
      <c r="C9447" s="66">
        <v>1650</v>
      </c>
      <c r="D9447" s="70"/>
      <c r="E9447" s="111">
        <f t="shared" si="151"/>
        <v>138710</v>
      </c>
      <c r="F9447" s="69">
        <v>6.3437392201318207E-2</v>
      </c>
      <c r="G9447" s="69">
        <v>6.4809210244746479E-2</v>
      </c>
    </row>
    <row r="9448" spans="1:7" x14ac:dyDescent="0.3">
      <c r="A9448" s="24">
        <v>44326</v>
      </c>
      <c r="B9448" s="66">
        <v>1718.4426000000001</v>
      </c>
      <c r="C9448" s="66">
        <v>1652.75</v>
      </c>
      <c r="D9448" s="70"/>
      <c r="E9448" s="111">
        <f t="shared" si="151"/>
        <v>138710</v>
      </c>
      <c r="F9448" s="69">
        <v>6.3437392201318207E-2</v>
      </c>
      <c r="G9448" s="69">
        <v>6.6099252392512325E-2</v>
      </c>
    </row>
    <row r="9449" spans="1:7" x14ac:dyDescent="0.3">
      <c r="A9449" s="24">
        <v>44327</v>
      </c>
      <c r="B9449" s="66">
        <v>1718.4426000000001</v>
      </c>
      <c r="C9449" s="66">
        <v>1653</v>
      </c>
      <c r="D9449" s="70"/>
      <c r="E9449" s="111">
        <f t="shared" si="151"/>
        <v>138710</v>
      </c>
      <c r="F9449" s="69">
        <v>6.3437392201318207E-2</v>
      </c>
      <c r="G9449" s="69">
        <v>6.5074590214255018E-2</v>
      </c>
    </row>
    <row r="9450" spans="1:7" x14ac:dyDescent="0.3">
      <c r="A9450" s="24">
        <v>44328</v>
      </c>
      <c r="B9450" s="66">
        <v>1718.4426000000001</v>
      </c>
      <c r="C9450" s="66">
        <v>1653.94</v>
      </c>
      <c r="D9450" s="70"/>
      <c r="E9450" s="111">
        <f t="shared" si="151"/>
        <v>138710</v>
      </c>
      <c r="F9450" s="69">
        <v>6.3437392201318207E-2</v>
      </c>
      <c r="G9450" s="69">
        <v>6.6208619612742034E-2</v>
      </c>
    </row>
    <row r="9451" spans="1:7" x14ac:dyDescent="0.3">
      <c r="A9451" s="24">
        <v>44329</v>
      </c>
      <c r="B9451" s="66">
        <v>1718.4426000000001</v>
      </c>
      <c r="C9451" s="66">
        <v>1657.5</v>
      </c>
      <c r="D9451" s="70"/>
      <c r="E9451" s="111">
        <f t="shared" si="151"/>
        <v>138710</v>
      </c>
      <c r="F9451" s="69">
        <v>6.3437392201318207E-2</v>
      </c>
      <c r="G9451" s="69">
        <v>6.6244203632182183E-2</v>
      </c>
    </row>
    <row r="9452" spans="1:7" x14ac:dyDescent="0.3">
      <c r="A9452" s="24">
        <v>44330</v>
      </c>
      <c r="B9452" s="66">
        <v>1718.4426000000001</v>
      </c>
      <c r="C9452" s="66">
        <v>1635.28</v>
      </c>
      <c r="D9452" s="70"/>
      <c r="E9452" s="111">
        <f t="shared" si="151"/>
        <v>138710</v>
      </c>
      <c r="F9452" s="69">
        <v>6.3437392201318207E-2</v>
      </c>
      <c r="G9452" s="69">
        <v>6.8604107056061847E-2</v>
      </c>
    </row>
    <row r="9453" spans="1:7" x14ac:dyDescent="0.3">
      <c r="A9453" s="24">
        <v>44331</v>
      </c>
      <c r="B9453" s="66">
        <v>1718.4426000000001</v>
      </c>
      <c r="C9453" s="66">
        <v>1635.28</v>
      </c>
      <c r="D9453" s="70"/>
      <c r="E9453" s="111">
        <f t="shared" si="151"/>
        <v>138710</v>
      </c>
      <c r="F9453" s="69">
        <v>6.3437392201318207E-2</v>
      </c>
      <c r="G9453" s="69">
        <v>6.8604107056061847E-2</v>
      </c>
    </row>
    <row r="9454" spans="1:7" x14ac:dyDescent="0.3">
      <c r="A9454" s="24">
        <v>44332</v>
      </c>
      <c r="B9454" s="66">
        <v>1718.4426000000001</v>
      </c>
      <c r="C9454" s="66">
        <v>1635.28</v>
      </c>
      <c r="D9454" s="70"/>
      <c r="E9454" s="111">
        <f t="shared" si="151"/>
        <v>138710</v>
      </c>
      <c r="F9454" s="69">
        <v>6.3437392201318207E-2</v>
      </c>
      <c r="G9454" s="69">
        <v>6.8604107056061847E-2</v>
      </c>
    </row>
    <row r="9455" spans="1:7" x14ac:dyDescent="0.3">
      <c r="A9455" s="24">
        <v>44333</v>
      </c>
      <c r="B9455" s="66">
        <v>1718.4426000000001</v>
      </c>
      <c r="C9455" s="66">
        <v>1541.44</v>
      </c>
      <c r="D9455" s="70"/>
      <c r="E9455" s="111">
        <f t="shared" si="151"/>
        <v>138710</v>
      </c>
      <c r="F9455" s="69">
        <v>6.3437392201318207E-2</v>
      </c>
      <c r="G9455" s="69">
        <v>6.7942315692046965E-2</v>
      </c>
    </row>
    <row r="9456" spans="1:7" x14ac:dyDescent="0.3">
      <c r="A9456" s="24">
        <v>44334</v>
      </c>
      <c r="B9456" s="66">
        <v>1718.4426000000001</v>
      </c>
      <c r="C9456" s="66">
        <v>1468.51</v>
      </c>
      <c r="D9456" s="70"/>
      <c r="E9456" s="111">
        <f t="shared" si="151"/>
        <v>138710</v>
      </c>
      <c r="F9456" s="69">
        <v>6.3437392201318207E-2</v>
      </c>
      <c r="G9456" s="69">
        <v>6.751592356687898E-2</v>
      </c>
    </row>
    <row r="9457" spans="1:7" x14ac:dyDescent="0.3">
      <c r="A9457" s="24">
        <v>44335</v>
      </c>
      <c r="B9457" s="66">
        <v>1718.4426000000001</v>
      </c>
      <c r="C9457" s="66">
        <v>1502.07</v>
      </c>
      <c r="D9457" s="70"/>
      <c r="E9457" s="111">
        <f t="shared" si="151"/>
        <v>138710</v>
      </c>
      <c r="F9457" s="69">
        <v>6.210088464467748E-2</v>
      </c>
      <c r="G9457" s="69">
        <v>6.9638111756030102E-2</v>
      </c>
    </row>
    <row r="9458" spans="1:7" x14ac:dyDescent="0.3">
      <c r="A9458" s="24">
        <v>44336</v>
      </c>
      <c r="B9458" s="66">
        <v>1708.9526000000001</v>
      </c>
      <c r="C9458" s="66">
        <v>1505.26</v>
      </c>
      <c r="D9458" s="70"/>
      <c r="E9458" s="111">
        <f t="shared" si="151"/>
        <v>138710</v>
      </c>
      <c r="F9458" s="69">
        <v>6.210088464467748E-2</v>
      </c>
      <c r="G9458" s="69">
        <v>6.9638111756030102E-2</v>
      </c>
    </row>
    <row r="9459" spans="1:7" x14ac:dyDescent="0.3">
      <c r="A9459" s="24">
        <v>44337</v>
      </c>
      <c r="B9459" s="66">
        <v>1708.9526000000001</v>
      </c>
      <c r="C9459" s="66">
        <v>1505.26</v>
      </c>
      <c r="D9459" s="70"/>
      <c r="E9459" s="111">
        <f t="shared" si="151"/>
        <v>138710</v>
      </c>
      <c r="F9459" s="69">
        <v>6.210088464467748E-2</v>
      </c>
      <c r="G9459" s="69">
        <v>6.6291432145090687E-2</v>
      </c>
    </row>
    <row r="9460" spans="1:7" x14ac:dyDescent="0.3">
      <c r="A9460" s="24">
        <v>44338</v>
      </c>
      <c r="B9460" s="66">
        <v>1708.9526000000001</v>
      </c>
      <c r="C9460" s="66">
        <v>1505.26</v>
      </c>
      <c r="D9460" s="70"/>
      <c r="E9460" s="111">
        <f t="shared" si="151"/>
        <v>138710</v>
      </c>
      <c r="F9460" s="69">
        <v>6.210088464467748E-2</v>
      </c>
      <c r="G9460" s="69">
        <v>6.6291432145090687E-2</v>
      </c>
    </row>
    <row r="9461" spans="1:7" x14ac:dyDescent="0.3">
      <c r="A9461" s="24">
        <v>44339</v>
      </c>
      <c r="B9461" s="66">
        <v>1708.9526000000001</v>
      </c>
      <c r="C9461" s="66">
        <v>1505.26</v>
      </c>
      <c r="D9461" s="70"/>
      <c r="E9461" s="111">
        <f t="shared" si="151"/>
        <v>138710</v>
      </c>
      <c r="F9461" s="69">
        <v>6.210088464467748E-2</v>
      </c>
      <c r="G9461" s="69">
        <v>6.6291432145090687E-2</v>
      </c>
    </row>
    <row r="9462" spans="1:7" x14ac:dyDescent="0.3">
      <c r="A9462" s="24">
        <v>44340</v>
      </c>
      <c r="B9462" s="66">
        <v>1708.9526000000001</v>
      </c>
      <c r="C9462" s="66">
        <v>1506.9</v>
      </c>
      <c r="D9462" s="70"/>
      <c r="E9462" s="111">
        <f t="shared" si="151"/>
        <v>138710</v>
      </c>
      <c r="F9462" s="69">
        <v>6.210088464467748E-2</v>
      </c>
      <c r="G9462" s="69">
        <v>6.629309050883074E-2</v>
      </c>
    </row>
    <row r="9463" spans="1:7" x14ac:dyDescent="0.3">
      <c r="A9463" s="24">
        <v>44341</v>
      </c>
      <c r="B9463" s="66">
        <v>1708.9526000000001</v>
      </c>
      <c r="C9463" s="66">
        <v>1521.37</v>
      </c>
      <c r="D9463" s="70"/>
      <c r="E9463" s="111">
        <f t="shared" si="151"/>
        <v>138710</v>
      </c>
      <c r="F9463" s="69">
        <v>6.210088464467748E-2</v>
      </c>
      <c r="G9463" s="69">
        <v>6.766336073699443E-2</v>
      </c>
    </row>
    <row r="9464" spans="1:7" x14ac:dyDescent="0.3">
      <c r="A9464" s="24">
        <v>44342</v>
      </c>
      <c r="B9464" s="66">
        <v>1708.9526000000001</v>
      </c>
      <c r="C9464" s="66">
        <v>1515</v>
      </c>
      <c r="D9464" s="70"/>
      <c r="E9464" s="111">
        <f t="shared" si="151"/>
        <v>138710</v>
      </c>
      <c r="F9464" s="69">
        <v>6.210088464467748E-2</v>
      </c>
      <c r="G9464" s="69">
        <v>6.7688378033205626E-2</v>
      </c>
    </row>
    <row r="9465" spans="1:7" x14ac:dyDescent="0.3">
      <c r="A9465" s="24">
        <v>44343</v>
      </c>
      <c r="B9465" s="66">
        <v>1708.9526000000001</v>
      </c>
      <c r="C9465" s="66">
        <v>1515</v>
      </c>
      <c r="D9465" s="70"/>
      <c r="E9465" s="111">
        <f t="shared" si="151"/>
        <v>138710</v>
      </c>
      <c r="F9465" s="69">
        <v>6.210088464467748E-2</v>
      </c>
      <c r="G9465" s="69">
        <v>6.8211068211068204E-2</v>
      </c>
    </row>
    <row r="9466" spans="1:7" x14ac:dyDescent="0.3">
      <c r="A9466" s="24">
        <v>44344</v>
      </c>
      <c r="B9466" s="66">
        <v>1708.9526000000001</v>
      </c>
      <c r="C9466" s="66">
        <v>1480</v>
      </c>
      <c r="D9466" s="70"/>
      <c r="E9466" s="111">
        <f t="shared" si="151"/>
        <v>138710</v>
      </c>
      <c r="F9466" s="69">
        <v>6.210088464467748E-2</v>
      </c>
      <c r="G9466" s="69">
        <v>6.8387096774193551E-2</v>
      </c>
    </row>
    <row r="9467" spans="1:7" x14ac:dyDescent="0.3">
      <c r="A9467" s="24">
        <v>44345</v>
      </c>
      <c r="B9467" s="66">
        <v>1708.9526000000001</v>
      </c>
      <c r="C9467" s="66">
        <v>1480</v>
      </c>
      <c r="D9467" s="70"/>
      <c r="E9467" s="111">
        <f t="shared" si="151"/>
        <v>138710</v>
      </c>
      <c r="F9467" s="69">
        <v>6.210088464467748E-2</v>
      </c>
      <c r="G9467" s="69">
        <v>6.8387096774193551E-2</v>
      </c>
    </row>
    <row r="9468" spans="1:7" x14ac:dyDescent="0.3">
      <c r="A9468" s="24">
        <v>44346</v>
      </c>
      <c r="B9468" s="66">
        <v>1708.9526000000001</v>
      </c>
      <c r="C9468" s="66">
        <v>1480</v>
      </c>
      <c r="D9468" s="70"/>
      <c r="E9468" s="111">
        <f t="shared" si="151"/>
        <v>138710</v>
      </c>
      <c r="F9468" s="69">
        <v>6.210088464467748E-2</v>
      </c>
      <c r="G9468" s="69">
        <v>6.8387096774193551E-2</v>
      </c>
    </row>
    <row r="9469" spans="1:7" x14ac:dyDescent="0.3">
      <c r="A9469" s="24">
        <v>44347</v>
      </c>
      <c r="B9469" s="66">
        <v>1708.9526000000001</v>
      </c>
      <c r="C9469" s="66">
        <v>1477.19</v>
      </c>
      <c r="D9469" s="70"/>
      <c r="E9469" s="111">
        <f t="shared" si="151"/>
        <v>138710</v>
      </c>
      <c r="F9469" s="69">
        <v>6.210088464467748E-2</v>
      </c>
      <c r="G9469" s="69">
        <v>6.8387096774193551E-2</v>
      </c>
    </row>
    <row r="9470" spans="1:7" x14ac:dyDescent="0.3">
      <c r="A9470" s="24">
        <v>44348</v>
      </c>
      <c r="B9470" s="66">
        <v>1708.9526000000001</v>
      </c>
      <c r="C9470" s="66">
        <v>1492.38</v>
      </c>
      <c r="D9470" s="70"/>
      <c r="E9470" s="111">
        <f t="shared" si="151"/>
        <v>138710</v>
      </c>
      <c r="F9470" s="69">
        <v>6.210088464467748E-2</v>
      </c>
      <c r="G9470" s="69">
        <v>6.8831168831168826E-2</v>
      </c>
    </row>
    <row r="9471" spans="1:7" x14ac:dyDescent="0.3">
      <c r="A9471" s="24">
        <v>44349</v>
      </c>
      <c r="B9471" s="66">
        <v>1708.9526000000001</v>
      </c>
      <c r="C9471" s="66">
        <v>1492.38</v>
      </c>
      <c r="D9471" s="70"/>
      <c r="E9471" s="111">
        <f t="shared" si="151"/>
        <v>138710</v>
      </c>
      <c r="F9471" s="69">
        <v>6.210088464467748E-2</v>
      </c>
      <c r="G9471" s="69">
        <v>6.9032438733710622E-2</v>
      </c>
    </row>
    <row r="9472" spans="1:7" x14ac:dyDescent="0.3">
      <c r="A9472" s="24">
        <v>44350</v>
      </c>
      <c r="B9472" s="66">
        <v>1708.9526000000001</v>
      </c>
      <c r="C9472" s="66">
        <v>1480.93</v>
      </c>
      <c r="D9472" s="70"/>
      <c r="E9472" s="111">
        <f t="shared" si="151"/>
        <v>138710</v>
      </c>
      <c r="F9472" s="69">
        <v>6.210088464467748E-2</v>
      </c>
      <c r="G9472" s="69">
        <v>6.8831168831168826E-2</v>
      </c>
    </row>
    <row r="9473" spans="1:7" x14ac:dyDescent="0.3">
      <c r="A9473" s="24">
        <v>44351</v>
      </c>
      <c r="B9473" s="66">
        <v>1708.9526000000001</v>
      </c>
      <c r="C9473" s="66">
        <v>1455</v>
      </c>
      <c r="D9473" s="70"/>
      <c r="E9473" s="111">
        <f t="shared" si="151"/>
        <v>138710</v>
      </c>
      <c r="F9473" s="69">
        <v>6.210088464467748E-2</v>
      </c>
      <c r="G9473" s="69">
        <v>6.6666666666666666E-2</v>
      </c>
    </row>
    <row r="9474" spans="1:7" x14ac:dyDescent="0.3">
      <c r="A9474" s="24">
        <v>44352</v>
      </c>
      <c r="B9474" s="66">
        <v>1708.9526000000001</v>
      </c>
      <c r="C9474" s="66">
        <v>1455</v>
      </c>
      <c r="D9474" s="70"/>
      <c r="E9474" s="111">
        <f t="shared" si="151"/>
        <v>138710</v>
      </c>
      <c r="F9474" s="69">
        <v>6.210088464467748E-2</v>
      </c>
      <c r="G9474" s="69">
        <v>6.6666666666666666E-2</v>
      </c>
    </row>
    <row r="9475" spans="1:7" x14ac:dyDescent="0.3">
      <c r="A9475" s="24">
        <v>44353</v>
      </c>
      <c r="B9475" s="66">
        <v>1708.9526000000001</v>
      </c>
      <c r="C9475" s="66">
        <v>1455</v>
      </c>
      <c r="D9475" s="70"/>
      <c r="E9475" s="111">
        <f t="shared" si="151"/>
        <v>138710</v>
      </c>
      <c r="F9475" s="69">
        <v>6.210088464467748E-2</v>
      </c>
      <c r="G9475" s="69">
        <v>6.6666666666666666E-2</v>
      </c>
    </row>
    <row r="9476" spans="1:7" x14ac:dyDescent="0.3">
      <c r="A9476" s="24">
        <v>44354</v>
      </c>
      <c r="B9476" s="66">
        <v>1708.9526000000001</v>
      </c>
      <c r="C9476" s="66">
        <v>1467.42</v>
      </c>
      <c r="D9476" s="70"/>
      <c r="E9476" s="111">
        <f t="shared" si="151"/>
        <v>138710</v>
      </c>
      <c r="F9476" s="69">
        <v>6.210088464467748E-2</v>
      </c>
      <c r="G9476" s="69">
        <v>6.6613668999192466E-2</v>
      </c>
    </row>
    <row r="9477" spans="1:7" x14ac:dyDescent="0.3">
      <c r="A9477" s="24">
        <v>44355</v>
      </c>
      <c r="B9477" s="66">
        <v>1708.9526000000001</v>
      </c>
      <c r="C9477" s="66">
        <v>1464.39</v>
      </c>
      <c r="D9477" s="70"/>
      <c r="E9477" s="111">
        <f t="shared" si="151"/>
        <v>138710</v>
      </c>
      <c r="F9477" s="69">
        <v>6.210088464467748E-2</v>
      </c>
      <c r="G9477" s="69">
        <v>6.6487318171297674E-2</v>
      </c>
    </row>
    <row r="9478" spans="1:7" x14ac:dyDescent="0.3">
      <c r="A9478" s="24">
        <v>44356</v>
      </c>
      <c r="B9478" s="66">
        <v>1708.9526000000001</v>
      </c>
      <c r="C9478" s="66">
        <v>1460</v>
      </c>
      <c r="D9478" s="70"/>
      <c r="E9478" s="111">
        <f t="shared" si="151"/>
        <v>138710</v>
      </c>
      <c r="F9478" s="69">
        <v>6.210088464467748E-2</v>
      </c>
      <c r="G9478" s="69">
        <v>6.6518067813287549E-2</v>
      </c>
    </row>
    <row r="9479" spans="1:7" x14ac:dyDescent="0.3">
      <c r="A9479" s="24">
        <v>44357</v>
      </c>
      <c r="B9479" s="66">
        <v>1708.9526000000001</v>
      </c>
      <c r="C9479" s="66">
        <v>1419.68</v>
      </c>
      <c r="D9479" s="70"/>
      <c r="E9479" s="111">
        <f t="shared" si="151"/>
        <v>138710</v>
      </c>
      <c r="F9479" s="69">
        <v>6.210088464467748E-2</v>
      </c>
      <c r="G9479" s="69">
        <v>6.6666666666666666E-2</v>
      </c>
    </row>
    <row r="9480" spans="1:7" x14ac:dyDescent="0.3">
      <c r="A9480" s="24">
        <v>44358</v>
      </c>
      <c r="B9480" s="66">
        <v>1708.9526000000001</v>
      </c>
      <c r="C9480" s="66">
        <v>1382.26</v>
      </c>
      <c r="D9480" s="70"/>
      <c r="E9480" s="111">
        <f t="shared" si="151"/>
        <v>138710</v>
      </c>
      <c r="F9480" s="69">
        <v>6.210088464467748E-2</v>
      </c>
      <c r="G9480" s="69">
        <v>6.6666666666666666E-2</v>
      </c>
    </row>
    <row r="9481" spans="1:7" x14ac:dyDescent="0.3">
      <c r="A9481" s="24">
        <v>44359</v>
      </c>
      <c r="B9481" s="66">
        <v>1708.9526000000001</v>
      </c>
      <c r="C9481" s="66">
        <v>1382.26</v>
      </c>
      <c r="D9481" s="70"/>
      <c r="E9481" s="111">
        <f t="shared" ref="E9481:E9544" si="152">+E9480</f>
        <v>138710</v>
      </c>
      <c r="F9481" s="69">
        <v>6.210088464467748E-2</v>
      </c>
      <c r="G9481" s="69">
        <v>6.6666666666666666E-2</v>
      </c>
    </row>
    <row r="9482" spans="1:7" x14ac:dyDescent="0.3">
      <c r="A9482" s="24">
        <v>44360</v>
      </c>
      <c r="B9482" s="66">
        <v>1708.9526000000001</v>
      </c>
      <c r="C9482" s="66">
        <v>1382.26</v>
      </c>
      <c r="D9482" s="70"/>
      <c r="E9482" s="111">
        <f t="shared" si="152"/>
        <v>138710</v>
      </c>
      <c r="F9482" s="69">
        <v>6.210088464467748E-2</v>
      </c>
      <c r="G9482" s="69">
        <v>6.6666666666666666E-2</v>
      </c>
    </row>
    <row r="9483" spans="1:7" x14ac:dyDescent="0.3">
      <c r="A9483" s="24">
        <v>44361</v>
      </c>
      <c r="B9483" s="66">
        <v>1708.9526000000001</v>
      </c>
      <c r="C9483" s="66">
        <v>1388.41</v>
      </c>
      <c r="D9483" s="70"/>
      <c r="E9483" s="111">
        <f t="shared" si="152"/>
        <v>138710</v>
      </c>
      <c r="F9483" s="69">
        <v>6.210088464467748E-2</v>
      </c>
      <c r="G9483" s="69">
        <v>6.6848671634910387E-2</v>
      </c>
    </row>
    <row r="9484" spans="1:7" x14ac:dyDescent="0.3">
      <c r="A9484" s="24">
        <v>44362</v>
      </c>
      <c r="B9484" s="66">
        <v>1708.9526000000001</v>
      </c>
      <c r="C9484" s="66">
        <v>1385</v>
      </c>
      <c r="D9484" s="70"/>
      <c r="E9484" s="111">
        <f t="shared" si="152"/>
        <v>138710</v>
      </c>
      <c r="F9484" s="69">
        <v>6.210088464467748E-2</v>
      </c>
      <c r="G9484" s="69">
        <v>6.6873554095973647E-2</v>
      </c>
    </row>
    <row r="9485" spans="1:7" x14ac:dyDescent="0.3">
      <c r="A9485" s="24">
        <v>44363</v>
      </c>
      <c r="B9485" s="66">
        <v>1708.9526000000001</v>
      </c>
      <c r="C9485" s="66">
        <v>1392.71</v>
      </c>
      <c r="D9485" s="70"/>
      <c r="E9485" s="111">
        <f t="shared" si="152"/>
        <v>138710</v>
      </c>
      <c r="F9485" s="69">
        <v>6.210088464467748E-2</v>
      </c>
      <c r="G9485" s="69">
        <v>6.6873554095973647E-2</v>
      </c>
    </row>
    <row r="9486" spans="1:7" x14ac:dyDescent="0.3">
      <c r="A9486" s="24">
        <v>44364</v>
      </c>
      <c r="B9486" s="66">
        <v>1708.9526000000001</v>
      </c>
      <c r="C9486" s="66">
        <v>1400.07</v>
      </c>
      <c r="D9486" s="70"/>
      <c r="E9486" s="111">
        <f t="shared" si="152"/>
        <v>138710</v>
      </c>
      <c r="F9486" s="69">
        <v>6.210088464467748E-2</v>
      </c>
      <c r="G9486" s="69">
        <v>6.6873554095973647E-2</v>
      </c>
    </row>
    <row r="9487" spans="1:7" x14ac:dyDescent="0.3">
      <c r="A9487" s="24">
        <v>44365</v>
      </c>
      <c r="B9487" s="66">
        <v>1708.9526000000001</v>
      </c>
      <c r="C9487" s="66">
        <v>1400.07</v>
      </c>
      <c r="D9487" s="70"/>
      <c r="E9487" s="111">
        <f t="shared" si="152"/>
        <v>138710</v>
      </c>
      <c r="F9487" s="69">
        <v>6.210088464467748E-2</v>
      </c>
      <c r="G9487" s="69">
        <v>6.7626581329576871E-2</v>
      </c>
    </row>
    <row r="9488" spans="1:7" x14ac:dyDescent="0.3">
      <c r="A9488" s="24">
        <v>44366</v>
      </c>
      <c r="B9488" s="66">
        <v>1708.9526000000001</v>
      </c>
      <c r="C9488" s="66">
        <v>1400.07</v>
      </c>
      <c r="D9488" s="70"/>
      <c r="E9488" s="111">
        <f t="shared" si="152"/>
        <v>138710</v>
      </c>
      <c r="F9488" s="69">
        <v>6.210088464467748E-2</v>
      </c>
      <c r="G9488" s="69">
        <v>6.7626581329576871E-2</v>
      </c>
    </row>
    <row r="9489" spans="1:7" x14ac:dyDescent="0.3">
      <c r="A9489" s="24">
        <v>44367</v>
      </c>
      <c r="B9489" s="66">
        <v>1708.9526000000001</v>
      </c>
      <c r="C9489" s="66">
        <v>1400.07</v>
      </c>
      <c r="D9489" s="70"/>
      <c r="E9489" s="111">
        <f t="shared" si="152"/>
        <v>138710</v>
      </c>
      <c r="F9489" s="69">
        <v>6.210088464467748E-2</v>
      </c>
      <c r="G9489" s="69">
        <v>6.7626581329576871E-2</v>
      </c>
    </row>
    <row r="9490" spans="1:7" x14ac:dyDescent="0.3">
      <c r="A9490" s="24">
        <v>44368</v>
      </c>
      <c r="B9490" s="66">
        <v>1708.9526000000001</v>
      </c>
      <c r="C9490" s="66">
        <v>1400.07</v>
      </c>
      <c r="D9490" s="70"/>
      <c r="E9490" s="111">
        <f t="shared" si="152"/>
        <v>138710</v>
      </c>
      <c r="F9490" s="69">
        <v>6.210088464467748E-2</v>
      </c>
      <c r="G9490" s="69">
        <v>6.6043613707165105E-2</v>
      </c>
    </row>
    <row r="9491" spans="1:7" x14ac:dyDescent="0.3">
      <c r="A9491" s="24">
        <v>44369</v>
      </c>
      <c r="B9491" s="66">
        <v>1708.9526000000001</v>
      </c>
      <c r="C9491" s="66">
        <v>1388.22</v>
      </c>
      <c r="D9491" s="70"/>
      <c r="E9491" s="111">
        <f t="shared" si="152"/>
        <v>138710</v>
      </c>
      <c r="F9491" s="69">
        <v>6.210088464467748E-2</v>
      </c>
      <c r="G9491" s="69">
        <v>6.6582914572864318E-2</v>
      </c>
    </row>
    <row r="9492" spans="1:7" x14ac:dyDescent="0.3">
      <c r="A9492" s="24">
        <v>44370</v>
      </c>
      <c r="B9492" s="66">
        <v>1708.9526000000001</v>
      </c>
      <c r="C9492" s="66">
        <v>1430.26</v>
      </c>
      <c r="D9492" s="70"/>
      <c r="E9492" s="111">
        <f t="shared" si="152"/>
        <v>138710</v>
      </c>
      <c r="F9492" s="69">
        <v>6.210088464467748E-2</v>
      </c>
      <c r="G9492" s="69">
        <v>6.7088607594936706E-2</v>
      </c>
    </row>
    <row r="9493" spans="1:7" x14ac:dyDescent="0.3">
      <c r="A9493" s="24">
        <v>44371</v>
      </c>
      <c r="B9493" s="66">
        <v>1708.9526000000001</v>
      </c>
      <c r="C9493" s="66">
        <v>1403.42</v>
      </c>
      <c r="D9493" s="70">
        <v>16</v>
      </c>
      <c r="E9493" s="111">
        <f t="shared" si="152"/>
        <v>138710</v>
      </c>
      <c r="F9493" s="69">
        <v>6.210088464467748E-2</v>
      </c>
      <c r="G9493" s="69">
        <v>6.7088607594936706E-2</v>
      </c>
    </row>
    <row r="9494" spans="1:7" x14ac:dyDescent="0.3">
      <c r="A9494" s="24">
        <v>44372</v>
      </c>
      <c r="B9494" s="66">
        <v>1708.9526000000001</v>
      </c>
      <c r="C9494" s="66">
        <v>1407.8</v>
      </c>
      <c r="D9494" s="70"/>
      <c r="E9494" s="111">
        <f t="shared" si="152"/>
        <v>138710</v>
      </c>
      <c r="F9494" s="69">
        <v>6.210088464467748E-2</v>
      </c>
      <c r="G9494" s="69">
        <v>6.6866635756618067E-2</v>
      </c>
    </row>
    <row r="9495" spans="1:7" x14ac:dyDescent="0.3">
      <c r="A9495" s="24">
        <v>44373</v>
      </c>
      <c r="B9495" s="66">
        <v>1708.9526000000001</v>
      </c>
      <c r="C9495" s="66">
        <v>1407.8</v>
      </c>
      <c r="D9495" s="70"/>
      <c r="E9495" s="111">
        <f t="shared" si="152"/>
        <v>138710</v>
      </c>
      <c r="F9495" s="69">
        <v>6.210088464467748E-2</v>
      </c>
      <c r="G9495" s="69">
        <v>6.6866635756618067E-2</v>
      </c>
    </row>
    <row r="9496" spans="1:7" x14ac:dyDescent="0.3">
      <c r="A9496" s="24">
        <v>44374</v>
      </c>
      <c r="B9496" s="66">
        <v>1708.9526000000001</v>
      </c>
      <c r="C9496" s="66">
        <v>1407.8</v>
      </c>
      <c r="D9496" s="70"/>
      <c r="E9496" s="111">
        <f t="shared" si="152"/>
        <v>138710</v>
      </c>
      <c r="F9496" s="69">
        <v>6.210088464467748E-2</v>
      </c>
      <c r="G9496" s="69">
        <v>6.6866635756618067E-2</v>
      </c>
    </row>
    <row r="9497" spans="1:7" x14ac:dyDescent="0.3">
      <c r="A9497" s="24">
        <v>44375</v>
      </c>
      <c r="B9497" s="66">
        <v>1708.9526000000001</v>
      </c>
      <c r="C9497" s="66">
        <v>1407.8</v>
      </c>
      <c r="D9497" s="70"/>
      <c r="E9497" s="111">
        <f t="shared" si="152"/>
        <v>138710</v>
      </c>
      <c r="F9497" s="69">
        <v>6.210088464467748E-2</v>
      </c>
      <c r="G9497" s="69">
        <v>6.6866635756618067E-2</v>
      </c>
    </row>
    <row r="9498" spans="1:7" x14ac:dyDescent="0.3">
      <c r="A9498" s="24">
        <v>44376</v>
      </c>
      <c r="B9498" s="66">
        <v>1708.9526000000001</v>
      </c>
      <c r="C9498" s="66">
        <v>1420.13</v>
      </c>
      <c r="D9498" s="70"/>
      <c r="E9498" s="111">
        <f t="shared" si="152"/>
        <v>138710</v>
      </c>
      <c r="F9498" s="69">
        <v>6.210088464467748E-2</v>
      </c>
      <c r="G9498" s="69">
        <v>6.4634146341463417E-2</v>
      </c>
    </row>
    <row r="9499" spans="1:7" x14ac:dyDescent="0.3">
      <c r="A9499" s="24">
        <v>44377</v>
      </c>
      <c r="B9499" s="66">
        <v>1708.9526000000001</v>
      </c>
      <c r="C9499" s="66">
        <v>1461.85</v>
      </c>
      <c r="D9499" s="70"/>
      <c r="E9499" s="111">
        <f t="shared" si="152"/>
        <v>138710</v>
      </c>
      <c r="F9499" s="69">
        <v>6.210088464467748E-2</v>
      </c>
      <c r="G9499" s="69">
        <v>6.6470265843438694E-2</v>
      </c>
    </row>
    <row r="9500" spans="1:7" x14ac:dyDescent="0.3">
      <c r="A9500" s="24">
        <v>44378</v>
      </c>
      <c r="B9500" s="66">
        <v>1708.9526000000001</v>
      </c>
      <c r="C9500" s="66">
        <v>1490.21</v>
      </c>
      <c r="D9500" s="70"/>
      <c r="E9500" s="111">
        <f t="shared" si="152"/>
        <v>138710</v>
      </c>
      <c r="F9500" s="69">
        <v>6.210088464467748E-2</v>
      </c>
      <c r="G9500" s="69">
        <v>6.6384719490115249E-2</v>
      </c>
    </row>
    <row r="9501" spans="1:7" x14ac:dyDescent="0.3">
      <c r="A9501" s="24">
        <v>44379</v>
      </c>
      <c r="B9501" s="66">
        <v>1708.9526000000001</v>
      </c>
      <c r="C9501" s="66">
        <v>1462.85</v>
      </c>
      <c r="D9501" s="70"/>
      <c r="E9501" s="111">
        <f t="shared" si="152"/>
        <v>138710</v>
      </c>
      <c r="F9501" s="69">
        <v>6.210088464467748E-2</v>
      </c>
      <c r="G9501" s="69">
        <v>6.4634579866084466E-2</v>
      </c>
    </row>
    <row r="9502" spans="1:7" x14ac:dyDescent="0.3">
      <c r="A9502" s="24">
        <v>44380</v>
      </c>
      <c r="B9502" s="66">
        <v>1708.9526000000001</v>
      </c>
      <c r="C9502" s="66">
        <v>1462.85</v>
      </c>
      <c r="D9502" s="70"/>
      <c r="E9502" s="111">
        <f t="shared" si="152"/>
        <v>138710</v>
      </c>
      <c r="F9502" s="69">
        <v>6.210088464467748E-2</v>
      </c>
      <c r="G9502" s="69">
        <v>6.4634579866084466E-2</v>
      </c>
    </row>
    <row r="9503" spans="1:7" x14ac:dyDescent="0.3">
      <c r="A9503" s="24">
        <v>44381</v>
      </c>
      <c r="B9503" s="66">
        <v>1708.9526000000001</v>
      </c>
      <c r="C9503" s="66">
        <v>1462.85</v>
      </c>
      <c r="D9503" s="70"/>
      <c r="E9503" s="111">
        <f t="shared" si="152"/>
        <v>138710</v>
      </c>
      <c r="F9503" s="69">
        <v>6.210088464467748E-2</v>
      </c>
      <c r="G9503" s="69">
        <v>6.4634579866084466E-2</v>
      </c>
    </row>
    <row r="9504" spans="1:7" x14ac:dyDescent="0.3">
      <c r="A9504" s="24">
        <v>44382</v>
      </c>
      <c r="B9504" s="66">
        <v>1708.9526000000001</v>
      </c>
      <c r="C9504" s="66">
        <v>1492.7</v>
      </c>
      <c r="D9504" s="70"/>
      <c r="E9504" s="111">
        <f t="shared" si="152"/>
        <v>138710</v>
      </c>
      <c r="F9504" s="69">
        <v>6.210088464467748E-2</v>
      </c>
      <c r="G9504" s="69">
        <v>6.5634674922600625E-2</v>
      </c>
    </row>
    <row r="9505" spans="1:7" x14ac:dyDescent="0.3">
      <c r="A9505" s="24">
        <v>44383</v>
      </c>
      <c r="B9505" s="66">
        <v>1708.9526000000001</v>
      </c>
      <c r="C9505" s="66">
        <v>1430</v>
      </c>
      <c r="D9505" s="70"/>
      <c r="E9505" s="111">
        <f t="shared" si="152"/>
        <v>138710</v>
      </c>
      <c r="F9505" s="69">
        <v>6.210088464467748E-2</v>
      </c>
      <c r="G9505" s="69">
        <v>6.494676203628931E-2</v>
      </c>
    </row>
    <row r="9506" spans="1:7" x14ac:dyDescent="0.3">
      <c r="A9506" s="24">
        <v>44384</v>
      </c>
      <c r="B9506" s="66">
        <v>1708.9526000000001</v>
      </c>
      <c r="C9506" s="66">
        <v>1405.71</v>
      </c>
      <c r="D9506" s="70"/>
      <c r="E9506" s="111">
        <f t="shared" si="152"/>
        <v>138710</v>
      </c>
      <c r="F9506" s="69">
        <v>6.210088464467748E-2</v>
      </c>
      <c r="G9506" s="69">
        <v>6.4910610129117002E-2</v>
      </c>
    </row>
    <row r="9507" spans="1:7" x14ac:dyDescent="0.3">
      <c r="A9507" s="24">
        <v>44385</v>
      </c>
      <c r="B9507" s="66">
        <v>1708.9526000000001</v>
      </c>
      <c r="C9507" s="66">
        <v>1405.12</v>
      </c>
      <c r="D9507" s="70"/>
      <c r="E9507" s="111">
        <f t="shared" si="152"/>
        <v>138710</v>
      </c>
      <c r="F9507" s="69">
        <v>6.210088464467748E-2</v>
      </c>
      <c r="G9507" s="69">
        <v>6.4847907186738718E-2</v>
      </c>
    </row>
    <row r="9508" spans="1:7" x14ac:dyDescent="0.3">
      <c r="A9508" s="24">
        <v>44386</v>
      </c>
      <c r="B9508" s="66">
        <v>1708.9526000000001</v>
      </c>
      <c r="C9508" s="66">
        <v>1389.36</v>
      </c>
      <c r="D9508" s="70"/>
      <c r="E9508" s="111">
        <f t="shared" si="152"/>
        <v>138710</v>
      </c>
      <c r="F9508" s="69">
        <v>6.210088464467748E-2</v>
      </c>
      <c r="G9508" s="69">
        <v>6.5695244717885404E-2</v>
      </c>
    </row>
    <row r="9509" spans="1:7" x14ac:dyDescent="0.3">
      <c r="A9509" s="24">
        <v>44387</v>
      </c>
      <c r="B9509" s="66">
        <v>1708.9526000000001</v>
      </c>
      <c r="C9509" s="66">
        <v>1389.36</v>
      </c>
      <c r="D9509" s="70"/>
      <c r="E9509" s="111">
        <f t="shared" si="152"/>
        <v>138710</v>
      </c>
      <c r="F9509" s="69">
        <v>6.210088464467748E-2</v>
      </c>
      <c r="G9509" s="69">
        <v>6.5695244717885404E-2</v>
      </c>
    </row>
    <row r="9510" spans="1:7" x14ac:dyDescent="0.3">
      <c r="A9510" s="24">
        <v>44388</v>
      </c>
      <c r="B9510" s="66">
        <v>1708.9526000000001</v>
      </c>
      <c r="C9510" s="66">
        <v>1389.36</v>
      </c>
      <c r="D9510" s="70"/>
      <c r="E9510" s="111">
        <f t="shared" si="152"/>
        <v>138710</v>
      </c>
      <c r="F9510" s="69">
        <v>6.210088464467748E-2</v>
      </c>
      <c r="G9510" s="69">
        <v>6.5695244717885404E-2</v>
      </c>
    </row>
    <row r="9511" spans="1:7" x14ac:dyDescent="0.3">
      <c r="A9511" s="24">
        <v>44389</v>
      </c>
      <c r="B9511" s="66">
        <v>1708.9526000000001</v>
      </c>
      <c r="C9511" s="66">
        <v>1390</v>
      </c>
      <c r="D9511" s="70"/>
      <c r="E9511" s="111">
        <f t="shared" si="152"/>
        <v>138710</v>
      </c>
      <c r="F9511" s="69">
        <v>6.210088464467748E-2</v>
      </c>
      <c r="G9511" s="69">
        <v>6.5695244717885404E-2</v>
      </c>
    </row>
    <row r="9512" spans="1:7" x14ac:dyDescent="0.3">
      <c r="A9512" s="24">
        <v>44390</v>
      </c>
      <c r="B9512" s="66">
        <v>1708.9526000000001</v>
      </c>
      <c r="C9512" s="66">
        <v>1413.7</v>
      </c>
      <c r="D9512" s="70"/>
      <c r="E9512" s="111">
        <f t="shared" si="152"/>
        <v>138710</v>
      </c>
      <c r="F9512" s="69">
        <v>6.210088464467748E-2</v>
      </c>
      <c r="G9512" s="69">
        <v>6.4465827637838286E-2</v>
      </c>
    </row>
    <row r="9513" spans="1:7" x14ac:dyDescent="0.3">
      <c r="A9513" s="24">
        <v>44391</v>
      </c>
      <c r="B9513" s="66">
        <v>1708.9526000000001</v>
      </c>
      <c r="C9513" s="66">
        <v>1490</v>
      </c>
      <c r="D9513" s="70"/>
      <c r="E9513" s="111">
        <f t="shared" si="152"/>
        <v>138710</v>
      </c>
      <c r="F9513" s="69">
        <v>6.210088464467748E-2</v>
      </c>
      <c r="G9513" s="69">
        <v>6.4161308793852137E-2</v>
      </c>
    </row>
    <row r="9514" spans="1:7" x14ac:dyDescent="0.3">
      <c r="A9514" s="24">
        <v>44392</v>
      </c>
      <c r="B9514" s="66">
        <v>1708.9526000000001</v>
      </c>
      <c r="C9514" s="66">
        <v>1458.2</v>
      </c>
      <c r="D9514" s="70"/>
      <c r="E9514" s="111">
        <f t="shared" si="152"/>
        <v>138710</v>
      </c>
      <c r="F9514" s="69">
        <v>6.210088464467748E-2</v>
      </c>
      <c r="G9514" s="69">
        <v>6.4161308793852137E-2</v>
      </c>
    </row>
    <row r="9515" spans="1:7" x14ac:dyDescent="0.3">
      <c r="A9515" s="24">
        <v>44393</v>
      </c>
      <c r="B9515" s="66">
        <v>1708.9526000000001</v>
      </c>
      <c r="C9515" s="66">
        <v>1458.2</v>
      </c>
      <c r="D9515" s="70"/>
      <c r="E9515" s="111">
        <f t="shared" si="152"/>
        <v>138710</v>
      </c>
      <c r="F9515" s="69">
        <v>6.210088464467748E-2</v>
      </c>
      <c r="G9515" s="69">
        <v>6.7115538766821622E-2</v>
      </c>
    </row>
    <row r="9516" spans="1:7" x14ac:dyDescent="0.3">
      <c r="A9516" s="24">
        <v>44394</v>
      </c>
      <c r="B9516" s="66">
        <v>1708.9526000000001</v>
      </c>
      <c r="C9516" s="66">
        <v>1458.2</v>
      </c>
      <c r="D9516" s="70"/>
      <c r="E9516" s="111">
        <f t="shared" si="152"/>
        <v>138710</v>
      </c>
      <c r="F9516" s="69">
        <v>6.210088464467748E-2</v>
      </c>
      <c r="G9516" s="69">
        <v>6.7115538766821622E-2</v>
      </c>
    </row>
    <row r="9517" spans="1:7" x14ac:dyDescent="0.3">
      <c r="A9517" s="24">
        <v>44395</v>
      </c>
      <c r="B9517" s="66">
        <v>1708.9526000000001</v>
      </c>
      <c r="C9517" s="66">
        <v>1458.2</v>
      </c>
      <c r="D9517" s="70"/>
      <c r="E9517" s="111">
        <f t="shared" si="152"/>
        <v>138710</v>
      </c>
      <c r="F9517" s="69">
        <v>6.210088464467748E-2</v>
      </c>
      <c r="G9517" s="69">
        <v>6.7115538766821622E-2</v>
      </c>
    </row>
    <row r="9518" spans="1:7" x14ac:dyDescent="0.3">
      <c r="A9518" s="24">
        <v>44396</v>
      </c>
      <c r="B9518" s="66">
        <v>1708.9526000000001</v>
      </c>
      <c r="C9518" s="66">
        <v>1435.71</v>
      </c>
      <c r="D9518" s="70"/>
      <c r="E9518" s="111">
        <f t="shared" si="152"/>
        <v>138710</v>
      </c>
      <c r="F9518" s="69">
        <v>6.210088464467748E-2</v>
      </c>
      <c r="G9518" s="69">
        <v>6.6787135537560827E-2</v>
      </c>
    </row>
    <row r="9519" spans="1:7" x14ac:dyDescent="0.3">
      <c r="A9519" s="24">
        <v>44397</v>
      </c>
      <c r="B9519" s="66">
        <v>1708.9526000000001</v>
      </c>
      <c r="C9519" s="66">
        <v>1430</v>
      </c>
      <c r="D9519" s="70"/>
      <c r="E9519" s="111">
        <f t="shared" si="152"/>
        <v>138710</v>
      </c>
      <c r="F9519" s="69">
        <v>6.210088464467748E-2</v>
      </c>
      <c r="G9519" s="69">
        <v>6.7440836571765958E-2</v>
      </c>
    </row>
    <row r="9520" spans="1:7" x14ac:dyDescent="0.3">
      <c r="A9520" s="24">
        <v>44398</v>
      </c>
      <c r="B9520" s="66">
        <v>1708.9526000000001</v>
      </c>
      <c r="C9520" s="66">
        <v>1400.1</v>
      </c>
      <c r="D9520" s="70"/>
      <c r="E9520" s="111">
        <f t="shared" si="152"/>
        <v>138710</v>
      </c>
      <c r="F9520" s="69">
        <v>6.210088464467748E-2</v>
      </c>
      <c r="G9520" s="69">
        <v>7.0666666666666669E-2</v>
      </c>
    </row>
    <row r="9521" spans="1:7" x14ac:dyDescent="0.3">
      <c r="A9521" s="24">
        <v>44399</v>
      </c>
      <c r="B9521" s="66">
        <v>1708.9526000000001</v>
      </c>
      <c r="C9521" s="66">
        <v>1427.58</v>
      </c>
      <c r="D9521" s="70"/>
      <c r="E9521" s="111">
        <f t="shared" si="152"/>
        <v>138710</v>
      </c>
      <c r="F9521" s="69">
        <v>6.210088464467748E-2</v>
      </c>
      <c r="G9521" s="69">
        <v>6.9160805397152664E-2</v>
      </c>
    </row>
    <row r="9522" spans="1:7" x14ac:dyDescent="0.3">
      <c r="A9522" s="24">
        <v>44400</v>
      </c>
      <c r="B9522" s="66">
        <v>1708.9526000000001</v>
      </c>
      <c r="C9522" s="66">
        <v>1438.45</v>
      </c>
      <c r="D9522" s="70"/>
      <c r="E9522" s="111">
        <f t="shared" si="152"/>
        <v>138710</v>
      </c>
      <c r="F9522" s="69">
        <v>6.210088464467748E-2</v>
      </c>
      <c r="G9522" s="69">
        <v>6.8387096774193551E-2</v>
      </c>
    </row>
    <row r="9523" spans="1:7" x14ac:dyDescent="0.3">
      <c r="A9523" s="24">
        <v>44401</v>
      </c>
      <c r="B9523" s="66">
        <v>1708.9526000000001</v>
      </c>
      <c r="C9523" s="66">
        <v>1438.45</v>
      </c>
      <c r="D9523" s="70"/>
      <c r="E9523" s="111">
        <f t="shared" si="152"/>
        <v>138710</v>
      </c>
      <c r="F9523" s="69">
        <v>6.210088464467748E-2</v>
      </c>
      <c r="G9523" s="69">
        <v>6.8387096774193551E-2</v>
      </c>
    </row>
    <row r="9524" spans="1:7" x14ac:dyDescent="0.3">
      <c r="A9524" s="24">
        <v>44402</v>
      </c>
      <c r="B9524" s="66">
        <v>1708.9526000000001</v>
      </c>
      <c r="C9524" s="66">
        <v>1438.45</v>
      </c>
      <c r="D9524" s="70"/>
      <c r="E9524" s="111">
        <f t="shared" si="152"/>
        <v>138710</v>
      </c>
      <c r="F9524" s="69">
        <v>6.210088464467748E-2</v>
      </c>
      <c r="G9524" s="69">
        <v>6.8387096774193551E-2</v>
      </c>
    </row>
    <row r="9525" spans="1:7" x14ac:dyDescent="0.3">
      <c r="A9525" s="24">
        <v>44403</v>
      </c>
      <c r="B9525" s="66">
        <v>1708.9526000000001</v>
      </c>
      <c r="C9525" s="66">
        <v>1437.55</v>
      </c>
      <c r="D9525" s="70"/>
      <c r="E9525" s="111">
        <f t="shared" si="152"/>
        <v>138710</v>
      </c>
      <c r="F9525" s="69">
        <v>6.210088464467748E-2</v>
      </c>
      <c r="G9525" s="69">
        <v>6.7628954379804207E-2</v>
      </c>
    </row>
    <row r="9526" spans="1:7" x14ac:dyDescent="0.3">
      <c r="A9526" s="24">
        <v>44404</v>
      </c>
      <c r="B9526" s="66">
        <v>1708.9526000000001</v>
      </c>
      <c r="C9526" s="66">
        <v>1427.1</v>
      </c>
      <c r="D9526" s="70"/>
      <c r="E9526" s="111">
        <f t="shared" si="152"/>
        <v>138710</v>
      </c>
      <c r="F9526" s="69">
        <v>6.210088464467748E-2</v>
      </c>
      <c r="G9526" s="69">
        <v>6.751592356687898E-2</v>
      </c>
    </row>
    <row r="9527" spans="1:7" x14ac:dyDescent="0.3">
      <c r="A9527" s="24">
        <v>44405</v>
      </c>
      <c r="B9527" s="66">
        <v>1708.9526000000001</v>
      </c>
      <c r="C9527" s="66">
        <v>1440</v>
      </c>
      <c r="D9527" s="70"/>
      <c r="E9527" s="111">
        <f t="shared" si="152"/>
        <v>138710</v>
      </c>
      <c r="F9527" s="69">
        <v>6.210088464467748E-2</v>
      </c>
      <c r="G9527" s="69">
        <v>6.7769389717465586E-2</v>
      </c>
    </row>
    <row r="9528" spans="1:7" x14ac:dyDescent="0.3">
      <c r="A9528" s="24">
        <v>44406</v>
      </c>
      <c r="B9528" s="66">
        <v>1708.9526000000001</v>
      </c>
      <c r="C9528" s="66">
        <v>1440.23</v>
      </c>
      <c r="D9528" s="70"/>
      <c r="E9528" s="111">
        <f t="shared" si="152"/>
        <v>138710</v>
      </c>
      <c r="F9528" s="69">
        <v>6.210088464467748E-2</v>
      </c>
      <c r="G9528" s="69">
        <v>6.773162939297124E-2</v>
      </c>
    </row>
    <row r="9529" spans="1:7" x14ac:dyDescent="0.3">
      <c r="A9529" s="24">
        <v>44407</v>
      </c>
      <c r="B9529" s="66">
        <v>1708.9526000000001</v>
      </c>
      <c r="C9529" s="66">
        <v>1440.09</v>
      </c>
      <c r="D9529" s="70"/>
      <c r="E9529" s="111">
        <f t="shared" si="152"/>
        <v>138710</v>
      </c>
      <c r="F9529" s="69">
        <v>6.210088464467748E-2</v>
      </c>
      <c r="G9529" s="69">
        <v>6.8224721935985902E-2</v>
      </c>
    </row>
    <row r="9530" spans="1:7" x14ac:dyDescent="0.3">
      <c r="A9530" s="24">
        <v>44408</v>
      </c>
      <c r="B9530" s="66">
        <v>1708.9526000000001</v>
      </c>
      <c r="C9530" s="66">
        <v>1440.09</v>
      </c>
      <c r="D9530" s="70"/>
      <c r="E9530" s="111">
        <f t="shared" si="152"/>
        <v>138710</v>
      </c>
      <c r="F9530" s="69">
        <v>6.210088464467748E-2</v>
      </c>
      <c r="G9530" s="69">
        <v>6.8224721935985902E-2</v>
      </c>
    </row>
    <row r="9531" spans="1:7" x14ac:dyDescent="0.3">
      <c r="A9531" s="24">
        <v>44409</v>
      </c>
      <c r="B9531" s="66">
        <v>1708.9526000000001</v>
      </c>
      <c r="C9531" s="66">
        <v>1440.09</v>
      </c>
      <c r="D9531" s="70"/>
      <c r="E9531" s="111">
        <f t="shared" si="152"/>
        <v>138710</v>
      </c>
      <c r="F9531" s="69">
        <v>6.210088464467748E-2</v>
      </c>
      <c r="G9531" s="69">
        <v>6.8224721935985902E-2</v>
      </c>
    </row>
    <row r="9532" spans="1:7" x14ac:dyDescent="0.3">
      <c r="A9532" s="24">
        <v>44410</v>
      </c>
      <c r="B9532" s="66">
        <v>1708.9526000000001</v>
      </c>
      <c r="C9532" s="66">
        <v>1440.09</v>
      </c>
      <c r="D9532" s="70"/>
      <c r="E9532" s="111">
        <f t="shared" si="152"/>
        <v>138710</v>
      </c>
      <c r="F9532" s="69">
        <v>6.210088464467748E-2</v>
      </c>
      <c r="G9532" s="69">
        <v>6.7945886870098365E-2</v>
      </c>
    </row>
    <row r="9533" spans="1:7" x14ac:dyDescent="0.3">
      <c r="A9533" s="24">
        <v>44411</v>
      </c>
      <c r="B9533" s="66">
        <v>1708.9526000000001</v>
      </c>
      <c r="C9533" s="66">
        <v>1440.35</v>
      </c>
      <c r="D9533" s="70"/>
      <c r="E9533" s="111">
        <f t="shared" si="152"/>
        <v>138710</v>
      </c>
      <c r="F9533" s="69">
        <v>6.210088464467748E-2</v>
      </c>
      <c r="G9533" s="69">
        <v>6.7948717948717943E-2</v>
      </c>
    </row>
    <row r="9534" spans="1:7" x14ac:dyDescent="0.3">
      <c r="A9534" s="24">
        <v>44412</v>
      </c>
      <c r="B9534" s="66">
        <v>1708.9526000000001</v>
      </c>
      <c r="C9534" s="66">
        <v>1447.56</v>
      </c>
      <c r="D9534" s="70"/>
      <c r="E9534" s="111">
        <f t="shared" si="152"/>
        <v>138710</v>
      </c>
      <c r="F9534" s="69">
        <v>6.210088464467748E-2</v>
      </c>
      <c r="G9534" s="69">
        <v>6.7948717948717943E-2</v>
      </c>
    </row>
    <row r="9535" spans="1:7" x14ac:dyDescent="0.3">
      <c r="A9535" s="24">
        <v>44413</v>
      </c>
      <c r="B9535" s="66">
        <v>1708.9526000000001</v>
      </c>
      <c r="C9535" s="66">
        <v>1450</v>
      </c>
      <c r="D9535" s="70"/>
      <c r="E9535" s="111">
        <f t="shared" si="152"/>
        <v>138710</v>
      </c>
      <c r="F9535" s="69">
        <v>6.210088464467748E-2</v>
      </c>
      <c r="G9535" s="69">
        <v>6.7948717948717943E-2</v>
      </c>
    </row>
    <row r="9536" spans="1:7" x14ac:dyDescent="0.3">
      <c r="A9536" s="24">
        <v>44414</v>
      </c>
      <c r="B9536" s="66">
        <v>1708.9526000000001</v>
      </c>
      <c r="C9536" s="66">
        <v>1452.16</v>
      </c>
      <c r="D9536" s="70"/>
      <c r="E9536" s="111">
        <f t="shared" si="152"/>
        <v>138710</v>
      </c>
      <c r="F9536" s="69">
        <v>6.210088464467748E-2</v>
      </c>
      <c r="G9536" s="69">
        <v>6.8167202572347263E-2</v>
      </c>
    </row>
    <row r="9537" spans="1:7" x14ac:dyDescent="0.3">
      <c r="A9537" s="24">
        <v>44415</v>
      </c>
      <c r="B9537" s="66">
        <v>1708.9526000000001</v>
      </c>
      <c r="C9537" s="66">
        <v>1452.16</v>
      </c>
      <c r="D9537" s="70"/>
      <c r="E9537" s="111">
        <f t="shared" si="152"/>
        <v>138710</v>
      </c>
      <c r="F9537" s="69">
        <v>6.210088464467748E-2</v>
      </c>
      <c r="G9537" s="69">
        <v>6.8167202572347263E-2</v>
      </c>
    </row>
    <row r="9538" spans="1:7" x14ac:dyDescent="0.3">
      <c r="A9538" s="24">
        <v>44416</v>
      </c>
      <c r="B9538" s="66">
        <v>1708.9526000000001</v>
      </c>
      <c r="C9538" s="66">
        <v>1452.16</v>
      </c>
      <c r="D9538" s="70"/>
      <c r="E9538" s="111">
        <f t="shared" si="152"/>
        <v>138710</v>
      </c>
      <c r="F9538" s="69">
        <v>6.210088464467748E-2</v>
      </c>
      <c r="G9538" s="69">
        <v>6.8167202572347263E-2</v>
      </c>
    </row>
    <row r="9539" spans="1:7" x14ac:dyDescent="0.3">
      <c r="A9539" s="24">
        <v>44417</v>
      </c>
      <c r="B9539" s="66">
        <v>1708.9526000000001</v>
      </c>
      <c r="C9539" s="66">
        <v>1450.27</v>
      </c>
      <c r="D9539" s="70"/>
      <c r="E9539" s="111">
        <f t="shared" si="152"/>
        <v>138710</v>
      </c>
      <c r="F9539" s="69">
        <v>6.210088464467748E-2</v>
      </c>
      <c r="G9539" s="69">
        <v>6.8387096774193551E-2</v>
      </c>
    </row>
    <row r="9540" spans="1:7" x14ac:dyDescent="0.3">
      <c r="A9540" s="24">
        <v>44418</v>
      </c>
      <c r="B9540" s="66">
        <v>1708.9526000000001</v>
      </c>
      <c r="C9540" s="66">
        <v>1450</v>
      </c>
      <c r="D9540" s="70"/>
      <c r="E9540" s="111">
        <f t="shared" si="152"/>
        <v>138710</v>
      </c>
      <c r="F9540" s="69">
        <v>6.210088464467748E-2</v>
      </c>
      <c r="G9540" s="69">
        <v>6.8831168831168826E-2</v>
      </c>
    </row>
    <row r="9541" spans="1:7" x14ac:dyDescent="0.3">
      <c r="A9541" s="24">
        <v>44419</v>
      </c>
      <c r="B9541" s="66">
        <v>1708.9526000000001</v>
      </c>
      <c r="C9541" s="66">
        <v>1476.63</v>
      </c>
      <c r="D9541" s="70"/>
      <c r="E9541" s="111">
        <f t="shared" si="152"/>
        <v>138710</v>
      </c>
      <c r="F9541" s="69">
        <v>6.210088464467748E-2</v>
      </c>
      <c r="G9541" s="69">
        <v>6.9281045751633991E-2</v>
      </c>
    </row>
    <row r="9542" spans="1:7" x14ac:dyDescent="0.3">
      <c r="A9542" s="24">
        <v>44420</v>
      </c>
      <c r="B9542" s="66">
        <v>1708.9526000000001</v>
      </c>
      <c r="C9542" s="66">
        <v>1490.65</v>
      </c>
      <c r="D9542" s="70"/>
      <c r="E9542" s="111">
        <f t="shared" si="152"/>
        <v>138710</v>
      </c>
      <c r="F9542" s="69">
        <v>6.210088464467748E-2</v>
      </c>
      <c r="G9542" s="69">
        <v>6.9872772228605259E-2</v>
      </c>
    </row>
    <row r="9543" spans="1:7" x14ac:dyDescent="0.3">
      <c r="A9543" s="24">
        <v>44421</v>
      </c>
      <c r="B9543" s="66">
        <v>1708.9526000000001</v>
      </c>
      <c r="C9543" s="66">
        <v>1494.92</v>
      </c>
      <c r="D9543" s="70"/>
      <c r="E9543" s="111">
        <f t="shared" si="152"/>
        <v>138710</v>
      </c>
      <c r="F9543" s="69">
        <v>6.210088464467748E-2</v>
      </c>
      <c r="G9543" s="69">
        <v>7.0222951245397416E-2</v>
      </c>
    </row>
    <row r="9544" spans="1:7" x14ac:dyDescent="0.3">
      <c r="A9544" s="24">
        <v>44422</v>
      </c>
      <c r="B9544" s="66">
        <v>1708.9526000000001</v>
      </c>
      <c r="C9544" s="66">
        <v>1494.92</v>
      </c>
      <c r="D9544" s="70"/>
      <c r="E9544" s="111">
        <f t="shared" si="152"/>
        <v>138710</v>
      </c>
      <c r="F9544" s="69">
        <v>6.210088464467748E-2</v>
      </c>
      <c r="G9544" s="69">
        <v>7.0222951245397416E-2</v>
      </c>
    </row>
    <row r="9545" spans="1:7" x14ac:dyDescent="0.3">
      <c r="A9545" s="24">
        <v>44423</v>
      </c>
      <c r="B9545" s="66">
        <v>1708.9526000000001</v>
      </c>
      <c r="C9545" s="66">
        <v>1494.92</v>
      </c>
      <c r="D9545" s="70"/>
      <c r="E9545" s="111">
        <f t="shared" ref="E9545:E9608" si="153">+E9544</f>
        <v>138710</v>
      </c>
      <c r="F9545" s="69">
        <v>6.210088464467748E-2</v>
      </c>
      <c r="G9545" s="69">
        <v>7.0222951245397416E-2</v>
      </c>
    </row>
    <row r="9546" spans="1:7" x14ac:dyDescent="0.3">
      <c r="A9546" s="24">
        <v>44424</v>
      </c>
      <c r="B9546" s="66">
        <v>1708.9526000000001</v>
      </c>
      <c r="C9546" s="66">
        <v>1499</v>
      </c>
      <c r="D9546" s="70"/>
      <c r="E9546" s="111">
        <f t="shared" si="153"/>
        <v>138710</v>
      </c>
      <c r="F9546" s="69">
        <v>6.210088464467748E-2</v>
      </c>
      <c r="G9546" s="69">
        <v>7.1145714477481706E-2</v>
      </c>
    </row>
    <row r="9547" spans="1:7" x14ac:dyDescent="0.3">
      <c r="A9547" s="24">
        <v>44425</v>
      </c>
      <c r="B9547" s="66">
        <v>1708.9526000000001</v>
      </c>
      <c r="C9547" s="66">
        <v>1514</v>
      </c>
      <c r="D9547" s="70"/>
      <c r="E9547" s="111">
        <f t="shared" si="153"/>
        <v>138710</v>
      </c>
      <c r="F9547" s="69">
        <v>6.210088464467748E-2</v>
      </c>
      <c r="G9547" s="69">
        <v>7.0666666666666669E-2</v>
      </c>
    </row>
    <row r="9548" spans="1:7" x14ac:dyDescent="0.3">
      <c r="A9548" s="24">
        <v>44426</v>
      </c>
      <c r="B9548" s="66">
        <v>1708.9526000000001</v>
      </c>
      <c r="C9548" s="66">
        <v>1515</v>
      </c>
      <c r="D9548" s="70"/>
      <c r="E9548" s="111">
        <f t="shared" si="153"/>
        <v>138710</v>
      </c>
      <c r="F9548" s="69">
        <v>6.210088464467748E-2</v>
      </c>
      <c r="G9548" s="69">
        <v>6.9586498643719755E-2</v>
      </c>
    </row>
    <row r="9549" spans="1:7" x14ac:dyDescent="0.3">
      <c r="A9549" s="24">
        <v>44427</v>
      </c>
      <c r="B9549" s="66">
        <v>1708.9526000000001</v>
      </c>
      <c r="C9549" s="66">
        <v>1504.86</v>
      </c>
      <c r="D9549" s="70"/>
      <c r="E9549" s="111">
        <f t="shared" si="153"/>
        <v>138710</v>
      </c>
      <c r="F9549" s="69">
        <v>6.210088464467748E-2</v>
      </c>
      <c r="G9549" s="69">
        <v>6.8468552264758856E-2</v>
      </c>
    </row>
    <row r="9550" spans="1:7" x14ac:dyDescent="0.3">
      <c r="A9550" s="24">
        <v>44428</v>
      </c>
      <c r="B9550" s="66">
        <v>1708.9526000000001</v>
      </c>
      <c r="C9550" s="66">
        <v>1504.86</v>
      </c>
      <c r="D9550" s="70"/>
      <c r="E9550" s="111">
        <f t="shared" si="153"/>
        <v>138710</v>
      </c>
      <c r="F9550" s="69">
        <v>6.3512576209099697E-2</v>
      </c>
      <c r="G9550" s="69">
        <v>6.8875893437296942E-2</v>
      </c>
    </row>
    <row r="9551" spans="1:7" x14ac:dyDescent="0.3">
      <c r="A9551" s="24">
        <v>44429</v>
      </c>
      <c r="B9551" s="66">
        <v>1708.9526000000001</v>
      </c>
      <c r="C9551" s="66">
        <v>1504.86</v>
      </c>
      <c r="D9551" s="70"/>
      <c r="E9551" s="111">
        <f t="shared" si="153"/>
        <v>138710</v>
      </c>
      <c r="F9551" s="69">
        <v>6.3512576209099697E-2</v>
      </c>
      <c r="G9551" s="69">
        <v>6.8875893437296942E-2</v>
      </c>
    </row>
    <row r="9552" spans="1:7" x14ac:dyDescent="0.3">
      <c r="A9552" s="24">
        <v>44430</v>
      </c>
      <c r="B9552" s="66">
        <v>1708.9526000000001</v>
      </c>
      <c r="C9552" s="66">
        <v>1504.86</v>
      </c>
      <c r="D9552" s="70"/>
      <c r="E9552" s="111">
        <f t="shared" si="153"/>
        <v>138710</v>
      </c>
      <c r="F9552" s="69">
        <v>6.3512576209099697E-2</v>
      </c>
      <c r="G9552" s="69">
        <v>6.8875893437296942E-2</v>
      </c>
    </row>
    <row r="9553" spans="1:7" x14ac:dyDescent="0.3">
      <c r="A9553" s="24">
        <v>44431</v>
      </c>
      <c r="B9553" s="66">
        <v>1708.9526000000001</v>
      </c>
      <c r="C9553" s="66">
        <v>1499.76</v>
      </c>
      <c r="D9553" s="70"/>
      <c r="E9553" s="111">
        <f t="shared" si="153"/>
        <v>138710</v>
      </c>
      <c r="F9553" s="69">
        <v>6.3512576209099697E-2</v>
      </c>
      <c r="G9553" s="69">
        <v>6.9826882032094015E-2</v>
      </c>
    </row>
    <row r="9554" spans="1:7" x14ac:dyDescent="0.3">
      <c r="A9554" s="24">
        <v>44432</v>
      </c>
      <c r="B9554" s="66">
        <v>1708.9526000000001</v>
      </c>
      <c r="C9554" s="66">
        <v>1479.96</v>
      </c>
      <c r="D9554" s="70"/>
      <c r="E9554" s="111">
        <f t="shared" si="153"/>
        <v>138710</v>
      </c>
      <c r="F9554" s="69">
        <v>6.3512576209099697E-2</v>
      </c>
      <c r="G9554" s="69">
        <v>7.0576469938085792E-2</v>
      </c>
    </row>
    <row r="9555" spans="1:7" x14ac:dyDescent="0.3">
      <c r="A9555" s="24">
        <v>44433</v>
      </c>
      <c r="B9555" s="66">
        <v>1708.9526000000001</v>
      </c>
      <c r="C9555" s="66">
        <v>1480</v>
      </c>
      <c r="D9555" s="70"/>
      <c r="E9555" s="111">
        <f t="shared" si="153"/>
        <v>138710</v>
      </c>
      <c r="F9555" s="69">
        <v>6.3512576209099697E-2</v>
      </c>
      <c r="G9555" s="69">
        <v>7.0688438705788045E-2</v>
      </c>
    </row>
    <row r="9556" spans="1:7" x14ac:dyDescent="0.3">
      <c r="A9556" s="24">
        <v>44434</v>
      </c>
      <c r="B9556" s="66">
        <v>1708.9526000000001</v>
      </c>
      <c r="C9556" s="66">
        <v>1497.87</v>
      </c>
      <c r="D9556" s="70"/>
      <c r="E9556" s="111">
        <f t="shared" si="153"/>
        <v>138710</v>
      </c>
      <c r="F9556" s="69">
        <v>6.3512576209099697E-2</v>
      </c>
      <c r="G9556" s="69">
        <v>7.0923219593007764E-2</v>
      </c>
    </row>
    <row r="9557" spans="1:7" x14ac:dyDescent="0.3">
      <c r="A9557" s="24">
        <v>44435</v>
      </c>
      <c r="B9557" s="66">
        <v>1708.9526000000001</v>
      </c>
      <c r="C9557" s="66">
        <v>1500</v>
      </c>
      <c r="D9557" s="70"/>
      <c r="E9557" s="111">
        <f t="shared" si="153"/>
        <v>138710</v>
      </c>
      <c r="F9557" s="69">
        <v>6.3512576209099697E-2</v>
      </c>
      <c r="G9557" s="69">
        <v>7.1614266642885324E-2</v>
      </c>
    </row>
    <row r="9558" spans="1:7" x14ac:dyDescent="0.3">
      <c r="A9558" s="24">
        <v>44436</v>
      </c>
      <c r="B9558" s="66">
        <v>1708.9526000000001</v>
      </c>
      <c r="C9558" s="66">
        <v>1500</v>
      </c>
      <c r="D9558" s="70"/>
      <c r="E9558" s="111">
        <f t="shared" si="153"/>
        <v>138710</v>
      </c>
      <c r="F9558" s="69">
        <v>6.3512576209099697E-2</v>
      </c>
      <c r="G9558" s="69">
        <v>7.1614266642885324E-2</v>
      </c>
    </row>
    <row r="9559" spans="1:7" x14ac:dyDescent="0.3">
      <c r="A9559" s="24">
        <v>44437</v>
      </c>
      <c r="B9559" s="66">
        <v>1708.9526000000001</v>
      </c>
      <c r="C9559" s="66">
        <v>1500</v>
      </c>
      <c r="D9559" s="70"/>
      <c r="E9559" s="111">
        <f t="shared" si="153"/>
        <v>138710</v>
      </c>
      <c r="F9559" s="69">
        <v>6.3512576209099697E-2</v>
      </c>
      <c r="G9559" s="69">
        <v>7.1614266642885324E-2</v>
      </c>
    </row>
    <row r="9560" spans="1:7" x14ac:dyDescent="0.3">
      <c r="A9560" s="24">
        <v>44438</v>
      </c>
      <c r="B9560" s="66">
        <v>1708.9526000000001</v>
      </c>
      <c r="C9560" s="66">
        <v>1500.24</v>
      </c>
      <c r="D9560" s="70"/>
      <c r="E9560" s="111">
        <f t="shared" si="153"/>
        <v>138710</v>
      </c>
      <c r="F9560" s="69">
        <v>6.3512576209099697E-2</v>
      </c>
      <c r="G9560" s="69">
        <v>7.2369472098837581E-2</v>
      </c>
    </row>
    <row r="9561" spans="1:7" x14ac:dyDescent="0.3">
      <c r="A9561" s="24">
        <v>44439</v>
      </c>
      <c r="B9561" s="66">
        <v>1708.9526000000001</v>
      </c>
      <c r="C9561" s="66">
        <v>1520</v>
      </c>
      <c r="D9561" s="70"/>
      <c r="E9561" s="111">
        <f t="shared" si="153"/>
        <v>138710</v>
      </c>
      <c r="F9561" s="69">
        <v>6.3512576209099697E-2</v>
      </c>
      <c r="G9561" s="69">
        <v>7.2369472098837581E-2</v>
      </c>
    </row>
    <row r="9562" spans="1:7" x14ac:dyDescent="0.3">
      <c r="A9562" s="24">
        <v>44440</v>
      </c>
      <c r="B9562" s="66">
        <v>1708.9526000000001</v>
      </c>
      <c r="C9562" s="66">
        <v>1503.9</v>
      </c>
      <c r="D9562" s="70"/>
      <c r="E9562" s="111">
        <f t="shared" si="153"/>
        <v>138710</v>
      </c>
      <c r="F9562" s="69">
        <v>6.3512576209099697E-2</v>
      </c>
      <c r="G9562" s="69">
        <v>7.0661955869608703E-2</v>
      </c>
    </row>
    <row r="9563" spans="1:7" x14ac:dyDescent="0.3">
      <c r="A9563" s="24">
        <v>44441</v>
      </c>
      <c r="B9563" s="66">
        <v>1708.9526000000001</v>
      </c>
      <c r="C9563" s="66">
        <v>1508</v>
      </c>
      <c r="D9563" s="70"/>
      <c r="E9563" s="111">
        <f t="shared" si="153"/>
        <v>138710</v>
      </c>
      <c r="F9563" s="69">
        <v>6.3512576209099697E-2</v>
      </c>
      <c r="G9563" s="69">
        <v>6.9736842105263153E-2</v>
      </c>
    </row>
    <row r="9564" spans="1:7" x14ac:dyDescent="0.3">
      <c r="A9564" s="24">
        <v>44442</v>
      </c>
      <c r="B9564" s="66">
        <v>1708.9526000000001</v>
      </c>
      <c r="C9564" s="66">
        <v>1500</v>
      </c>
      <c r="D9564" s="70"/>
      <c r="E9564" s="111">
        <f t="shared" si="153"/>
        <v>138710</v>
      </c>
      <c r="F9564" s="69">
        <v>6.3512576209099697E-2</v>
      </c>
      <c r="G9564" s="69">
        <v>7.0423704884814059E-2</v>
      </c>
    </row>
    <row r="9565" spans="1:7" x14ac:dyDescent="0.3">
      <c r="A9565" s="24">
        <v>44443</v>
      </c>
      <c r="B9565" s="66">
        <v>1708.9526000000001</v>
      </c>
      <c r="C9565" s="66">
        <v>1500</v>
      </c>
      <c r="D9565" s="70"/>
      <c r="E9565" s="111">
        <f t="shared" si="153"/>
        <v>138710</v>
      </c>
      <c r="F9565" s="69">
        <v>6.3512576209099697E-2</v>
      </c>
      <c r="G9565" s="69">
        <v>7.0423704884814059E-2</v>
      </c>
    </row>
    <row r="9566" spans="1:7" x14ac:dyDescent="0.3">
      <c r="A9566" s="24">
        <v>44444</v>
      </c>
      <c r="B9566" s="66">
        <v>1708.9526000000001</v>
      </c>
      <c r="C9566" s="66">
        <v>1500</v>
      </c>
      <c r="D9566" s="70"/>
      <c r="E9566" s="111">
        <f t="shared" si="153"/>
        <v>138710</v>
      </c>
      <c r="F9566" s="69">
        <v>6.3512576209099697E-2</v>
      </c>
      <c r="G9566" s="69">
        <v>7.0423704884814059E-2</v>
      </c>
    </row>
    <row r="9567" spans="1:7" x14ac:dyDescent="0.3">
      <c r="A9567" s="24">
        <v>44445</v>
      </c>
      <c r="B9567" s="66">
        <v>1708.9526000000001</v>
      </c>
      <c r="C9567" s="66">
        <v>1500.81</v>
      </c>
      <c r="D9567" s="70"/>
      <c r="E9567" s="111">
        <f t="shared" si="153"/>
        <v>138710</v>
      </c>
      <c r="F9567" s="69">
        <v>6.3512576209099697E-2</v>
      </c>
      <c r="G9567" s="69">
        <v>6.9508196721311477E-2</v>
      </c>
    </row>
    <row r="9568" spans="1:7" x14ac:dyDescent="0.3">
      <c r="A9568" s="24">
        <v>44446</v>
      </c>
      <c r="B9568" s="66">
        <v>1708.9526000000001</v>
      </c>
      <c r="C9568" s="66">
        <v>1482.02</v>
      </c>
      <c r="D9568" s="70"/>
      <c r="E9568" s="111">
        <f t="shared" si="153"/>
        <v>138710</v>
      </c>
      <c r="F9568" s="69">
        <v>6.3512576209099697E-2</v>
      </c>
      <c r="G9568" s="69">
        <v>6.9646256152359726E-2</v>
      </c>
    </row>
    <row r="9569" spans="1:7" x14ac:dyDescent="0.3">
      <c r="A9569" s="24">
        <v>44447</v>
      </c>
      <c r="B9569" s="66">
        <v>1728.98</v>
      </c>
      <c r="C9569" s="66">
        <v>1485.24</v>
      </c>
      <c r="D9569" s="70"/>
      <c r="E9569" s="111">
        <f t="shared" si="153"/>
        <v>138710</v>
      </c>
      <c r="F9569" s="69">
        <v>6.3512576209099697E-2</v>
      </c>
      <c r="G9569" s="69">
        <v>6.9508196721311477E-2</v>
      </c>
    </row>
    <row r="9570" spans="1:7" x14ac:dyDescent="0.3">
      <c r="A9570" s="24">
        <v>44448</v>
      </c>
      <c r="B9570" s="66">
        <v>1728.98</v>
      </c>
      <c r="C9570" s="66">
        <v>1505.74</v>
      </c>
      <c r="D9570" s="70"/>
      <c r="E9570" s="111">
        <f t="shared" si="153"/>
        <v>138710</v>
      </c>
      <c r="F9570" s="69">
        <v>6.3512576209099697E-2</v>
      </c>
      <c r="G9570" s="69">
        <v>6.9558826424479456E-2</v>
      </c>
    </row>
    <row r="9571" spans="1:7" x14ac:dyDescent="0.3">
      <c r="A9571" s="24">
        <v>44449</v>
      </c>
      <c r="B9571" s="66">
        <v>1728.98</v>
      </c>
      <c r="C9571" s="66">
        <v>1501</v>
      </c>
      <c r="D9571" s="70"/>
      <c r="E9571" s="111">
        <f t="shared" si="153"/>
        <v>138710</v>
      </c>
      <c r="F9571" s="69">
        <v>6.3512576209099697E-2</v>
      </c>
      <c r="G9571" s="69">
        <v>6.9513529890489964E-2</v>
      </c>
    </row>
    <row r="9572" spans="1:7" x14ac:dyDescent="0.3">
      <c r="A9572" s="24">
        <v>44450</v>
      </c>
      <c r="B9572" s="66">
        <v>1728.98</v>
      </c>
      <c r="C9572" s="66">
        <v>1501</v>
      </c>
      <c r="D9572" s="70"/>
      <c r="E9572" s="111">
        <f t="shared" si="153"/>
        <v>138710</v>
      </c>
      <c r="F9572" s="69">
        <v>6.3512576209099697E-2</v>
      </c>
      <c r="G9572" s="69">
        <v>6.9513529890489964E-2</v>
      </c>
    </row>
    <row r="9573" spans="1:7" x14ac:dyDescent="0.3">
      <c r="A9573" s="24">
        <v>44451</v>
      </c>
      <c r="B9573" s="66">
        <v>1728.98</v>
      </c>
      <c r="C9573" s="66">
        <v>1501</v>
      </c>
      <c r="D9573" s="70"/>
      <c r="E9573" s="111">
        <f t="shared" si="153"/>
        <v>138710</v>
      </c>
      <c r="F9573" s="69">
        <v>6.3512576209099697E-2</v>
      </c>
      <c r="G9573" s="69">
        <v>6.9513529890489964E-2</v>
      </c>
    </row>
    <row r="9574" spans="1:7" x14ac:dyDescent="0.3">
      <c r="A9574" s="24">
        <v>44452</v>
      </c>
      <c r="B9574" s="66">
        <v>1728.98</v>
      </c>
      <c r="C9574" s="66">
        <v>1501</v>
      </c>
      <c r="D9574" s="70"/>
      <c r="E9574" s="111">
        <f t="shared" si="153"/>
        <v>138710</v>
      </c>
      <c r="F9574" s="69">
        <v>6.3512576209099697E-2</v>
      </c>
      <c r="G9574" s="69">
        <v>6.9049256873658107E-2</v>
      </c>
    </row>
    <row r="9575" spans="1:7" x14ac:dyDescent="0.3">
      <c r="A9575" s="24">
        <v>44453</v>
      </c>
      <c r="B9575" s="66">
        <v>1728.98</v>
      </c>
      <c r="C9575" s="66">
        <v>1479.41</v>
      </c>
      <c r="D9575" s="70"/>
      <c r="E9575" s="111">
        <f t="shared" si="153"/>
        <v>138710</v>
      </c>
      <c r="F9575" s="69">
        <v>6.3512576209099697E-2</v>
      </c>
      <c r="G9575" s="69">
        <v>6.9055374592833882E-2</v>
      </c>
    </row>
    <row r="9576" spans="1:7" x14ac:dyDescent="0.3">
      <c r="A9576" s="24">
        <v>44454</v>
      </c>
      <c r="B9576" s="66">
        <v>1728.98</v>
      </c>
      <c r="C9576" s="66">
        <v>1474.9</v>
      </c>
      <c r="D9576" s="70"/>
      <c r="E9576" s="111">
        <f t="shared" si="153"/>
        <v>138710</v>
      </c>
      <c r="F9576" s="69">
        <v>6.3512576209099697E-2</v>
      </c>
      <c r="G9576" s="69">
        <v>6.8387096774193551E-2</v>
      </c>
    </row>
    <row r="9577" spans="1:7" x14ac:dyDescent="0.3">
      <c r="A9577" s="24">
        <v>44455</v>
      </c>
      <c r="B9577" s="66">
        <v>1728.98</v>
      </c>
      <c r="C9577" s="66">
        <v>1470.26</v>
      </c>
      <c r="D9577" s="70"/>
      <c r="E9577" s="111">
        <f t="shared" si="153"/>
        <v>138710</v>
      </c>
      <c r="F9577" s="69">
        <v>6.3512576209099697E-2</v>
      </c>
      <c r="G9577" s="69">
        <v>6.8387096774193551E-2</v>
      </c>
    </row>
    <row r="9578" spans="1:7" x14ac:dyDescent="0.3">
      <c r="A9578" s="24">
        <v>44456</v>
      </c>
      <c r="B9578" s="66">
        <v>1728.98</v>
      </c>
      <c r="C9578" s="66">
        <v>1470.26</v>
      </c>
      <c r="D9578" s="70"/>
      <c r="E9578" s="111">
        <f t="shared" si="153"/>
        <v>138710</v>
      </c>
      <c r="F9578" s="69">
        <v>6.3512576209099697E-2</v>
      </c>
      <c r="G9578" s="69">
        <v>6.8387096774193551E-2</v>
      </c>
    </row>
    <row r="9579" spans="1:7" x14ac:dyDescent="0.3">
      <c r="A9579" s="24">
        <v>44457</v>
      </c>
      <c r="B9579" s="66">
        <v>1728.98</v>
      </c>
      <c r="C9579" s="66">
        <v>1470.26</v>
      </c>
      <c r="D9579" s="70"/>
      <c r="E9579" s="111">
        <f t="shared" si="153"/>
        <v>138710</v>
      </c>
      <c r="F9579" s="69">
        <v>6.3512576209099697E-2</v>
      </c>
      <c r="G9579" s="69">
        <v>6.8387096774193551E-2</v>
      </c>
    </row>
    <row r="9580" spans="1:7" x14ac:dyDescent="0.3">
      <c r="A9580" s="24">
        <v>44458</v>
      </c>
      <c r="B9580" s="66">
        <v>1728.98</v>
      </c>
      <c r="C9580" s="66">
        <v>1470.26</v>
      </c>
      <c r="D9580" s="70"/>
      <c r="E9580" s="111">
        <f t="shared" si="153"/>
        <v>138710</v>
      </c>
      <c r="F9580" s="69">
        <v>6.3512576209099697E-2</v>
      </c>
      <c r="G9580" s="69">
        <v>6.8387096774193551E-2</v>
      </c>
    </row>
    <row r="9581" spans="1:7" x14ac:dyDescent="0.3">
      <c r="A9581" s="24">
        <v>44459</v>
      </c>
      <c r="B9581" s="66">
        <v>1728.98</v>
      </c>
      <c r="C9581" s="66">
        <v>1443.5</v>
      </c>
      <c r="D9581" s="70"/>
      <c r="E9581" s="111">
        <f t="shared" si="153"/>
        <v>138710</v>
      </c>
      <c r="F9581" s="69">
        <v>6.3512576209099697E-2</v>
      </c>
      <c r="G9581" s="69">
        <v>6.8386655569964067E-2</v>
      </c>
    </row>
    <row r="9582" spans="1:7" x14ac:dyDescent="0.3">
      <c r="A9582" s="24">
        <v>44460</v>
      </c>
      <c r="B9582" s="66">
        <v>1728.98</v>
      </c>
      <c r="C9582" s="66">
        <v>1440.6</v>
      </c>
      <c r="D9582" s="70"/>
      <c r="E9582" s="111">
        <f t="shared" si="153"/>
        <v>138710</v>
      </c>
      <c r="F9582" s="69">
        <v>6.3512576209099697E-2</v>
      </c>
      <c r="G9582" s="69">
        <v>6.8386964412326945E-2</v>
      </c>
    </row>
    <row r="9583" spans="1:7" x14ac:dyDescent="0.3">
      <c r="A9583" s="24">
        <v>44461</v>
      </c>
      <c r="B9583" s="66">
        <v>1728.98</v>
      </c>
      <c r="C9583" s="66">
        <v>1424.6</v>
      </c>
      <c r="D9583" s="70"/>
      <c r="E9583" s="111">
        <f t="shared" si="153"/>
        <v>138710</v>
      </c>
      <c r="F9583" s="69">
        <v>6.3512576209099697E-2</v>
      </c>
      <c r="G9583" s="69">
        <v>6.8387096774193551E-2</v>
      </c>
    </row>
    <row r="9584" spans="1:7" x14ac:dyDescent="0.3">
      <c r="A9584" s="24">
        <v>44462</v>
      </c>
      <c r="B9584" s="66">
        <v>1728.98</v>
      </c>
      <c r="C9584" s="66">
        <v>1454.98</v>
      </c>
      <c r="D9584" s="70"/>
      <c r="E9584" s="111">
        <f t="shared" si="153"/>
        <v>138710</v>
      </c>
      <c r="F9584" s="69">
        <v>6.3512576209099697E-2</v>
      </c>
      <c r="G9584" s="69">
        <v>6.8831168831168826E-2</v>
      </c>
    </row>
    <row r="9585" spans="1:7" x14ac:dyDescent="0.3">
      <c r="A9585" s="24">
        <v>44463</v>
      </c>
      <c r="B9585" s="66">
        <v>1728.98</v>
      </c>
      <c r="C9585" s="66">
        <v>1460.05</v>
      </c>
      <c r="D9585" s="70"/>
      <c r="E9585" s="111">
        <f t="shared" si="153"/>
        <v>138710</v>
      </c>
      <c r="F9585" s="69">
        <v>6.3512576209099697E-2</v>
      </c>
      <c r="G9585" s="69">
        <v>6.8833940067717009E-2</v>
      </c>
    </row>
    <row r="9586" spans="1:7" x14ac:dyDescent="0.3">
      <c r="A9586" s="24">
        <v>44464</v>
      </c>
      <c r="B9586" s="66">
        <v>1728.98</v>
      </c>
      <c r="C9586" s="66">
        <v>1460.05</v>
      </c>
      <c r="D9586" s="70"/>
      <c r="E9586" s="111">
        <f t="shared" si="153"/>
        <v>138710</v>
      </c>
      <c r="F9586" s="69">
        <v>6.3512576209099697E-2</v>
      </c>
      <c r="G9586" s="69">
        <v>6.8833940067717009E-2</v>
      </c>
    </row>
    <row r="9587" spans="1:7" x14ac:dyDescent="0.3">
      <c r="A9587" s="24">
        <v>44465</v>
      </c>
      <c r="B9587" s="66">
        <v>1728.98</v>
      </c>
      <c r="C9587" s="66">
        <v>1460.05</v>
      </c>
      <c r="D9587" s="70"/>
      <c r="E9587" s="111">
        <f t="shared" si="153"/>
        <v>138710</v>
      </c>
      <c r="F9587" s="69">
        <v>6.3512576209099697E-2</v>
      </c>
      <c r="G9587" s="69">
        <v>6.8833940067717009E-2</v>
      </c>
    </row>
    <row r="9588" spans="1:7" x14ac:dyDescent="0.3">
      <c r="A9588" s="24">
        <v>44466</v>
      </c>
      <c r="B9588" s="66">
        <v>1728.98</v>
      </c>
      <c r="C9588" s="66">
        <v>1456.44</v>
      </c>
      <c r="D9588" s="70"/>
      <c r="E9588" s="111">
        <f t="shared" si="153"/>
        <v>138710</v>
      </c>
      <c r="F9588" s="69">
        <v>6.3512576209099697E-2</v>
      </c>
      <c r="G9588" s="69">
        <v>6.8460371455641877E-2</v>
      </c>
    </row>
    <row r="9589" spans="1:7" x14ac:dyDescent="0.3">
      <c r="A9589" s="24">
        <v>44467</v>
      </c>
      <c r="B9589" s="66">
        <v>1728.98</v>
      </c>
      <c r="C9589" s="66">
        <v>1467.12</v>
      </c>
      <c r="D9589" s="70"/>
      <c r="E9589" s="111">
        <f t="shared" si="153"/>
        <v>138710</v>
      </c>
      <c r="F9589" s="69">
        <v>6.3512576209099697E-2</v>
      </c>
      <c r="G9589" s="69">
        <v>6.8387096774193551E-2</v>
      </c>
    </row>
    <row r="9590" spans="1:7" x14ac:dyDescent="0.3">
      <c r="A9590" s="24">
        <v>44468</v>
      </c>
      <c r="B9590" s="66">
        <v>1728.98</v>
      </c>
      <c r="C9590" s="66">
        <v>1460.57</v>
      </c>
      <c r="D9590" s="70"/>
      <c r="E9590" s="111">
        <f t="shared" si="153"/>
        <v>138710</v>
      </c>
      <c r="F9590" s="69">
        <v>6.3512576209099697E-2</v>
      </c>
      <c r="G9590" s="69">
        <v>6.751592356687898E-2</v>
      </c>
    </row>
    <row r="9591" spans="1:7" x14ac:dyDescent="0.3">
      <c r="A9591" s="24">
        <v>44469</v>
      </c>
      <c r="B9591" s="66">
        <v>1728.98</v>
      </c>
      <c r="C9591" s="66">
        <v>1460.25</v>
      </c>
      <c r="D9591" s="70">
        <v>18</v>
      </c>
      <c r="E9591" s="111">
        <f t="shared" si="153"/>
        <v>138710</v>
      </c>
      <c r="F9591" s="69">
        <v>6.3512576209099697E-2</v>
      </c>
      <c r="G9591" s="69">
        <v>6.751592356687898E-2</v>
      </c>
    </row>
    <row r="9592" spans="1:7" x14ac:dyDescent="0.3">
      <c r="A9592" s="24">
        <v>44470</v>
      </c>
      <c r="B9592" s="66">
        <v>1728.98</v>
      </c>
      <c r="C9592" s="66">
        <v>1466.09</v>
      </c>
      <c r="D9592" s="70"/>
      <c r="E9592" s="111">
        <f t="shared" si="153"/>
        <v>138710</v>
      </c>
      <c r="F9592" s="69">
        <v>6.3512576209099697E-2</v>
      </c>
      <c r="G9592" s="69">
        <v>6.816724640980476E-2</v>
      </c>
    </row>
    <row r="9593" spans="1:7" x14ac:dyDescent="0.3">
      <c r="A9593" s="24">
        <v>44471</v>
      </c>
      <c r="B9593" s="66">
        <v>1728.98</v>
      </c>
      <c r="C9593" s="66">
        <v>1466.09</v>
      </c>
      <c r="D9593" s="70"/>
      <c r="E9593" s="111">
        <f t="shared" si="153"/>
        <v>138710</v>
      </c>
      <c r="F9593" s="69">
        <v>6.3512576209099697E-2</v>
      </c>
      <c r="G9593" s="69">
        <v>6.816724640980476E-2</v>
      </c>
    </row>
    <row r="9594" spans="1:7" x14ac:dyDescent="0.3">
      <c r="A9594" s="24">
        <v>44472</v>
      </c>
      <c r="B9594" s="66">
        <v>1728.98</v>
      </c>
      <c r="C9594" s="66">
        <v>1466.09</v>
      </c>
      <c r="D9594" s="70"/>
      <c r="E9594" s="111">
        <f t="shared" si="153"/>
        <v>138710</v>
      </c>
      <c r="F9594" s="69">
        <v>6.3512576209099697E-2</v>
      </c>
      <c r="G9594" s="69">
        <v>6.816724640980476E-2</v>
      </c>
    </row>
    <row r="9595" spans="1:7" x14ac:dyDescent="0.3">
      <c r="A9595" s="24">
        <v>44473</v>
      </c>
      <c r="B9595" s="66">
        <v>1728.98</v>
      </c>
      <c r="C9595" s="66">
        <v>1490.6</v>
      </c>
      <c r="D9595" s="70"/>
      <c r="E9595" s="111">
        <f t="shared" si="153"/>
        <v>138710</v>
      </c>
      <c r="F9595" s="69">
        <v>6.3512576209099697E-2</v>
      </c>
      <c r="G9595" s="69">
        <v>6.836786555523737E-2</v>
      </c>
    </row>
    <row r="9596" spans="1:7" x14ac:dyDescent="0.3">
      <c r="A9596" s="24">
        <v>44474</v>
      </c>
      <c r="B9596" s="66">
        <v>1728.98</v>
      </c>
      <c r="C9596" s="66">
        <v>1489.8</v>
      </c>
      <c r="D9596" s="70"/>
      <c r="E9596" s="111">
        <f t="shared" si="153"/>
        <v>138710</v>
      </c>
      <c r="F9596" s="69">
        <v>6.3512576209099697E-2</v>
      </c>
      <c r="G9596" s="69">
        <v>6.7944362540862765E-2</v>
      </c>
    </row>
    <row r="9597" spans="1:7" x14ac:dyDescent="0.3">
      <c r="A9597" s="24">
        <v>44475</v>
      </c>
      <c r="B9597" s="66">
        <v>1728.98</v>
      </c>
      <c r="C9597" s="66">
        <v>1489.8</v>
      </c>
      <c r="D9597" s="70"/>
      <c r="E9597" s="111">
        <f t="shared" si="153"/>
        <v>138710</v>
      </c>
      <c r="F9597" s="69">
        <v>6.3512576209099697E-2</v>
      </c>
      <c r="G9597" s="69">
        <v>6.8385905535839051E-2</v>
      </c>
    </row>
    <row r="9598" spans="1:7" x14ac:dyDescent="0.3">
      <c r="A9598" s="24">
        <v>44476</v>
      </c>
      <c r="B9598" s="66">
        <v>1728.98</v>
      </c>
      <c r="C9598" s="66">
        <v>1461.23</v>
      </c>
      <c r="D9598" s="70"/>
      <c r="E9598" s="111">
        <f t="shared" si="153"/>
        <v>138710</v>
      </c>
      <c r="F9598" s="69">
        <v>6.3512576209099697E-2</v>
      </c>
      <c r="G9598" s="69">
        <v>6.8155806746138914E-2</v>
      </c>
    </row>
    <row r="9599" spans="1:7" x14ac:dyDescent="0.3">
      <c r="A9599" s="24">
        <v>44477</v>
      </c>
      <c r="B9599" s="66">
        <v>1728.98</v>
      </c>
      <c r="C9599" s="66">
        <v>1461.23</v>
      </c>
      <c r="D9599" s="70"/>
      <c r="E9599" s="111">
        <f t="shared" si="153"/>
        <v>138710</v>
      </c>
      <c r="F9599" s="69">
        <v>6.3512576209099697E-2</v>
      </c>
      <c r="G9599" s="69">
        <v>6.751592356687898E-2</v>
      </c>
    </row>
    <row r="9600" spans="1:7" x14ac:dyDescent="0.3">
      <c r="A9600" s="24">
        <v>44478</v>
      </c>
      <c r="B9600" s="66">
        <v>1728.98</v>
      </c>
      <c r="C9600" s="66">
        <v>1461.23</v>
      </c>
      <c r="D9600" s="70"/>
      <c r="E9600" s="111">
        <f t="shared" si="153"/>
        <v>138710</v>
      </c>
      <c r="F9600" s="69">
        <v>6.3512576209099697E-2</v>
      </c>
      <c r="G9600" s="69">
        <v>6.751592356687898E-2</v>
      </c>
    </row>
    <row r="9601" spans="1:7" x14ac:dyDescent="0.3">
      <c r="A9601" s="24">
        <v>44479</v>
      </c>
      <c r="B9601" s="66">
        <v>1728.98</v>
      </c>
      <c r="C9601" s="66">
        <v>1461.23</v>
      </c>
      <c r="D9601" s="70"/>
      <c r="E9601" s="111">
        <f t="shared" si="153"/>
        <v>138710</v>
      </c>
      <c r="F9601" s="69">
        <v>6.3512576209099697E-2</v>
      </c>
      <c r="G9601" s="69">
        <v>6.751592356687898E-2</v>
      </c>
    </row>
    <row r="9602" spans="1:7" x14ac:dyDescent="0.3">
      <c r="A9602" s="24">
        <v>44480</v>
      </c>
      <c r="B9602" s="66">
        <v>1728.98</v>
      </c>
      <c r="C9602" s="66">
        <v>1461.23</v>
      </c>
      <c r="D9602" s="70"/>
      <c r="E9602" s="111">
        <f t="shared" si="153"/>
        <v>138710</v>
      </c>
      <c r="F9602" s="69">
        <v>6.3512576209099697E-2</v>
      </c>
      <c r="G9602" s="69">
        <v>6.751592356687898E-2</v>
      </c>
    </row>
    <row r="9603" spans="1:7" x14ac:dyDescent="0.3">
      <c r="A9603" s="24">
        <v>44481</v>
      </c>
      <c r="B9603" s="66">
        <v>1728.98</v>
      </c>
      <c r="C9603" s="66">
        <v>1462</v>
      </c>
      <c r="D9603" s="70"/>
      <c r="E9603" s="111">
        <f t="shared" si="153"/>
        <v>138710</v>
      </c>
      <c r="F9603" s="69">
        <v>6.3512576209099697E-2</v>
      </c>
      <c r="G9603" s="69">
        <v>6.751592356687898E-2</v>
      </c>
    </row>
    <row r="9604" spans="1:7" x14ac:dyDescent="0.3">
      <c r="A9604" s="24">
        <v>44482</v>
      </c>
      <c r="B9604" s="66">
        <v>1728.98</v>
      </c>
      <c r="C9604" s="66">
        <v>1462</v>
      </c>
      <c r="D9604" s="70"/>
      <c r="E9604" s="111">
        <f t="shared" si="153"/>
        <v>138710</v>
      </c>
      <c r="F9604" s="69">
        <v>6.3512576209099697E-2</v>
      </c>
      <c r="G9604" s="69">
        <v>6.7177894670131189E-2</v>
      </c>
    </row>
    <row r="9605" spans="1:7" x14ac:dyDescent="0.3">
      <c r="A9605" s="24">
        <v>44483</v>
      </c>
      <c r="B9605" s="66">
        <v>1728.98</v>
      </c>
      <c r="C9605" s="66">
        <v>1400</v>
      </c>
      <c r="D9605" s="70"/>
      <c r="E9605" s="111">
        <f t="shared" si="153"/>
        <v>138710</v>
      </c>
      <c r="F9605" s="69">
        <v>6.3512576209099697E-2</v>
      </c>
      <c r="G9605" s="69">
        <v>6.7177894670131189E-2</v>
      </c>
    </row>
    <row r="9606" spans="1:7" x14ac:dyDescent="0.3">
      <c r="A9606" s="24">
        <v>44484</v>
      </c>
      <c r="B9606" s="66">
        <v>1728.98</v>
      </c>
      <c r="C9606" s="66">
        <v>1401.81</v>
      </c>
      <c r="D9606" s="70"/>
      <c r="E9606" s="111">
        <f t="shared" si="153"/>
        <v>138710</v>
      </c>
      <c r="F9606" s="69">
        <v>6.3512576209099697E-2</v>
      </c>
      <c r="G9606" s="69">
        <v>6.6250000000000003E-2</v>
      </c>
    </row>
    <row r="9607" spans="1:7" x14ac:dyDescent="0.3">
      <c r="A9607" s="24">
        <v>44485</v>
      </c>
      <c r="B9607" s="66">
        <v>1728.98</v>
      </c>
      <c r="C9607" s="66">
        <v>1401.81</v>
      </c>
      <c r="D9607" s="70"/>
      <c r="E9607" s="111">
        <f t="shared" si="153"/>
        <v>138710</v>
      </c>
      <c r="F9607" s="69">
        <v>6.3512576209099697E-2</v>
      </c>
      <c r="G9607" s="69">
        <v>6.6250000000000003E-2</v>
      </c>
    </row>
    <row r="9608" spans="1:7" x14ac:dyDescent="0.3">
      <c r="A9608" s="24">
        <v>44486</v>
      </c>
      <c r="B9608" s="66">
        <v>1728.98</v>
      </c>
      <c r="C9608" s="66">
        <v>1401.81</v>
      </c>
      <c r="D9608" s="70"/>
      <c r="E9608" s="111">
        <f t="shared" si="153"/>
        <v>138710</v>
      </c>
      <c r="F9608" s="69">
        <v>6.3512576209099697E-2</v>
      </c>
      <c r="G9608" s="69">
        <v>6.6250000000000003E-2</v>
      </c>
    </row>
    <row r="9609" spans="1:7" x14ac:dyDescent="0.3">
      <c r="A9609" s="24">
        <v>44487</v>
      </c>
      <c r="B9609" s="66">
        <v>1728.98</v>
      </c>
      <c r="C9609" s="66">
        <v>1401.08</v>
      </c>
      <c r="D9609" s="70"/>
      <c r="E9609" s="111">
        <f t="shared" ref="E9609:E9672" si="154">+E9608</f>
        <v>138710</v>
      </c>
      <c r="F9609" s="69">
        <v>6.3512576209099697E-2</v>
      </c>
      <c r="G9609" s="69">
        <v>6.6791007157979643E-2</v>
      </c>
    </row>
    <row r="9610" spans="1:7" x14ac:dyDescent="0.3">
      <c r="A9610" s="24">
        <v>44488</v>
      </c>
      <c r="B9610" s="66">
        <v>1728.98</v>
      </c>
      <c r="C9610" s="66">
        <v>1400</v>
      </c>
      <c r="D9610" s="70"/>
      <c r="E9610" s="111">
        <f t="shared" si="154"/>
        <v>138710</v>
      </c>
      <c r="F9610" s="69">
        <v>6.3512576209099697E-2</v>
      </c>
      <c r="G9610" s="69">
        <v>6.6161921941415486E-2</v>
      </c>
    </row>
    <row r="9611" spans="1:7" x14ac:dyDescent="0.3">
      <c r="A9611" s="24">
        <v>44489</v>
      </c>
      <c r="B9611" s="66">
        <v>1728.98</v>
      </c>
      <c r="C9611" s="66">
        <v>1467.83</v>
      </c>
      <c r="D9611" s="70"/>
      <c r="E9611" s="111">
        <f t="shared" si="154"/>
        <v>138710</v>
      </c>
      <c r="F9611" s="69">
        <v>6.3512576209099697E-2</v>
      </c>
      <c r="G9611" s="69">
        <v>6.6666666666666666E-2</v>
      </c>
    </row>
    <row r="9612" spans="1:7" x14ac:dyDescent="0.3">
      <c r="A9612" s="24">
        <v>44490</v>
      </c>
      <c r="B9612" s="66">
        <v>1728.98</v>
      </c>
      <c r="C9612" s="66">
        <v>1472.88</v>
      </c>
      <c r="D9612" s="70"/>
      <c r="E9612" s="111">
        <f t="shared" si="154"/>
        <v>138710</v>
      </c>
      <c r="F9612" s="69">
        <v>6.3512576209099697E-2</v>
      </c>
      <c r="G9612" s="69">
        <v>6.6068312141610561E-2</v>
      </c>
    </row>
    <row r="9613" spans="1:7" x14ac:dyDescent="0.3">
      <c r="A9613" s="24">
        <v>44491</v>
      </c>
      <c r="B9613" s="66">
        <v>1728.98</v>
      </c>
      <c r="C9613" s="66">
        <v>1470</v>
      </c>
      <c r="D9613" s="70"/>
      <c r="E9613" s="111">
        <f t="shared" si="154"/>
        <v>138710</v>
      </c>
      <c r="F9613" s="69">
        <v>6.3512576209099697E-2</v>
      </c>
      <c r="G9613" s="69">
        <v>6.5030674846625766E-2</v>
      </c>
    </row>
    <row r="9614" spans="1:7" x14ac:dyDescent="0.3">
      <c r="A9614" s="24">
        <v>44492</v>
      </c>
      <c r="B9614" s="66">
        <v>1728.98</v>
      </c>
      <c r="C9614" s="66">
        <v>1470</v>
      </c>
      <c r="D9614" s="70"/>
      <c r="E9614" s="111">
        <f t="shared" si="154"/>
        <v>138710</v>
      </c>
      <c r="F9614" s="69">
        <v>6.3512576209099697E-2</v>
      </c>
      <c r="G9614" s="69">
        <v>6.5030674846625766E-2</v>
      </c>
    </row>
    <row r="9615" spans="1:7" x14ac:dyDescent="0.3">
      <c r="A9615" s="24">
        <v>44493</v>
      </c>
      <c r="B9615" s="66">
        <v>1728.98</v>
      </c>
      <c r="C9615" s="66">
        <v>1470</v>
      </c>
      <c r="D9615" s="70"/>
      <c r="E9615" s="111">
        <f t="shared" si="154"/>
        <v>138710</v>
      </c>
      <c r="F9615" s="69">
        <v>6.3512576209099697E-2</v>
      </c>
      <c r="G9615" s="69">
        <v>6.5030674846625766E-2</v>
      </c>
    </row>
    <row r="9616" spans="1:7" x14ac:dyDescent="0.3">
      <c r="A9616" s="24">
        <v>44494</v>
      </c>
      <c r="B9616" s="66">
        <v>1728.98</v>
      </c>
      <c r="C9616" s="66">
        <v>1490</v>
      </c>
      <c r="D9616" s="70"/>
      <c r="E9616" s="111">
        <f t="shared" si="154"/>
        <v>138710</v>
      </c>
      <c r="F9616" s="69">
        <v>6.3512576209099697E-2</v>
      </c>
      <c r="G9616" s="69">
        <v>6.5035462733452759E-2</v>
      </c>
    </row>
    <row r="9617" spans="1:7" x14ac:dyDescent="0.3">
      <c r="A9617" s="24">
        <v>44495</v>
      </c>
      <c r="B9617" s="66">
        <v>1728.98</v>
      </c>
      <c r="C9617" s="66">
        <v>1465.01</v>
      </c>
      <c r="D9617" s="70"/>
      <c r="E9617" s="111">
        <f t="shared" si="154"/>
        <v>138710</v>
      </c>
      <c r="F9617" s="69">
        <v>6.3512576209099697E-2</v>
      </c>
      <c r="G9617" s="69">
        <v>6.6666666666666666E-2</v>
      </c>
    </row>
    <row r="9618" spans="1:7" x14ac:dyDescent="0.3">
      <c r="A9618" s="24">
        <v>44496</v>
      </c>
      <c r="B9618" s="66">
        <v>1728.98</v>
      </c>
      <c r="C9618" s="66">
        <v>1468.83</v>
      </c>
      <c r="D9618" s="70"/>
      <c r="E9618" s="111">
        <f t="shared" si="154"/>
        <v>138710</v>
      </c>
      <c r="F9618" s="69">
        <v>6.3512576209099697E-2</v>
      </c>
      <c r="G9618" s="69">
        <v>6.7083937194245977E-2</v>
      </c>
    </row>
    <row r="9619" spans="1:7" x14ac:dyDescent="0.3">
      <c r="A9619" s="24">
        <v>44497</v>
      </c>
      <c r="B9619" s="66">
        <v>1728.98</v>
      </c>
      <c r="C9619" s="66">
        <v>1468.88</v>
      </c>
      <c r="D9619" s="70"/>
      <c r="E9619" s="111">
        <f t="shared" si="154"/>
        <v>138710</v>
      </c>
      <c r="F9619" s="69">
        <v>6.3512576209099697E-2</v>
      </c>
      <c r="G9619" s="69">
        <v>6.751592356687898E-2</v>
      </c>
    </row>
    <row r="9620" spans="1:7" x14ac:dyDescent="0.3">
      <c r="A9620" s="24">
        <v>44498</v>
      </c>
      <c r="B9620" s="66">
        <v>1728.98</v>
      </c>
      <c r="C9620" s="66">
        <v>1468.88</v>
      </c>
      <c r="D9620" s="70"/>
      <c r="E9620" s="111">
        <f t="shared" si="154"/>
        <v>138710</v>
      </c>
      <c r="F9620" s="69">
        <v>6.3512576209099697E-2</v>
      </c>
      <c r="G9620" s="69">
        <v>6.6250000000000003E-2</v>
      </c>
    </row>
    <row r="9621" spans="1:7" x14ac:dyDescent="0.3">
      <c r="A9621" s="24">
        <v>44499</v>
      </c>
      <c r="B9621" s="66">
        <v>1728.98</v>
      </c>
      <c r="C9621" s="66">
        <v>1468.88</v>
      </c>
      <c r="D9621" s="70"/>
      <c r="E9621" s="111">
        <f t="shared" si="154"/>
        <v>138710</v>
      </c>
      <c r="F9621" s="69">
        <v>6.3512576209099697E-2</v>
      </c>
      <c r="G9621" s="69">
        <v>6.6250000000000003E-2</v>
      </c>
    </row>
    <row r="9622" spans="1:7" x14ac:dyDescent="0.3">
      <c r="A9622" s="24">
        <v>44500</v>
      </c>
      <c r="B9622" s="66">
        <v>1728.98</v>
      </c>
      <c r="C9622" s="66">
        <v>1468.88</v>
      </c>
      <c r="D9622" s="70"/>
      <c r="E9622" s="111">
        <f t="shared" si="154"/>
        <v>138710</v>
      </c>
      <c r="F9622" s="69">
        <v>6.3512576209099697E-2</v>
      </c>
      <c r="G9622" s="69">
        <v>6.6250000000000003E-2</v>
      </c>
    </row>
    <row r="9623" spans="1:7" x14ac:dyDescent="0.3">
      <c r="A9623" s="24">
        <v>44501</v>
      </c>
      <c r="B9623" s="66">
        <v>1728.98</v>
      </c>
      <c r="C9623" s="66">
        <v>1468.88</v>
      </c>
      <c r="D9623" s="70"/>
      <c r="E9623" s="111">
        <f t="shared" si="154"/>
        <v>138710</v>
      </c>
      <c r="F9623" s="69">
        <v>6.3512576209099697E-2</v>
      </c>
      <c r="G9623" s="69">
        <v>6.6250000000000003E-2</v>
      </c>
    </row>
    <row r="9624" spans="1:7" x14ac:dyDescent="0.3">
      <c r="A9624" s="24">
        <v>44502</v>
      </c>
      <c r="B9624" s="66">
        <v>1728.98</v>
      </c>
      <c r="C9624" s="66">
        <v>1468.88</v>
      </c>
      <c r="D9624" s="70"/>
      <c r="E9624" s="111">
        <f t="shared" si="154"/>
        <v>138710</v>
      </c>
      <c r="F9624" s="69">
        <v>6.3512576209099697E-2</v>
      </c>
      <c r="G9624" s="69">
        <v>6.6250000000000003E-2</v>
      </c>
    </row>
    <row r="9625" spans="1:7" x14ac:dyDescent="0.3">
      <c r="A9625" s="24">
        <v>44503</v>
      </c>
      <c r="B9625" s="66">
        <v>1728.98</v>
      </c>
      <c r="C9625" s="66">
        <v>1455.96</v>
      </c>
      <c r="D9625" s="70"/>
      <c r="E9625" s="111">
        <f t="shared" si="154"/>
        <v>138710</v>
      </c>
      <c r="F9625" s="69">
        <v>6.3512576209099697E-2</v>
      </c>
      <c r="G9625" s="69">
        <v>6.8167202572347263E-2</v>
      </c>
    </row>
    <row r="9626" spans="1:7" x14ac:dyDescent="0.3">
      <c r="A9626" s="24">
        <v>44504</v>
      </c>
      <c r="B9626" s="66">
        <v>1728.98</v>
      </c>
      <c r="C9626" s="66">
        <v>1388.67</v>
      </c>
      <c r="D9626" s="70"/>
      <c r="E9626" s="111">
        <f t="shared" si="154"/>
        <v>138710</v>
      </c>
      <c r="F9626" s="69">
        <v>6.3512576209099697E-2</v>
      </c>
      <c r="G9626" s="69">
        <v>6.947812749891849E-2</v>
      </c>
    </row>
    <row r="9627" spans="1:7" x14ac:dyDescent="0.3">
      <c r="A9627" s="24">
        <v>44505</v>
      </c>
      <c r="B9627" s="66">
        <v>1728.98</v>
      </c>
      <c r="C9627" s="66">
        <v>1368.91</v>
      </c>
      <c r="D9627" s="70"/>
      <c r="E9627" s="111">
        <f t="shared" si="154"/>
        <v>138710</v>
      </c>
      <c r="F9627" s="69">
        <v>6.3512576209099697E-2</v>
      </c>
      <c r="G9627" s="69">
        <v>6.7818298144593725E-2</v>
      </c>
    </row>
    <row r="9628" spans="1:7" x14ac:dyDescent="0.3">
      <c r="A9628" s="24">
        <v>44506</v>
      </c>
      <c r="B9628" s="66">
        <v>1728.98</v>
      </c>
      <c r="C9628" s="66">
        <v>1368.91</v>
      </c>
      <c r="D9628" s="70"/>
      <c r="E9628" s="111">
        <f t="shared" si="154"/>
        <v>138710</v>
      </c>
      <c r="F9628" s="69">
        <v>6.3512576209099697E-2</v>
      </c>
      <c r="G9628" s="69">
        <v>6.7818298144593725E-2</v>
      </c>
    </row>
    <row r="9629" spans="1:7" x14ac:dyDescent="0.3">
      <c r="A9629" s="24">
        <v>44507</v>
      </c>
      <c r="B9629" s="66">
        <v>1728.98</v>
      </c>
      <c r="C9629" s="66">
        <v>1368.91</v>
      </c>
      <c r="D9629" s="70"/>
      <c r="E9629" s="111">
        <f t="shared" si="154"/>
        <v>138710</v>
      </c>
      <c r="F9629" s="69">
        <v>6.3512576209099697E-2</v>
      </c>
      <c r="G9629" s="69">
        <v>6.7818298144593725E-2</v>
      </c>
    </row>
    <row r="9630" spans="1:7" x14ac:dyDescent="0.3">
      <c r="A9630" s="24">
        <v>44508</v>
      </c>
      <c r="B9630" s="66">
        <v>1728.98</v>
      </c>
      <c r="C9630" s="66">
        <v>1349.03</v>
      </c>
      <c r="D9630" s="70"/>
      <c r="E9630" s="111">
        <f t="shared" si="154"/>
        <v>138710</v>
      </c>
      <c r="F9630" s="69">
        <v>6.3512576209099697E-2</v>
      </c>
      <c r="G9630" s="69">
        <v>6.5838509316770183E-2</v>
      </c>
    </row>
    <row r="9631" spans="1:7" x14ac:dyDescent="0.3">
      <c r="A9631" s="24">
        <v>44509</v>
      </c>
      <c r="B9631" s="66">
        <v>1728.98</v>
      </c>
      <c r="C9631" s="66">
        <v>1307.5</v>
      </c>
      <c r="D9631" s="70"/>
      <c r="E9631" s="111">
        <f t="shared" si="154"/>
        <v>138710</v>
      </c>
      <c r="F9631" s="69">
        <v>6.3512576209099697E-2</v>
      </c>
      <c r="G9631" s="69">
        <v>6.5920398009950254E-2</v>
      </c>
    </row>
    <row r="9632" spans="1:7" x14ac:dyDescent="0.3">
      <c r="A9632" s="24">
        <v>44510</v>
      </c>
      <c r="B9632" s="66">
        <v>1728.98</v>
      </c>
      <c r="C9632" s="66">
        <v>1270.94</v>
      </c>
      <c r="D9632" s="70"/>
      <c r="E9632" s="111">
        <f t="shared" si="154"/>
        <v>138710</v>
      </c>
      <c r="F9632" s="69">
        <v>6.3512576209099697E-2</v>
      </c>
      <c r="G9632" s="69">
        <v>6.5998381171782583E-2</v>
      </c>
    </row>
    <row r="9633" spans="1:7" x14ac:dyDescent="0.3">
      <c r="A9633" s="24">
        <v>44511</v>
      </c>
      <c r="B9633" s="66">
        <v>1728.98</v>
      </c>
      <c r="C9633" s="66">
        <v>1265.53</v>
      </c>
      <c r="D9633" s="70"/>
      <c r="E9633" s="111">
        <f t="shared" si="154"/>
        <v>138710</v>
      </c>
      <c r="F9633" s="69">
        <v>6.3512576209099697E-2</v>
      </c>
      <c r="G9633" s="69">
        <v>6.554092907358515E-2</v>
      </c>
    </row>
    <row r="9634" spans="1:7" x14ac:dyDescent="0.3">
      <c r="A9634" s="24">
        <v>44512</v>
      </c>
      <c r="B9634" s="66">
        <v>1728.98</v>
      </c>
      <c r="C9634" s="66">
        <v>1258.46</v>
      </c>
      <c r="D9634" s="70"/>
      <c r="E9634" s="111">
        <f t="shared" si="154"/>
        <v>138710</v>
      </c>
      <c r="F9634" s="69">
        <v>6.3512576209099697E-2</v>
      </c>
      <c r="G9634" s="69">
        <v>6.5291037881121033E-2</v>
      </c>
    </row>
    <row r="9635" spans="1:7" x14ac:dyDescent="0.3">
      <c r="A9635" s="24">
        <v>44513</v>
      </c>
      <c r="B9635" s="66">
        <v>1728.98</v>
      </c>
      <c r="C9635" s="66">
        <v>1258.46</v>
      </c>
      <c r="D9635" s="70"/>
      <c r="E9635" s="111">
        <f t="shared" si="154"/>
        <v>138710</v>
      </c>
      <c r="F9635" s="69">
        <v>6.3512576209099697E-2</v>
      </c>
      <c r="G9635" s="69">
        <v>6.5291037881121033E-2</v>
      </c>
    </row>
    <row r="9636" spans="1:7" x14ac:dyDescent="0.3">
      <c r="A9636" s="24">
        <v>44514</v>
      </c>
      <c r="B9636" s="66">
        <v>1728.98</v>
      </c>
      <c r="C9636" s="66">
        <v>1258.46</v>
      </c>
      <c r="D9636" s="70"/>
      <c r="E9636" s="111">
        <f t="shared" si="154"/>
        <v>138710</v>
      </c>
      <c r="F9636" s="69">
        <v>6.3512576209099697E-2</v>
      </c>
      <c r="G9636" s="69">
        <v>6.5291037881121033E-2</v>
      </c>
    </row>
    <row r="9637" spans="1:7" x14ac:dyDescent="0.3">
      <c r="A9637" s="24">
        <v>44515</v>
      </c>
      <c r="B9637" s="66">
        <v>1728.98</v>
      </c>
      <c r="C9637" s="66">
        <v>1263.53</v>
      </c>
      <c r="D9637" s="70"/>
      <c r="E9637" s="111">
        <f t="shared" si="154"/>
        <v>138710</v>
      </c>
      <c r="F9637" s="69">
        <v>6.3512576209099697E-2</v>
      </c>
      <c r="G9637" s="69">
        <v>6.3192283387583315E-2</v>
      </c>
    </row>
    <row r="9638" spans="1:7" x14ac:dyDescent="0.3">
      <c r="A9638" s="24">
        <v>44516</v>
      </c>
      <c r="B9638" s="66">
        <v>1728.98</v>
      </c>
      <c r="C9638" s="66">
        <v>1249.9000000000001</v>
      </c>
      <c r="D9638" s="70"/>
      <c r="E9638" s="111">
        <f t="shared" si="154"/>
        <v>138710</v>
      </c>
      <c r="F9638" s="69">
        <v>6.3512576209099697E-2</v>
      </c>
      <c r="G9638" s="69">
        <v>6.3321385902031069E-2</v>
      </c>
    </row>
    <row r="9639" spans="1:7" x14ac:dyDescent="0.3">
      <c r="A9639" s="24">
        <v>44517</v>
      </c>
      <c r="B9639" s="66">
        <v>1728.98</v>
      </c>
      <c r="C9639" s="66">
        <v>1181.3499999999999</v>
      </c>
      <c r="D9639" s="70"/>
      <c r="E9639" s="111">
        <f t="shared" si="154"/>
        <v>138710</v>
      </c>
      <c r="F9639" s="69">
        <v>6.3512576209099697E-2</v>
      </c>
      <c r="G9639" s="69">
        <v>6.2813698126848116E-2</v>
      </c>
    </row>
    <row r="9640" spans="1:7" x14ac:dyDescent="0.3">
      <c r="A9640" s="24">
        <v>44518</v>
      </c>
      <c r="B9640" s="66">
        <v>1728.98</v>
      </c>
      <c r="C9640" s="66">
        <v>1187.3499999999999</v>
      </c>
      <c r="D9640" s="70"/>
      <c r="E9640" s="111">
        <f t="shared" si="154"/>
        <v>138710</v>
      </c>
      <c r="F9640" s="69">
        <v>6.1272384651845688E-2</v>
      </c>
      <c r="G9640" s="69">
        <v>6.3370219583789175E-2</v>
      </c>
    </row>
    <row r="9641" spans="1:7" x14ac:dyDescent="0.3">
      <c r="A9641" s="24">
        <v>44519</v>
      </c>
      <c r="B9641" s="66">
        <v>1728.98</v>
      </c>
      <c r="C9641" s="66">
        <v>1238.67</v>
      </c>
      <c r="D9641" s="70"/>
      <c r="E9641" s="111">
        <f t="shared" si="154"/>
        <v>138710</v>
      </c>
      <c r="F9641" s="69">
        <v>6.1272384651845688E-2</v>
      </c>
      <c r="G9641" s="69">
        <v>6.3025085173051429E-2</v>
      </c>
    </row>
    <row r="9642" spans="1:7" x14ac:dyDescent="0.3">
      <c r="A9642" s="24">
        <v>44520</v>
      </c>
      <c r="B9642" s="66">
        <v>1728.98</v>
      </c>
      <c r="C9642" s="66">
        <v>1238.67</v>
      </c>
      <c r="D9642" s="70"/>
      <c r="E9642" s="111">
        <f t="shared" si="154"/>
        <v>138710</v>
      </c>
      <c r="F9642" s="69">
        <v>6.1272384651845688E-2</v>
      </c>
      <c r="G9642" s="69">
        <v>6.3025085173051429E-2</v>
      </c>
    </row>
    <row r="9643" spans="1:7" x14ac:dyDescent="0.3">
      <c r="A9643" s="24">
        <v>44521</v>
      </c>
      <c r="B9643" s="66">
        <v>1728.98</v>
      </c>
      <c r="C9643" s="66">
        <v>1238.67</v>
      </c>
      <c r="D9643" s="70"/>
      <c r="E9643" s="111">
        <f t="shared" si="154"/>
        <v>138710</v>
      </c>
      <c r="F9643" s="69">
        <v>6.1272384651845688E-2</v>
      </c>
      <c r="G9643" s="69">
        <v>6.3025085173051429E-2</v>
      </c>
    </row>
    <row r="9644" spans="1:7" x14ac:dyDescent="0.3">
      <c r="A9644" s="24">
        <v>44522</v>
      </c>
      <c r="B9644" s="66">
        <v>1728.98</v>
      </c>
      <c r="C9644" s="66">
        <v>1251.56</v>
      </c>
      <c r="D9644" s="70"/>
      <c r="E9644" s="111">
        <f t="shared" si="154"/>
        <v>138710</v>
      </c>
      <c r="F9644" s="69">
        <v>6.1272384651845688E-2</v>
      </c>
      <c r="G9644" s="69">
        <v>6.3025085173051429E-2</v>
      </c>
    </row>
    <row r="9645" spans="1:7" x14ac:dyDescent="0.3">
      <c r="A9645" s="24">
        <v>44523</v>
      </c>
      <c r="B9645" s="66">
        <v>1728.98</v>
      </c>
      <c r="C9645" s="66">
        <v>1250</v>
      </c>
      <c r="D9645" s="70"/>
      <c r="E9645" s="111">
        <f t="shared" si="154"/>
        <v>138710</v>
      </c>
      <c r="F9645" s="69">
        <v>6.1272384651845688E-2</v>
      </c>
      <c r="G9645" s="69">
        <v>6.1988304093567252E-2</v>
      </c>
    </row>
    <row r="9646" spans="1:7" x14ac:dyDescent="0.3">
      <c r="A9646" s="24">
        <v>44524</v>
      </c>
      <c r="B9646" s="66">
        <v>1748.1083000000001</v>
      </c>
      <c r="C9646" s="66">
        <v>1242.5999999999999</v>
      </c>
      <c r="D9646" s="70"/>
      <c r="E9646" s="111">
        <f t="shared" si="154"/>
        <v>138710</v>
      </c>
      <c r="F9646" s="69">
        <v>6.1272384651845688E-2</v>
      </c>
      <c r="G9646" s="69">
        <v>6.1627906976744189E-2</v>
      </c>
    </row>
    <row r="9647" spans="1:7" x14ac:dyDescent="0.3">
      <c r="A9647" s="24">
        <v>44525</v>
      </c>
      <c r="B9647" s="66">
        <v>1748.1083000000001</v>
      </c>
      <c r="C9647" s="66">
        <v>1247.3399999999999</v>
      </c>
      <c r="D9647" s="70"/>
      <c r="E9647" s="111">
        <f t="shared" si="154"/>
        <v>138710</v>
      </c>
      <c r="F9647" s="69">
        <v>6.1272384651845688E-2</v>
      </c>
      <c r="G9647" s="69">
        <v>6.1608206678097119E-2</v>
      </c>
    </row>
    <row r="9648" spans="1:7" x14ac:dyDescent="0.3">
      <c r="A9648" s="24">
        <v>44526</v>
      </c>
      <c r="B9648" s="66">
        <v>1748.1083000000001</v>
      </c>
      <c r="C9648" s="66">
        <v>1252.29</v>
      </c>
      <c r="D9648" s="70"/>
      <c r="E9648" s="111">
        <f t="shared" si="154"/>
        <v>138710</v>
      </c>
      <c r="F9648" s="69">
        <v>6.1272384651845688E-2</v>
      </c>
      <c r="G9648" s="69">
        <v>6.1271676300578032E-2</v>
      </c>
    </row>
    <row r="9649" spans="1:7" x14ac:dyDescent="0.3">
      <c r="A9649" s="24">
        <v>44527</v>
      </c>
      <c r="B9649" s="66">
        <v>1748.1083000000001</v>
      </c>
      <c r="C9649" s="66">
        <v>1252.29</v>
      </c>
      <c r="D9649" s="70"/>
      <c r="E9649" s="111">
        <f t="shared" si="154"/>
        <v>138710</v>
      </c>
      <c r="F9649" s="69">
        <v>6.1272384651845688E-2</v>
      </c>
      <c r="G9649" s="69">
        <v>6.1271676300578032E-2</v>
      </c>
    </row>
    <row r="9650" spans="1:7" x14ac:dyDescent="0.3">
      <c r="A9650" s="24">
        <v>44528</v>
      </c>
      <c r="B9650" s="66">
        <v>1748.1083000000001</v>
      </c>
      <c r="C9650" s="66">
        <v>1252.29</v>
      </c>
      <c r="D9650" s="70"/>
      <c r="E9650" s="111">
        <f t="shared" si="154"/>
        <v>138710</v>
      </c>
      <c r="F9650" s="69">
        <v>6.1272384651845688E-2</v>
      </c>
      <c r="G9650" s="69">
        <v>6.1271676300578032E-2</v>
      </c>
    </row>
    <row r="9651" spans="1:7" x14ac:dyDescent="0.3">
      <c r="A9651" s="24">
        <v>44529</v>
      </c>
      <c r="B9651" s="66">
        <v>1748.1083000000001</v>
      </c>
      <c r="C9651" s="66">
        <v>1259.9000000000001</v>
      </c>
      <c r="D9651" s="70"/>
      <c r="E9651" s="111">
        <f t="shared" si="154"/>
        <v>138710</v>
      </c>
      <c r="F9651" s="69">
        <v>6.1272384651845688E-2</v>
      </c>
      <c r="G9651" s="69">
        <v>6.0965790139646168E-2</v>
      </c>
    </row>
    <row r="9652" spans="1:7" x14ac:dyDescent="0.3">
      <c r="A9652" s="24">
        <v>44530</v>
      </c>
      <c r="B9652" s="66">
        <v>1748.1083000000001</v>
      </c>
      <c r="C9652" s="66">
        <v>1260.3800000000001</v>
      </c>
      <c r="D9652" s="70"/>
      <c r="E9652" s="111">
        <f t="shared" si="154"/>
        <v>138710</v>
      </c>
      <c r="F9652" s="69">
        <v>6.1272384651845688E-2</v>
      </c>
      <c r="G9652" s="69">
        <v>6.198504172295026E-2</v>
      </c>
    </row>
    <row r="9653" spans="1:7" x14ac:dyDescent="0.3">
      <c r="A9653" s="24">
        <v>44531</v>
      </c>
      <c r="B9653" s="66">
        <v>1748.1083000000001</v>
      </c>
      <c r="C9653" s="66">
        <v>1260.1600000000001</v>
      </c>
      <c r="D9653" s="70"/>
      <c r="E9653" s="111">
        <f t="shared" si="154"/>
        <v>138710</v>
      </c>
      <c r="F9653" s="69">
        <v>6.1272384651845688E-2</v>
      </c>
      <c r="G9653" s="69">
        <v>6.1988304093567252E-2</v>
      </c>
    </row>
    <row r="9654" spans="1:7" x14ac:dyDescent="0.3">
      <c r="A9654" s="24">
        <v>44532</v>
      </c>
      <c r="B9654" s="66">
        <v>1748.1083000000001</v>
      </c>
      <c r="C9654" s="66">
        <v>1256.49</v>
      </c>
      <c r="D9654" s="70"/>
      <c r="E9654" s="111">
        <f t="shared" si="154"/>
        <v>138710</v>
      </c>
      <c r="F9654" s="69">
        <v>6.1272384651845688E-2</v>
      </c>
      <c r="G9654" s="69">
        <v>6.1988304093567252E-2</v>
      </c>
    </row>
    <row r="9655" spans="1:7" x14ac:dyDescent="0.3">
      <c r="A9655" s="24">
        <v>44533</v>
      </c>
      <c r="B9655" s="66">
        <v>1748.1083000000001</v>
      </c>
      <c r="C9655" s="66">
        <v>1269.21</v>
      </c>
      <c r="D9655" s="70"/>
      <c r="E9655" s="111">
        <f t="shared" si="154"/>
        <v>138710</v>
      </c>
      <c r="F9655" s="69">
        <v>6.1272384651845688E-2</v>
      </c>
      <c r="G9655" s="69">
        <v>6.2710761403301188E-2</v>
      </c>
    </row>
    <row r="9656" spans="1:7" x14ac:dyDescent="0.3">
      <c r="A9656" s="24">
        <v>44534</v>
      </c>
      <c r="B9656" s="66">
        <v>1748.1083000000001</v>
      </c>
      <c r="C9656" s="66">
        <v>1269.21</v>
      </c>
      <c r="D9656" s="70"/>
      <c r="E9656" s="111">
        <f t="shared" si="154"/>
        <v>138710</v>
      </c>
      <c r="F9656" s="69">
        <v>6.1272384651845688E-2</v>
      </c>
      <c r="G9656" s="69">
        <v>6.2710761403301188E-2</v>
      </c>
    </row>
    <row r="9657" spans="1:7" x14ac:dyDescent="0.3">
      <c r="A9657" s="24">
        <v>44535</v>
      </c>
      <c r="B9657" s="66">
        <v>1748.1083000000001</v>
      </c>
      <c r="C9657" s="66">
        <v>1269.21</v>
      </c>
      <c r="D9657" s="70"/>
      <c r="E9657" s="111">
        <f t="shared" si="154"/>
        <v>138710</v>
      </c>
      <c r="F9657" s="69">
        <v>6.1272384651845688E-2</v>
      </c>
      <c r="G9657" s="69">
        <v>6.2710761403301188E-2</v>
      </c>
    </row>
    <row r="9658" spans="1:7" x14ac:dyDescent="0.3">
      <c r="A9658" s="24">
        <v>44536</v>
      </c>
      <c r="B9658" s="66">
        <v>1748.1083000000001</v>
      </c>
      <c r="C9658" s="66">
        <v>1266.0999999999999</v>
      </c>
      <c r="D9658" s="70"/>
      <c r="E9658" s="111">
        <f t="shared" si="154"/>
        <v>138710</v>
      </c>
      <c r="F9658" s="69">
        <v>6.1272384651845688E-2</v>
      </c>
      <c r="G9658" s="69">
        <v>6.4437689969604861E-2</v>
      </c>
    </row>
    <row r="9659" spans="1:7" x14ac:dyDescent="0.3">
      <c r="A9659" s="24">
        <v>44537</v>
      </c>
      <c r="B9659" s="66">
        <v>1748.1083000000001</v>
      </c>
      <c r="C9659" s="66">
        <v>1308.33</v>
      </c>
      <c r="D9659" s="70"/>
      <c r="E9659" s="111">
        <f t="shared" si="154"/>
        <v>138710</v>
      </c>
      <c r="F9659" s="69">
        <v>6.1272384651845688E-2</v>
      </c>
      <c r="G9659" s="69">
        <v>6.4437689969604861E-2</v>
      </c>
    </row>
    <row r="9660" spans="1:7" x14ac:dyDescent="0.3">
      <c r="A9660" s="24">
        <v>44538</v>
      </c>
      <c r="B9660" s="66">
        <v>1748.1083000000001</v>
      </c>
      <c r="C9660" s="66">
        <v>1308.33</v>
      </c>
      <c r="D9660" s="70"/>
      <c r="E9660" s="111">
        <f t="shared" si="154"/>
        <v>138710</v>
      </c>
      <c r="F9660" s="69">
        <v>6.1272384651845688E-2</v>
      </c>
      <c r="G9660" s="69">
        <v>6.4226854095976726E-2</v>
      </c>
    </row>
    <row r="9661" spans="1:7" x14ac:dyDescent="0.3">
      <c r="A9661" s="24">
        <v>44539</v>
      </c>
      <c r="B9661" s="66">
        <v>1748.1083000000001</v>
      </c>
      <c r="C9661" s="66">
        <v>1320.84</v>
      </c>
      <c r="D9661" s="70"/>
      <c r="E9661" s="111">
        <f t="shared" si="154"/>
        <v>138710</v>
      </c>
      <c r="F9661" s="69">
        <v>6.1272384651845688E-2</v>
      </c>
      <c r="G9661" s="69">
        <v>6.424242424242424E-2</v>
      </c>
    </row>
    <row r="9662" spans="1:7" x14ac:dyDescent="0.3">
      <c r="A9662" s="24">
        <v>44540</v>
      </c>
      <c r="B9662" s="66">
        <v>1748.1083000000001</v>
      </c>
      <c r="C9662" s="66">
        <v>1329.16</v>
      </c>
      <c r="D9662" s="70"/>
      <c r="E9662" s="111">
        <f t="shared" si="154"/>
        <v>138710</v>
      </c>
      <c r="F9662" s="69">
        <v>6.1272384651845688E-2</v>
      </c>
      <c r="G9662" s="69">
        <v>6.4507883958836665E-2</v>
      </c>
    </row>
    <row r="9663" spans="1:7" x14ac:dyDescent="0.3">
      <c r="A9663" s="24">
        <v>44541</v>
      </c>
      <c r="B9663" s="66">
        <v>1748.1083000000001</v>
      </c>
      <c r="C9663" s="66">
        <v>1329.16</v>
      </c>
      <c r="D9663" s="70"/>
      <c r="E9663" s="111">
        <f t="shared" si="154"/>
        <v>138710</v>
      </c>
      <c r="F9663" s="69">
        <v>6.1272384651845688E-2</v>
      </c>
      <c r="G9663" s="69">
        <v>6.4507883958836665E-2</v>
      </c>
    </row>
    <row r="9664" spans="1:7" x14ac:dyDescent="0.3">
      <c r="A9664" s="24">
        <v>44542</v>
      </c>
      <c r="B9664" s="66">
        <v>1748.1083000000001</v>
      </c>
      <c r="C9664" s="66">
        <v>1329.16</v>
      </c>
      <c r="D9664" s="70"/>
      <c r="E9664" s="111">
        <f t="shared" si="154"/>
        <v>138710</v>
      </c>
      <c r="F9664" s="69">
        <v>6.1272384651845688E-2</v>
      </c>
      <c r="G9664" s="69">
        <v>6.4507883958836665E-2</v>
      </c>
    </row>
    <row r="9665" spans="1:7" x14ac:dyDescent="0.3">
      <c r="A9665" s="24">
        <v>44543</v>
      </c>
      <c r="B9665" s="66">
        <v>1748.1083000000001</v>
      </c>
      <c r="C9665" s="66">
        <v>1329.7</v>
      </c>
      <c r="D9665" s="70"/>
      <c r="E9665" s="111">
        <f t="shared" si="154"/>
        <v>138710</v>
      </c>
      <c r="F9665" s="69">
        <v>6.1272384651845688E-2</v>
      </c>
      <c r="G9665" s="69">
        <v>6.5030674846625766E-2</v>
      </c>
    </row>
    <row r="9666" spans="1:7" x14ac:dyDescent="0.3">
      <c r="A9666" s="24">
        <v>44544</v>
      </c>
      <c r="B9666" s="66">
        <v>1748.1083000000001</v>
      </c>
      <c r="C9666" s="66">
        <v>1300</v>
      </c>
      <c r="D9666" s="70"/>
      <c r="E9666" s="111">
        <f t="shared" si="154"/>
        <v>138710</v>
      </c>
      <c r="F9666" s="69">
        <v>6.1272384651845688E-2</v>
      </c>
      <c r="G9666" s="69">
        <v>6.5030674846625766E-2</v>
      </c>
    </row>
    <row r="9667" spans="1:7" x14ac:dyDescent="0.3">
      <c r="A9667" s="24">
        <v>44545</v>
      </c>
      <c r="B9667" s="66">
        <v>1748.1083000000001</v>
      </c>
      <c r="C9667" s="66">
        <v>1313.17</v>
      </c>
      <c r="D9667" s="70"/>
      <c r="E9667" s="111">
        <f t="shared" si="154"/>
        <v>138710</v>
      </c>
      <c r="F9667" s="69">
        <v>6.1272384651845688E-2</v>
      </c>
      <c r="G9667" s="69">
        <v>6.5030674846625766E-2</v>
      </c>
    </row>
    <row r="9668" spans="1:7" x14ac:dyDescent="0.3">
      <c r="A9668" s="24">
        <v>44546</v>
      </c>
      <c r="B9668" s="66">
        <v>1748.1083000000001</v>
      </c>
      <c r="C9668" s="66">
        <v>1284.8499999999999</v>
      </c>
      <c r="D9668" s="70"/>
      <c r="E9668" s="111">
        <f t="shared" si="154"/>
        <v>138710</v>
      </c>
      <c r="F9668" s="69">
        <v>6.1272384651845688E-2</v>
      </c>
      <c r="G9668" s="69">
        <v>6.5037058852402699E-2</v>
      </c>
    </row>
    <row r="9669" spans="1:7" x14ac:dyDescent="0.3">
      <c r="A9669" s="24">
        <v>44547</v>
      </c>
      <c r="B9669" s="66">
        <v>1748.1083000000001</v>
      </c>
      <c r="C9669" s="66">
        <v>1286.68</v>
      </c>
      <c r="D9669" s="70">
        <v>18</v>
      </c>
      <c r="E9669" s="111">
        <f t="shared" si="154"/>
        <v>138710</v>
      </c>
      <c r="F9669" s="69">
        <v>7.1677129215366647E-2</v>
      </c>
      <c r="G9669" s="69">
        <v>7.6073619631901845E-2</v>
      </c>
    </row>
    <row r="9670" spans="1:7" x14ac:dyDescent="0.3">
      <c r="A9670" s="24">
        <v>44548</v>
      </c>
      <c r="B9670" s="66">
        <v>1748.1083000000001</v>
      </c>
      <c r="C9670" s="66">
        <v>1286.68</v>
      </c>
      <c r="D9670" s="70"/>
      <c r="E9670" s="111">
        <f t="shared" si="154"/>
        <v>138710</v>
      </c>
      <c r="F9670" s="69">
        <v>7.1677129215366647E-2</v>
      </c>
      <c r="G9670" s="69">
        <v>7.6073619631901845E-2</v>
      </c>
    </row>
    <row r="9671" spans="1:7" x14ac:dyDescent="0.3">
      <c r="A9671" s="24">
        <v>44549</v>
      </c>
      <c r="B9671" s="66">
        <v>1748.1083000000001</v>
      </c>
      <c r="C9671" s="66">
        <v>1286.68</v>
      </c>
      <c r="D9671" s="70"/>
      <c r="E9671" s="111">
        <f t="shared" si="154"/>
        <v>138710</v>
      </c>
      <c r="F9671" s="69">
        <v>7.1677129215366647E-2</v>
      </c>
      <c r="G9671" s="69">
        <v>7.6073619631901845E-2</v>
      </c>
    </row>
    <row r="9672" spans="1:7" x14ac:dyDescent="0.3">
      <c r="A9672" s="24">
        <v>44550</v>
      </c>
      <c r="B9672" s="66">
        <v>1748.1083000000001</v>
      </c>
      <c r="C9672" s="66">
        <v>1280</v>
      </c>
      <c r="D9672" s="70"/>
      <c r="E9672" s="111">
        <f t="shared" si="154"/>
        <v>138710</v>
      </c>
      <c r="F9672" s="69">
        <v>7.1677129215366647E-2</v>
      </c>
      <c r="G9672" s="69">
        <v>7.6090424879114396E-2</v>
      </c>
    </row>
    <row r="9673" spans="1:7" x14ac:dyDescent="0.3">
      <c r="A9673" s="24">
        <v>44551</v>
      </c>
      <c r="B9673" s="66">
        <v>1748.1083000000001</v>
      </c>
      <c r="C9673" s="66">
        <v>1275</v>
      </c>
      <c r="D9673" s="70"/>
      <c r="E9673" s="111">
        <f t="shared" ref="E9673:E9736" si="155">+E9672</f>
        <v>138710</v>
      </c>
      <c r="F9673" s="69">
        <v>6.1272384651845688E-2</v>
      </c>
      <c r="G9673" s="69">
        <v>6.5173015912053323E-2</v>
      </c>
    </row>
    <row r="9674" spans="1:7" x14ac:dyDescent="0.3">
      <c r="A9674" s="24">
        <v>44552</v>
      </c>
      <c r="B9674" s="66">
        <v>1748.1083000000001</v>
      </c>
      <c r="C9674" s="66">
        <v>1260</v>
      </c>
      <c r="D9674" s="70"/>
      <c r="E9674" s="111">
        <f t="shared" si="155"/>
        <v>138710</v>
      </c>
      <c r="F9674" s="69">
        <v>6.1272384651845688E-2</v>
      </c>
      <c r="G9674" s="69">
        <v>6.4048338368580066E-2</v>
      </c>
    </row>
    <row r="9675" spans="1:7" x14ac:dyDescent="0.3">
      <c r="A9675" s="24">
        <v>44553</v>
      </c>
      <c r="B9675" s="66">
        <v>1748.1083000000001</v>
      </c>
      <c r="C9675" s="66">
        <v>1285.52</v>
      </c>
      <c r="D9675" s="70"/>
      <c r="E9675" s="111">
        <f t="shared" si="155"/>
        <v>138710</v>
      </c>
      <c r="F9675" s="69">
        <v>6.1272384651845688E-2</v>
      </c>
      <c r="G9675" s="69">
        <v>6.4509846880401178E-2</v>
      </c>
    </row>
    <row r="9676" spans="1:7" x14ac:dyDescent="0.3">
      <c r="A9676" s="24">
        <v>44554</v>
      </c>
      <c r="B9676" s="66">
        <v>1748.1083000000001</v>
      </c>
      <c r="C9676" s="66">
        <v>1354.45</v>
      </c>
      <c r="D9676" s="70"/>
      <c r="E9676" s="111">
        <f t="shared" si="155"/>
        <v>138710</v>
      </c>
      <c r="F9676" s="69">
        <v>6.1272384651845688E-2</v>
      </c>
      <c r="G9676" s="69">
        <v>6.4509846880401178E-2</v>
      </c>
    </row>
    <row r="9677" spans="1:7" x14ac:dyDescent="0.3">
      <c r="A9677" s="24">
        <v>44555</v>
      </c>
      <c r="B9677" s="66">
        <v>1748.1083000000001</v>
      </c>
      <c r="C9677" s="66">
        <v>1354.45</v>
      </c>
      <c r="D9677" s="70"/>
      <c r="E9677" s="111">
        <f t="shared" si="155"/>
        <v>138710</v>
      </c>
      <c r="F9677" s="69">
        <v>6.1272384651845688E-2</v>
      </c>
      <c r="G9677" s="69">
        <v>6.4509846880401178E-2</v>
      </c>
    </row>
    <row r="9678" spans="1:7" x14ac:dyDescent="0.3">
      <c r="A9678" s="24">
        <v>44556</v>
      </c>
      <c r="B9678" s="66">
        <v>1748.1083000000001</v>
      </c>
      <c r="C9678" s="66">
        <v>1354.45</v>
      </c>
      <c r="D9678" s="70"/>
      <c r="E9678" s="111">
        <f t="shared" si="155"/>
        <v>138710</v>
      </c>
      <c r="F9678" s="69">
        <v>6.1272384651845688E-2</v>
      </c>
      <c r="G9678" s="69">
        <v>6.4509846880401178E-2</v>
      </c>
    </row>
    <row r="9679" spans="1:7" x14ac:dyDescent="0.3">
      <c r="A9679" s="24">
        <v>44557</v>
      </c>
      <c r="B9679" s="66">
        <v>1748.1083000000001</v>
      </c>
      <c r="C9679" s="66">
        <v>1346.47</v>
      </c>
      <c r="D9679" s="70"/>
      <c r="E9679" s="111">
        <f t="shared" si="155"/>
        <v>138710</v>
      </c>
      <c r="F9679" s="69">
        <v>6.1272384651845688E-2</v>
      </c>
      <c r="G9679" s="69">
        <v>6.4651886188283367E-2</v>
      </c>
    </row>
    <row r="9680" spans="1:7" x14ac:dyDescent="0.3">
      <c r="A9680" s="24">
        <v>44558</v>
      </c>
      <c r="B9680" s="66">
        <v>1748.1083000000001</v>
      </c>
      <c r="C9680" s="66">
        <v>1340</v>
      </c>
      <c r="D9680" s="70"/>
      <c r="E9680" s="111">
        <f t="shared" si="155"/>
        <v>138710</v>
      </c>
      <c r="F9680" s="69">
        <v>6.1272384651845688E-2</v>
      </c>
      <c r="G9680" s="69">
        <v>6.5171813805357609E-2</v>
      </c>
    </row>
    <row r="9681" spans="1:7" x14ac:dyDescent="0.3">
      <c r="A9681" s="24">
        <v>44559</v>
      </c>
      <c r="B9681" s="66">
        <v>1748.1083000000001</v>
      </c>
      <c r="C9681" s="66">
        <v>1339.24</v>
      </c>
      <c r="D9681" s="70"/>
      <c r="E9681" s="111">
        <f t="shared" si="155"/>
        <v>138710</v>
      </c>
      <c r="F9681" s="69">
        <v>6.1272384651845688E-2</v>
      </c>
      <c r="G9681" s="69">
        <v>6.4634146341463417E-2</v>
      </c>
    </row>
    <row r="9682" spans="1:7" x14ac:dyDescent="0.3">
      <c r="A9682" s="24">
        <v>44560</v>
      </c>
      <c r="B9682" s="66">
        <v>1748.1083000000001</v>
      </c>
      <c r="C9682" s="66">
        <v>1339</v>
      </c>
      <c r="D9682" s="70"/>
      <c r="E9682" s="111">
        <f t="shared" si="155"/>
        <v>138710</v>
      </c>
      <c r="F9682" s="69">
        <v>6.1272384651845688E-2</v>
      </c>
      <c r="G9682" s="69">
        <v>6.4634146341463417E-2</v>
      </c>
    </row>
    <row r="9683" spans="1:7" x14ac:dyDescent="0.3">
      <c r="A9683" s="24">
        <v>44561</v>
      </c>
      <c r="B9683" s="66">
        <v>1748.1083000000001</v>
      </c>
      <c r="C9683" s="66">
        <v>1339</v>
      </c>
      <c r="D9683" s="70"/>
      <c r="E9683" s="111">
        <f t="shared" si="155"/>
        <v>138710</v>
      </c>
      <c r="F9683" s="69">
        <v>6.1272384651845688E-2</v>
      </c>
      <c r="G9683" s="69">
        <v>6.4634146341463417E-2</v>
      </c>
    </row>
    <row r="9684" spans="1:7" x14ac:dyDescent="0.3">
      <c r="A9684" s="24">
        <v>44562</v>
      </c>
      <c r="B9684" s="66">
        <v>1748.1083000000001</v>
      </c>
      <c r="C9684" s="66">
        <v>1339</v>
      </c>
      <c r="D9684" s="70"/>
      <c r="E9684" s="111">
        <f t="shared" si="155"/>
        <v>138710</v>
      </c>
      <c r="F9684" s="69">
        <v>6.1272384651845688E-2</v>
      </c>
      <c r="G9684" s="69">
        <v>6.4634146341463417E-2</v>
      </c>
    </row>
    <row r="9685" spans="1:7" x14ac:dyDescent="0.3">
      <c r="A9685" s="24">
        <v>44563</v>
      </c>
      <c r="B9685" s="66">
        <v>1748.1083000000001</v>
      </c>
      <c r="C9685" s="66">
        <v>1339</v>
      </c>
      <c r="D9685" s="70"/>
      <c r="E9685" s="111">
        <f t="shared" si="155"/>
        <v>138710</v>
      </c>
      <c r="F9685" s="69">
        <v>6.1272384651845688E-2</v>
      </c>
      <c r="G9685" s="69">
        <v>6.4634146341463417E-2</v>
      </c>
    </row>
    <row r="9686" spans="1:7" x14ac:dyDescent="0.3">
      <c r="A9686" s="24">
        <v>44564</v>
      </c>
      <c r="B9686" s="66">
        <v>1748.1083000000001</v>
      </c>
      <c r="C9686" s="66">
        <v>1339</v>
      </c>
      <c r="D9686" s="70"/>
      <c r="E9686" s="111">
        <f t="shared" si="155"/>
        <v>138710</v>
      </c>
      <c r="F9686" s="69">
        <v>6.1272384651845688E-2</v>
      </c>
      <c r="G9686" s="69">
        <v>6.5054621333006005E-2</v>
      </c>
    </row>
    <row r="9687" spans="1:7" x14ac:dyDescent="0.3">
      <c r="A9687" s="24">
        <v>44565</v>
      </c>
      <c r="B9687" s="66">
        <v>1748.1083000000001</v>
      </c>
      <c r="C9687" s="66">
        <v>1331.18</v>
      </c>
      <c r="D9687" s="70"/>
      <c r="E9687" s="111">
        <f t="shared" si="155"/>
        <v>138710</v>
      </c>
      <c r="F9687" s="69">
        <v>6.1272384651845688E-2</v>
      </c>
      <c r="G9687" s="69">
        <v>6.4810002751368043E-2</v>
      </c>
    </row>
    <row r="9688" spans="1:7" x14ac:dyDescent="0.3">
      <c r="A9688" s="24">
        <v>44566</v>
      </c>
      <c r="B9688" s="66">
        <v>1748.1083000000001</v>
      </c>
      <c r="C9688" s="66">
        <v>1324.74</v>
      </c>
      <c r="D9688" s="70"/>
      <c r="E9688" s="111">
        <f t="shared" si="155"/>
        <v>138710</v>
      </c>
      <c r="F9688" s="69">
        <v>6.1272384651845688E-2</v>
      </c>
      <c r="G9688" s="69">
        <v>6.4968496408345386E-2</v>
      </c>
    </row>
    <row r="9689" spans="1:7" x14ac:dyDescent="0.3">
      <c r="A9689" s="24">
        <v>44567</v>
      </c>
      <c r="B9689" s="66">
        <v>1748.1083000000001</v>
      </c>
      <c r="C9689" s="66">
        <v>1260.19</v>
      </c>
      <c r="D9689" s="70"/>
      <c r="E9689" s="111">
        <f t="shared" si="155"/>
        <v>138710</v>
      </c>
      <c r="F9689" s="69">
        <v>6.1272384651845688E-2</v>
      </c>
      <c r="G9689" s="69">
        <v>6.4634934572372835E-2</v>
      </c>
    </row>
    <row r="9690" spans="1:7" x14ac:dyDescent="0.3">
      <c r="A9690" s="24">
        <v>44568</v>
      </c>
      <c r="B9690" s="66">
        <v>1748.1083000000001</v>
      </c>
      <c r="C9690" s="66">
        <v>1295.46</v>
      </c>
      <c r="D9690" s="70"/>
      <c r="E9690" s="111">
        <f t="shared" si="155"/>
        <v>138710</v>
      </c>
      <c r="F9690" s="69">
        <v>6.1272384651845688E-2</v>
      </c>
      <c r="G9690" s="69">
        <v>6.5030674846625766E-2</v>
      </c>
    </row>
    <row r="9691" spans="1:7" x14ac:dyDescent="0.3">
      <c r="A9691" s="24">
        <v>44569</v>
      </c>
      <c r="B9691" s="66">
        <v>1748.1083000000001</v>
      </c>
      <c r="C9691" s="66">
        <v>1295.46</v>
      </c>
      <c r="D9691" s="70"/>
      <c r="E9691" s="111">
        <f t="shared" si="155"/>
        <v>138710</v>
      </c>
      <c r="F9691" s="69">
        <v>6.1272384651845688E-2</v>
      </c>
      <c r="G9691" s="69">
        <v>6.5030674846625766E-2</v>
      </c>
    </row>
    <row r="9692" spans="1:7" x14ac:dyDescent="0.3">
      <c r="A9692" s="24">
        <v>44570</v>
      </c>
      <c r="B9692" s="66">
        <v>1748.1083000000001</v>
      </c>
      <c r="C9692" s="66">
        <v>1295.46</v>
      </c>
      <c r="D9692" s="70"/>
      <c r="E9692" s="111">
        <f t="shared" si="155"/>
        <v>138710</v>
      </c>
      <c r="F9692" s="69">
        <v>6.1272384651845688E-2</v>
      </c>
      <c r="G9692" s="69">
        <v>6.5030674846625766E-2</v>
      </c>
    </row>
    <row r="9693" spans="1:7" x14ac:dyDescent="0.3">
      <c r="A9693" s="24">
        <v>44571</v>
      </c>
      <c r="B9693" s="66">
        <v>1748.1083000000001</v>
      </c>
      <c r="C9693" s="66">
        <v>1311</v>
      </c>
      <c r="D9693" s="70"/>
      <c r="E9693" s="111">
        <f t="shared" si="155"/>
        <v>138710</v>
      </c>
      <c r="F9693" s="69">
        <v>6.1272384651845688E-2</v>
      </c>
      <c r="G9693" s="69">
        <v>6.5030674846625766E-2</v>
      </c>
    </row>
    <row r="9694" spans="1:7" x14ac:dyDescent="0.3">
      <c r="A9694" s="24">
        <v>44572</v>
      </c>
      <c r="B9694" s="66">
        <v>1748.1083000000001</v>
      </c>
      <c r="C9694" s="66">
        <v>1349.95</v>
      </c>
      <c r="D9694" s="70"/>
      <c r="E9694" s="111">
        <f t="shared" si="155"/>
        <v>138710</v>
      </c>
      <c r="F9694" s="69">
        <v>6.1272384651845688E-2</v>
      </c>
      <c r="G9694" s="69">
        <v>6.4634146341463417E-2</v>
      </c>
    </row>
    <row r="9695" spans="1:7" x14ac:dyDescent="0.3">
      <c r="A9695" s="24">
        <v>44573</v>
      </c>
      <c r="B9695" s="66">
        <v>1748.1083000000001</v>
      </c>
      <c r="C9695" s="66">
        <v>1350.52</v>
      </c>
      <c r="D9695" s="70"/>
      <c r="E9695" s="111">
        <f t="shared" si="155"/>
        <v>138710</v>
      </c>
      <c r="F9695" s="69">
        <v>6.1272384651845688E-2</v>
      </c>
      <c r="G9695" s="69">
        <v>6.4634146341463417E-2</v>
      </c>
    </row>
    <row r="9696" spans="1:7" x14ac:dyDescent="0.3">
      <c r="A9696" s="24">
        <v>44574</v>
      </c>
      <c r="B9696" s="66">
        <v>1748.1083000000001</v>
      </c>
      <c r="C9696" s="66">
        <v>1385.56</v>
      </c>
      <c r="D9696" s="70"/>
      <c r="E9696" s="111">
        <f t="shared" si="155"/>
        <v>138710</v>
      </c>
      <c r="F9696" s="69">
        <v>6.1272384651845688E-2</v>
      </c>
      <c r="G9696" s="69">
        <v>6.4534197036297439E-2</v>
      </c>
    </row>
    <row r="9697" spans="1:7" x14ac:dyDescent="0.3">
      <c r="A9697" s="24">
        <v>44575</v>
      </c>
      <c r="B9697" s="66">
        <v>1748.1083000000001</v>
      </c>
      <c r="C9697" s="66">
        <v>1400.71</v>
      </c>
      <c r="D9697" s="70"/>
      <c r="E9697" s="111">
        <f t="shared" si="155"/>
        <v>138710</v>
      </c>
      <c r="F9697" s="69">
        <v>6.1272384651845688E-2</v>
      </c>
      <c r="G9697" s="69">
        <v>6.424242424242424E-2</v>
      </c>
    </row>
    <row r="9698" spans="1:7" x14ac:dyDescent="0.3">
      <c r="A9698" s="24">
        <v>44576</v>
      </c>
      <c r="B9698" s="66">
        <v>1748.1083000000001</v>
      </c>
      <c r="C9698" s="66">
        <v>1400.71</v>
      </c>
      <c r="D9698" s="70"/>
      <c r="E9698" s="111">
        <f t="shared" si="155"/>
        <v>138710</v>
      </c>
      <c r="F9698" s="69">
        <v>6.1272384651845688E-2</v>
      </c>
      <c r="G9698" s="69">
        <v>6.424242424242424E-2</v>
      </c>
    </row>
    <row r="9699" spans="1:7" x14ac:dyDescent="0.3">
      <c r="A9699" s="24">
        <v>44577</v>
      </c>
      <c r="B9699" s="66">
        <v>1748.1083000000001</v>
      </c>
      <c r="C9699" s="66">
        <v>1400.71</v>
      </c>
      <c r="D9699" s="70"/>
      <c r="E9699" s="111">
        <f t="shared" si="155"/>
        <v>138710</v>
      </c>
      <c r="F9699" s="69">
        <v>6.1272384651845688E-2</v>
      </c>
      <c r="G9699" s="69">
        <v>6.424242424242424E-2</v>
      </c>
    </row>
    <row r="9700" spans="1:7" x14ac:dyDescent="0.3">
      <c r="A9700" s="24">
        <v>44578</v>
      </c>
      <c r="B9700" s="66">
        <v>1748.1083000000001</v>
      </c>
      <c r="C9700" s="66">
        <v>1400.71</v>
      </c>
      <c r="D9700" s="70"/>
      <c r="E9700" s="111">
        <f t="shared" si="155"/>
        <v>138710</v>
      </c>
      <c r="F9700" s="69">
        <v>6.1272384651845688E-2</v>
      </c>
      <c r="G9700" s="69">
        <v>6.4362567702134887E-2</v>
      </c>
    </row>
    <row r="9701" spans="1:7" x14ac:dyDescent="0.3">
      <c r="A9701" s="24">
        <v>44579</v>
      </c>
      <c r="B9701" s="66">
        <v>1748.1083000000001</v>
      </c>
      <c r="C9701" s="66">
        <v>1400.92</v>
      </c>
      <c r="D9701" s="70"/>
      <c r="E9701" s="111">
        <f t="shared" si="155"/>
        <v>138710</v>
      </c>
      <c r="F9701" s="69">
        <v>6.1272384651845688E-2</v>
      </c>
      <c r="G9701" s="69">
        <v>6.4350845667245415E-2</v>
      </c>
    </row>
    <row r="9702" spans="1:7" x14ac:dyDescent="0.3">
      <c r="A9702" s="24">
        <v>44580</v>
      </c>
      <c r="B9702" s="66">
        <v>1748.1083000000001</v>
      </c>
      <c r="C9702" s="66">
        <v>1400</v>
      </c>
      <c r="D9702" s="70"/>
      <c r="E9702" s="111">
        <f t="shared" si="155"/>
        <v>138710</v>
      </c>
      <c r="F9702" s="69">
        <v>6.1272384651845688E-2</v>
      </c>
      <c r="G9702" s="69">
        <v>6.4836959513600467E-2</v>
      </c>
    </row>
    <row r="9703" spans="1:7" x14ac:dyDescent="0.3">
      <c r="A9703" s="24">
        <v>44581</v>
      </c>
      <c r="B9703" s="66">
        <v>1748.1083000000001</v>
      </c>
      <c r="C9703" s="66">
        <v>1399</v>
      </c>
      <c r="D9703" s="70"/>
      <c r="E9703" s="111">
        <f t="shared" si="155"/>
        <v>138710</v>
      </c>
      <c r="F9703" s="69">
        <v>6.1272384651845688E-2</v>
      </c>
      <c r="G9703" s="69">
        <v>6.5460788370211631E-2</v>
      </c>
    </row>
    <row r="9704" spans="1:7" x14ac:dyDescent="0.3">
      <c r="A9704" s="24">
        <v>44582</v>
      </c>
      <c r="B9704" s="66">
        <v>1748.1083000000001</v>
      </c>
      <c r="C9704" s="66">
        <v>1400</v>
      </c>
      <c r="D9704" s="70"/>
      <c r="E9704" s="111">
        <f t="shared" si="155"/>
        <v>138710</v>
      </c>
      <c r="F9704" s="69">
        <v>6.1272384651845688E-2</v>
      </c>
      <c r="G9704" s="69">
        <v>6.5012726547885549E-2</v>
      </c>
    </row>
    <row r="9705" spans="1:7" x14ac:dyDescent="0.3">
      <c r="A9705" s="24">
        <v>44583</v>
      </c>
      <c r="B9705" s="66">
        <v>1748.1083000000001</v>
      </c>
      <c r="C9705" s="66">
        <v>1400</v>
      </c>
      <c r="D9705" s="70"/>
      <c r="E9705" s="111">
        <f t="shared" si="155"/>
        <v>138710</v>
      </c>
      <c r="F9705" s="69">
        <v>6.1272384651845688E-2</v>
      </c>
      <c r="G9705" s="69">
        <v>6.5012726547885549E-2</v>
      </c>
    </row>
    <row r="9706" spans="1:7" x14ac:dyDescent="0.3">
      <c r="A9706" s="24">
        <v>44584</v>
      </c>
      <c r="B9706" s="66">
        <v>1748.1083000000001</v>
      </c>
      <c r="C9706" s="66">
        <v>1400</v>
      </c>
      <c r="D9706" s="70"/>
      <c r="E9706" s="111">
        <f t="shared" si="155"/>
        <v>138710</v>
      </c>
      <c r="F9706" s="69">
        <v>6.1272384651845688E-2</v>
      </c>
      <c r="G9706" s="69">
        <v>6.5012726547885549E-2</v>
      </c>
    </row>
    <row r="9707" spans="1:7" x14ac:dyDescent="0.3">
      <c r="A9707" s="24">
        <v>44585</v>
      </c>
      <c r="B9707" s="66">
        <v>1748.1083000000001</v>
      </c>
      <c r="C9707" s="66">
        <v>1399.8</v>
      </c>
      <c r="D9707" s="70"/>
      <c r="E9707" s="111">
        <f t="shared" si="155"/>
        <v>138710</v>
      </c>
      <c r="F9707" s="69">
        <v>6.1272384651845688E-2</v>
      </c>
      <c r="G9707" s="69">
        <v>6.4760112658158245E-2</v>
      </c>
    </row>
    <row r="9708" spans="1:7" x14ac:dyDescent="0.3">
      <c r="A9708" s="24">
        <v>44586</v>
      </c>
      <c r="B9708" s="66">
        <v>1748.1083000000001</v>
      </c>
      <c r="C9708" s="66">
        <v>1390.23</v>
      </c>
      <c r="D9708" s="70"/>
      <c r="E9708" s="111">
        <f t="shared" si="155"/>
        <v>138710</v>
      </c>
      <c r="F9708" s="69">
        <v>6.1272384651845688E-2</v>
      </c>
      <c r="G9708" s="69">
        <v>6.4939043068063473E-2</v>
      </c>
    </row>
    <row r="9709" spans="1:7" x14ac:dyDescent="0.3">
      <c r="A9709" s="24">
        <v>44587</v>
      </c>
      <c r="B9709" s="66">
        <v>1748.1083000000001</v>
      </c>
      <c r="C9709" s="66">
        <v>1370.88</v>
      </c>
      <c r="D9709" s="70"/>
      <c r="E9709" s="111">
        <f t="shared" si="155"/>
        <v>138710</v>
      </c>
      <c r="F9709" s="69">
        <v>6.1272384651845688E-2</v>
      </c>
      <c r="G9709" s="69">
        <v>6.4619961471872031E-2</v>
      </c>
    </row>
    <row r="9710" spans="1:7" x14ac:dyDescent="0.3">
      <c r="A9710" s="24">
        <v>44588</v>
      </c>
      <c r="B9710" s="66">
        <v>1748.1083000000001</v>
      </c>
      <c r="C9710" s="66">
        <v>1370.88</v>
      </c>
      <c r="D9710" s="70"/>
      <c r="E9710" s="111">
        <f t="shared" si="155"/>
        <v>138710</v>
      </c>
      <c r="F9710" s="69">
        <v>6.1272384651845688E-2</v>
      </c>
      <c r="G9710" s="69">
        <v>6.3077216033514238E-2</v>
      </c>
    </row>
    <row r="9711" spans="1:7" x14ac:dyDescent="0.3">
      <c r="A9711" s="24">
        <v>44589</v>
      </c>
      <c r="B9711" s="66">
        <v>1748.1083000000001</v>
      </c>
      <c r="C9711" s="66">
        <v>1370.88</v>
      </c>
      <c r="D9711" s="70"/>
      <c r="E9711" s="111">
        <f t="shared" si="155"/>
        <v>138710</v>
      </c>
      <c r="F9711" s="69">
        <v>6.1272384651845688E-2</v>
      </c>
      <c r="G9711" s="69">
        <v>6.2721893491124267E-2</v>
      </c>
    </row>
    <row r="9712" spans="1:7" x14ac:dyDescent="0.3">
      <c r="A9712" s="24">
        <v>44590</v>
      </c>
      <c r="B9712" s="66">
        <v>1748.1083000000001</v>
      </c>
      <c r="C9712" s="66">
        <v>1370.88</v>
      </c>
      <c r="D9712" s="70"/>
      <c r="E9712" s="111">
        <f t="shared" si="155"/>
        <v>138710</v>
      </c>
      <c r="F9712" s="69">
        <v>6.1272384651845688E-2</v>
      </c>
      <c r="G9712" s="69">
        <v>6.2721893491124267E-2</v>
      </c>
    </row>
    <row r="9713" spans="1:7" x14ac:dyDescent="0.3">
      <c r="A9713" s="24">
        <v>44591</v>
      </c>
      <c r="B9713" s="66">
        <v>1748.1083000000001</v>
      </c>
      <c r="C9713" s="66">
        <v>1370.88</v>
      </c>
      <c r="D9713" s="70"/>
      <c r="E9713" s="111">
        <f t="shared" si="155"/>
        <v>138710</v>
      </c>
      <c r="F9713" s="69">
        <v>6.1272384651845688E-2</v>
      </c>
      <c r="G9713" s="69">
        <v>6.2721893491124267E-2</v>
      </c>
    </row>
    <row r="9714" spans="1:7" x14ac:dyDescent="0.3">
      <c r="A9714" s="24">
        <v>44592</v>
      </c>
      <c r="B9714" s="66">
        <v>1748.1083000000001</v>
      </c>
      <c r="C9714" s="66">
        <v>1375.86</v>
      </c>
      <c r="D9714" s="70"/>
      <c r="E9714" s="111">
        <f t="shared" si="155"/>
        <v>138710</v>
      </c>
      <c r="F9714" s="69">
        <v>6.1272384651845688E-2</v>
      </c>
      <c r="G9714" s="69">
        <v>6.2721893491124267E-2</v>
      </c>
    </row>
    <row r="9715" spans="1:7" x14ac:dyDescent="0.3">
      <c r="A9715" s="24">
        <v>44593</v>
      </c>
      <c r="B9715" s="66">
        <v>1748.1083000000001</v>
      </c>
      <c r="C9715" s="66">
        <v>1400</v>
      </c>
      <c r="D9715" s="70"/>
      <c r="E9715" s="111">
        <f t="shared" si="155"/>
        <v>138710</v>
      </c>
      <c r="F9715" s="69">
        <v>6.1272384651845688E-2</v>
      </c>
      <c r="G9715" s="69">
        <v>6.2723006917282553E-2</v>
      </c>
    </row>
    <row r="9716" spans="1:7" x14ac:dyDescent="0.3">
      <c r="A9716" s="24">
        <v>44594</v>
      </c>
      <c r="B9716" s="66">
        <v>1748.1083000000001</v>
      </c>
      <c r="C9716" s="66">
        <v>1399.12</v>
      </c>
      <c r="D9716" s="70"/>
      <c r="E9716" s="111">
        <f t="shared" si="155"/>
        <v>138710</v>
      </c>
      <c r="F9716" s="69">
        <v>6.1272384651845688E-2</v>
      </c>
      <c r="G9716" s="69">
        <v>6.2723006917282553E-2</v>
      </c>
    </row>
    <row r="9717" spans="1:7" x14ac:dyDescent="0.3">
      <c r="A9717" s="24">
        <v>44595</v>
      </c>
      <c r="B9717" s="66">
        <v>1748.1083000000001</v>
      </c>
      <c r="C9717" s="66">
        <v>1399.12</v>
      </c>
      <c r="D9717" s="70"/>
      <c r="E9717" s="111">
        <f t="shared" si="155"/>
        <v>138710</v>
      </c>
      <c r="F9717" s="69">
        <v>6.1272384651845688E-2</v>
      </c>
      <c r="G9717" s="69">
        <v>6.3855037017849295E-2</v>
      </c>
    </row>
    <row r="9718" spans="1:7" x14ac:dyDescent="0.3">
      <c r="A9718" s="24">
        <v>44596</v>
      </c>
      <c r="B9718" s="66">
        <v>1748.1083000000001</v>
      </c>
      <c r="C9718" s="66">
        <v>1399.12</v>
      </c>
      <c r="D9718" s="70"/>
      <c r="E9718" s="111">
        <f t="shared" si="155"/>
        <v>138710</v>
      </c>
      <c r="F9718" s="69">
        <v>6.1272384651845688E-2</v>
      </c>
      <c r="G9718" s="69">
        <v>6.3663663663663661E-2</v>
      </c>
    </row>
    <row r="9719" spans="1:7" x14ac:dyDescent="0.3">
      <c r="A9719" s="24">
        <v>44597</v>
      </c>
      <c r="B9719" s="66">
        <v>1748.1083000000001</v>
      </c>
      <c r="C9719" s="66">
        <v>1399.12</v>
      </c>
      <c r="D9719" s="70"/>
      <c r="E9719" s="111">
        <f t="shared" si="155"/>
        <v>138710</v>
      </c>
      <c r="F9719" s="69">
        <v>6.1272384651845688E-2</v>
      </c>
      <c r="G9719" s="69">
        <v>6.3663663663663661E-2</v>
      </c>
    </row>
    <row r="9720" spans="1:7" x14ac:dyDescent="0.3">
      <c r="A9720" s="24">
        <v>44598</v>
      </c>
      <c r="B9720" s="66">
        <v>1748.1083000000001</v>
      </c>
      <c r="C9720" s="66">
        <v>1399.12</v>
      </c>
      <c r="D9720" s="70"/>
      <c r="E9720" s="111">
        <f t="shared" si="155"/>
        <v>138710</v>
      </c>
      <c r="F9720" s="69">
        <v>6.1272384651845688E-2</v>
      </c>
      <c r="G9720" s="69">
        <v>6.3663663663663661E-2</v>
      </c>
    </row>
    <row r="9721" spans="1:7" x14ac:dyDescent="0.3">
      <c r="A9721" s="24">
        <v>44599</v>
      </c>
      <c r="B9721" s="66">
        <v>1748.1083000000001</v>
      </c>
      <c r="C9721" s="66">
        <v>1399.5</v>
      </c>
      <c r="D9721" s="70"/>
      <c r="E9721" s="111">
        <f t="shared" si="155"/>
        <v>138710</v>
      </c>
      <c r="F9721" s="69">
        <v>6.1272384651845688E-2</v>
      </c>
      <c r="G9721" s="69">
        <v>6.3579654510556624E-2</v>
      </c>
    </row>
    <row r="9722" spans="1:7" x14ac:dyDescent="0.3">
      <c r="A9722" s="24">
        <v>44600</v>
      </c>
      <c r="B9722" s="66">
        <v>1748.1083000000001</v>
      </c>
      <c r="C9722" s="66">
        <v>1399.12</v>
      </c>
      <c r="D9722" s="70"/>
      <c r="E9722" s="111">
        <f t="shared" si="155"/>
        <v>138710</v>
      </c>
      <c r="F9722" s="69">
        <v>6.1272384651845688E-2</v>
      </c>
      <c r="G9722" s="69">
        <v>6.3459374027155832E-2</v>
      </c>
    </row>
    <row r="9723" spans="1:7" x14ac:dyDescent="0.3">
      <c r="A9723" s="24">
        <v>44601</v>
      </c>
      <c r="B9723" s="66">
        <v>1748.1083000000001</v>
      </c>
      <c r="C9723" s="66">
        <v>1390</v>
      </c>
      <c r="D9723" s="70"/>
      <c r="E9723" s="111">
        <f t="shared" si="155"/>
        <v>138710</v>
      </c>
      <c r="F9723" s="69">
        <v>6.1272384651845688E-2</v>
      </c>
      <c r="G9723" s="69">
        <v>6.3283582089552246E-2</v>
      </c>
    </row>
    <row r="9724" spans="1:7" x14ac:dyDescent="0.3">
      <c r="A9724" s="24">
        <v>44602</v>
      </c>
      <c r="B9724" s="66">
        <v>1748.1083000000001</v>
      </c>
      <c r="C9724" s="66">
        <v>1390</v>
      </c>
      <c r="D9724" s="70"/>
      <c r="E9724" s="111">
        <f t="shared" si="155"/>
        <v>138710</v>
      </c>
      <c r="F9724" s="69">
        <v>6.1272384651845688E-2</v>
      </c>
      <c r="G9724" s="69">
        <v>6.2721893491124267E-2</v>
      </c>
    </row>
    <row r="9725" spans="1:7" x14ac:dyDescent="0.3">
      <c r="A9725" s="24">
        <v>44603</v>
      </c>
      <c r="B9725" s="66">
        <v>1748.1083000000001</v>
      </c>
      <c r="C9725" s="66">
        <v>1396.78</v>
      </c>
      <c r="D9725" s="70"/>
      <c r="E9725" s="111">
        <f t="shared" si="155"/>
        <v>138710</v>
      </c>
      <c r="F9725" s="69">
        <v>6.1272384651845688E-2</v>
      </c>
      <c r="G9725" s="69">
        <v>6.2721893491124267E-2</v>
      </c>
    </row>
    <row r="9726" spans="1:7" x14ac:dyDescent="0.3">
      <c r="A9726" s="24">
        <v>44604</v>
      </c>
      <c r="B9726" s="66">
        <v>1748.1083000000001</v>
      </c>
      <c r="C9726" s="66">
        <v>1396.78</v>
      </c>
      <c r="D9726" s="70"/>
      <c r="E9726" s="111">
        <f t="shared" si="155"/>
        <v>138710</v>
      </c>
      <c r="F9726" s="69">
        <v>6.1272384651845688E-2</v>
      </c>
      <c r="G9726" s="69">
        <v>6.2721893491124267E-2</v>
      </c>
    </row>
    <row r="9727" spans="1:7" x14ac:dyDescent="0.3">
      <c r="A9727" s="24">
        <v>44605</v>
      </c>
      <c r="B9727" s="66">
        <v>1748.1083000000001</v>
      </c>
      <c r="C9727" s="66">
        <v>1396.78</v>
      </c>
      <c r="D9727" s="70"/>
      <c r="E9727" s="111">
        <f t="shared" si="155"/>
        <v>138710</v>
      </c>
      <c r="F9727" s="69">
        <v>6.1272384651845688E-2</v>
      </c>
      <c r="G9727" s="69">
        <v>6.2721893491124267E-2</v>
      </c>
    </row>
    <row r="9728" spans="1:7" x14ac:dyDescent="0.3">
      <c r="A9728" s="24">
        <v>44606</v>
      </c>
      <c r="B9728" s="66">
        <v>1748.1083000000001</v>
      </c>
      <c r="C9728" s="66">
        <v>1397.74</v>
      </c>
      <c r="D9728" s="70"/>
      <c r="E9728" s="111">
        <f t="shared" si="155"/>
        <v>138710</v>
      </c>
      <c r="F9728" s="69">
        <v>6.1272384651845688E-2</v>
      </c>
      <c r="G9728" s="69">
        <v>6.2721893491124267E-2</v>
      </c>
    </row>
    <row r="9729" spans="1:7" x14ac:dyDescent="0.3">
      <c r="A9729" s="24">
        <v>44607</v>
      </c>
      <c r="B9729" s="66">
        <v>1748.1083000000001</v>
      </c>
      <c r="C9729" s="66">
        <v>1400</v>
      </c>
      <c r="D9729" s="70"/>
      <c r="E9729" s="111">
        <f t="shared" si="155"/>
        <v>138710</v>
      </c>
      <c r="F9729" s="69">
        <v>6.1272384651845688E-2</v>
      </c>
      <c r="G9729" s="69">
        <v>6.2718182356073612E-2</v>
      </c>
    </row>
    <row r="9730" spans="1:7" x14ac:dyDescent="0.3">
      <c r="A9730" s="24">
        <v>44608</v>
      </c>
      <c r="B9730" s="66">
        <v>1748.1083000000001</v>
      </c>
      <c r="C9730" s="66">
        <v>1325.33</v>
      </c>
      <c r="D9730" s="70"/>
      <c r="E9730" s="111">
        <f t="shared" si="155"/>
        <v>138710</v>
      </c>
      <c r="F9730" s="69">
        <v>6.1272384651845688E-2</v>
      </c>
      <c r="G9730" s="69">
        <v>6.2351107320372932E-2</v>
      </c>
    </row>
    <row r="9731" spans="1:7" x14ac:dyDescent="0.3">
      <c r="A9731" s="24">
        <v>44609</v>
      </c>
      <c r="B9731" s="66">
        <v>1748.1083000000001</v>
      </c>
      <c r="C9731" s="66">
        <v>1278.95</v>
      </c>
      <c r="D9731" s="70"/>
      <c r="E9731" s="111">
        <f t="shared" si="155"/>
        <v>138710</v>
      </c>
      <c r="F9731" s="69">
        <v>6.1272384651845688E-2</v>
      </c>
      <c r="G9731" s="69">
        <v>6.1930719389573438E-2</v>
      </c>
    </row>
    <row r="9732" spans="1:7" x14ac:dyDescent="0.3">
      <c r="A9732" s="24">
        <v>44610</v>
      </c>
      <c r="B9732" s="66">
        <v>1748.1083000000001</v>
      </c>
      <c r="C9732" s="66">
        <v>1278.95</v>
      </c>
      <c r="D9732" s="70"/>
      <c r="E9732" s="111">
        <f t="shared" si="155"/>
        <v>138710</v>
      </c>
      <c r="F9732" s="69">
        <v>6.1272384651845688E-2</v>
      </c>
      <c r="G9732" s="69">
        <v>6.1807580174927115E-2</v>
      </c>
    </row>
    <row r="9733" spans="1:7" x14ac:dyDescent="0.3">
      <c r="A9733" s="24">
        <v>44611</v>
      </c>
      <c r="B9733" s="66">
        <v>1748.1083000000001</v>
      </c>
      <c r="C9733" s="66">
        <v>1278.95</v>
      </c>
      <c r="D9733" s="70"/>
      <c r="E9733" s="111">
        <f t="shared" si="155"/>
        <v>138710</v>
      </c>
      <c r="F9733" s="69">
        <v>6.1272384651845688E-2</v>
      </c>
      <c r="G9733" s="69">
        <v>6.1807580174927115E-2</v>
      </c>
    </row>
    <row r="9734" spans="1:7" x14ac:dyDescent="0.3">
      <c r="A9734" s="24">
        <v>44612</v>
      </c>
      <c r="B9734" s="66">
        <v>1748.1083000000001</v>
      </c>
      <c r="C9734" s="66">
        <v>1278.95</v>
      </c>
      <c r="D9734" s="70"/>
      <c r="E9734" s="111">
        <f t="shared" si="155"/>
        <v>138710</v>
      </c>
      <c r="F9734" s="69">
        <v>6.1272384651845688E-2</v>
      </c>
      <c r="G9734" s="69">
        <v>6.1807580174927115E-2</v>
      </c>
    </row>
    <row r="9735" spans="1:7" x14ac:dyDescent="0.3">
      <c r="A9735" s="24">
        <v>44613</v>
      </c>
      <c r="B9735" s="66">
        <v>1748.1083000000001</v>
      </c>
      <c r="C9735" s="66">
        <v>1339</v>
      </c>
      <c r="D9735" s="70"/>
      <c r="E9735" s="111">
        <f t="shared" si="155"/>
        <v>138710</v>
      </c>
      <c r="F9735" s="69">
        <v>6.1272384651845688E-2</v>
      </c>
      <c r="G9735" s="69">
        <v>6.1764363127840574E-2</v>
      </c>
    </row>
    <row r="9736" spans="1:7" x14ac:dyDescent="0.3">
      <c r="A9736" s="24">
        <v>44614</v>
      </c>
      <c r="B9736" s="66">
        <v>1748.1083000000001</v>
      </c>
      <c r="C9736" s="66">
        <v>1303.4000000000001</v>
      </c>
      <c r="D9736" s="70"/>
      <c r="E9736" s="111">
        <f t="shared" si="155"/>
        <v>138710</v>
      </c>
      <c r="F9736" s="69">
        <v>6.1272384651845688E-2</v>
      </c>
      <c r="G9736" s="69">
        <v>6.0025369212648359E-2</v>
      </c>
    </row>
    <row r="9737" spans="1:7" x14ac:dyDescent="0.3">
      <c r="A9737" s="24">
        <v>44615</v>
      </c>
      <c r="B9737" s="66">
        <v>1748.1083000000001</v>
      </c>
      <c r="C9737" s="66">
        <v>1300</v>
      </c>
      <c r="D9737" s="70"/>
      <c r="E9737" s="111">
        <f t="shared" ref="E9737:E9800" si="156">+E9736</f>
        <v>138710</v>
      </c>
      <c r="F9737" s="69">
        <v>6.1272384651845688E-2</v>
      </c>
      <c r="G9737" s="69">
        <v>5.891474591626325E-2</v>
      </c>
    </row>
    <row r="9738" spans="1:7" x14ac:dyDescent="0.3">
      <c r="A9738" s="24">
        <v>44616</v>
      </c>
      <c r="B9738" s="66">
        <v>1748.1083000000001</v>
      </c>
      <c r="C9738" s="66">
        <v>1300</v>
      </c>
      <c r="D9738" s="70"/>
      <c r="E9738" s="111">
        <f t="shared" si="156"/>
        <v>138710</v>
      </c>
      <c r="F9738" s="69">
        <v>6.1272384651845688E-2</v>
      </c>
      <c r="G9738" s="69">
        <v>5.865946520276253E-2</v>
      </c>
    </row>
    <row r="9739" spans="1:7" x14ac:dyDescent="0.3">
      <c r="A9739" s="24">
        <v>44617</v>
      </c>
      <c r="B9739" s="66">
        <v>1748.1083000000001</v>
      </c>
      <c r="C9739" s="66">
        <v>1299.8399999999999</v>
      </c>
      <c r="D9739" s="70"/>
      <c r="E9739" s="111">
        <f t="shared" si="156"/>
        <v>138710</v>
      </c>
      <c r="F9739" s="69">
        <v>6.1272384651845688E-2</v>
      </c>
      <c r="G9739" s="69">
        <v>5.8727063203616703E-2</v>
      </c>
    </row>
    <row r="9740" spans="1:7" x14ac:dyDescent="0.3">
      <c r="A9740" s="24">
        <v>44618</v>
      </c>
      <c r="B9740" s="66">
        <v>1748.1083000000001</v>
      </c>
      <c r="C9740" s="66">
        <v>1299.8399999999999</v>
      </c>
      <c r="D9740" s="70"/>
      <c r="E9740" s="111">
        <f t="shared" si="156"/>
        <v>138710</v>
      </c>
      <c r="F9740" s="69">
        <v>6.1272384651845688E-2</v>
      </c>
      <c r="G9740" s="69">
        <v>5.8727063203616703E-2</v>
      </c>
    </row>
    <row r="9741" spans="1:7" x14ac:dyDescent="0.3">
      <c r="A9741" s="24">
        <v>44619</v>
      </c>
      <c r="B9741" s="66">
        <v>1748.1083000000001</v>
      </c>
      <c r="C9741" s="66">
        <v>1299.8399999999999</v>
      </c>
      <c r="D9741" s="70"/>
      <c r="E9741" s="111">
        <f t="shared" si="156"/>
        <v>138710</v>
      </c>
      <c r="F9741" s="69">
        <v>6.1272384651845688E-2</v>
      </c>
      <c r="G9741" s="69">
        <v>5.8727063203616703E-2</v>
      </c>
    </row>
    <row r="9742" spans="1:7" x14ac:dyDescent="0.3">
      <c r="A9742" s="24">
        <v>44620</v>
      </c>
      <c r="B9742" s="66">
        <v>1748.1083000000001</v>
      </c>
      <c r="C9742" s="66">
        <v>1297.5999999999999</v>
      </c>
      <c r="D9742" s="70"/>
      <c r="E9742" s="111">
        <f t="shared" si="156"/>
        <v>138710</v>
      </c>
      <c r="F9742" s="69">
        <v>6.1272384651845688E-2</v>
      </c>
      <c r="G9742" s="69">
        <v>5.8807212205270458E-2</v>
      </c>
    </row>
    <row r="9743" spans="1:7" x14ac:dyDescent="0.3">
      <c r="A9743" s="24">
        <v>44621</v>
      </c>
      <c r="B9743" s="66">
        <v>1748.1083000000001</v>
      </c>
      <c r="C9743" s="66">
        <v>1289.4100000000001</v>
      </c>
      <c r="D9743" s="70"/>
      <c r="E9743" s="111">
        <f t="shared" si="156"/>
        <v>138710</v>
      </c>
      <c r="F9743" s="69">
        <v>6.1272384651845688E-2</v>
      </c>
      <c r="G9743" s="69">
        <v>5.8888888888888886E-2</v>
      </c>
    </row>
    <row r="9744" spans="1:7" x14ac:dyDescent="0.3">
      <c r="A9744" s="24">
        <v>44622</v>
      </c>
      <c r="B9744" s="66">
        <v>1748.1083000000001</v>
      </c>
      <c r="C9744" s="66">
        <v>1294.8599999999999</v>
      </c>
      <c r="D9744" s="70"/>
      <c r="E9744" s="111">
        <f t="shared" si="156"/>
        <v>138710</v>
      </c>
      <c r="F9744" s="69">
        <v>6.1272384651845688E-2</v>
      </c>
      <c r="G9744" s="69">
        <v>6.0227272727272727E-2</v>
      </c>
    </row>
    <row r="9745" spans="1:7" x14ac:dyDescent="0.3">
      <c r="A9745" s="24">
        <v>44623</v>
      </c>
      <c r="B9745" s="66">
        <v>1748.1083000000001</v>
      </c>
      <c r="C9745" s="66">
        <v>1296.5</v>
      </c>
      <c r="D9745" s="70"/>
      <c r="E9745" s="111">
        <f t="shared" si="156"/>
        <v>138710</v>
      </c>
      <c r="F9745" s="69">
        <v>6.1272384651845688E-2</v>
      </c>
      <c r="G9745" s="69">
        <v>6.0227272727272727E-2</v>
      </c>
    </row>
    <row r="9746" spans="1:7" x14ac:dyDescent="0.3">
      <c r="A9746" s="24">
        <v>44624</v>
      </c>
      <c r="B9746" s="66">
        <v>1748.1083000000001</v>
      </c>
      <c r="C9746" s="66">
        <v>1288.9100000000001</v>
      </c>
      <c r="D9746" s="70"/>
      <c r="E9746" s="111">
        <f t="shared" si="156"/>
        <v>138710</v>
      </c>
      <c r="F9746" s="69">
        <v>6.1272384651845688E-2</v>
      </c>
      <c r="G9746" s="69">
        <v>6.0459836986590465E-2</v>
      </c>
    </row>
    <row r="9747" spans="1:7" x14ac:dyDescent="0.3">
      <c r="A9747" s="24">
        <v>44625</v>
      </c>
      <c r="B9747" s="66">
        <v>1748.1083000000001</v>
      </c>
      <c r="C9747" s="66">
        <v>1288.9100000000001</v>
      </c>
      <c r="D9747" s="70"/>
      <c r="E9747" s="111">
        <f t="shared" si="156"/>
        <v>138710</v>
      </c>
      <c r="F9747" s="69">
        <v>6.1272384651845688E-2</v>
      </c>
      <c r="G9747" s="69">
        <v>6.0459836986590465E-2</v>
      </c>
    </row>
    <row r="9748" spans="1:7" x14ac:dyDescent="0.3">
      <c r="A9748" s="24">
        <v>44626</v>
      </c>
      <c r="B9748" s="66">
        <v>1748.1083000000001</v>
      </c>
      <c r="C9748" s="66">
        <v>1288.9100000000001</v>
      </c>
      <c r="D9748" s="70"/>
      <c r="E9748" s="111">
        <f t="shared" si="156"/>
        <v>138710</v>
      </c>
      <c r="F9748" s="69">
        <v>6.1272384651845688E-2</v>
      </c>
      <c r="G9748" s="69">
        <v>6.0459836986590465E-2</v>
      </c>
    </row>
    <row r="9749" spans="1:7" x14ac:dyDescent="0.3">
      <c r="A9749" s="24">
        <v>44627</v>
      </c>
      <c r="B9749" s="66">
        <v>1748.1083000000001</v>
      </c>
      <c r="C9749" s="66">
        <v>1272.74</v>
      </c>
      <c r="D9749" s="70"/>
      <c r="E9749" s="111">
        <f t="shared" si="156"/>
        <v>138710</v>
      </c>
      <c r="F9749" s="69">
        <v>6.1272384651845688E-2</v>
      </c>
      <c r="G9749" s="69">
        <v>6.1271676300578032E-2</v>
      </c>
    </row>
    <row r="9750" spans="1:7" x14ac:dyDescent="0.3">
      <c r="A9750" s="24">
        <v>44628</v>
      </c>
      <c r="B9750" s="66">
        <v>1748.1083000000001</v>
      </c>
      <c r="C9750" s="66">
        <v>1289.5</v>
      </c>
      <c r="D9750" s="70"/>
      <c r="E9750" s="111">
        <f t="shared" si="156"/>
        <v>138710</v>
      </c>
      <c r="F9750" s="69">
        <v>6.1272384651845688E-2</v>
      </c>
      <c r="G9750" s="69">
        <v>6.0886297711019846E-2</v>
      </c>
    </row>
    <row r="9751" spans="1:7" x14ac:dyDescent="0.3">
      <c r="A9751" s="24">
        <v>44629</v>
      </c>
      <c r="B9751" s="66">
        <v>1748.1083000000001</v>
      </c>
      <c r="C9751" s="66">
        <v>1282.74</v>
      </c>
      <c r="D9751" s="70"/>
      <c r="E9751" s="111">
        <f t="shared" si="156"/>
        <v>138710</v>
      </c>
      <c r="F9751" s="69">
        <v>6.1272384651845688E-2</v>
      </c>
      <c r="G9751" s="69">
        <v>6.1612503850781486E-2</v>
      </c>
    </row>
    <row r="9752" spans="1:7" x14ac:dyDescent="0.3">
      <c r="A9752" s="24">
        <v>44630</v>
      </c>
      <c r="B9752" s="66">
        <v>1748.1083000000001</v>
      </c>
      <c r="C9752" s="66">
        <v>1331.23</v>
      </c>
      <c r="D9752" s="70"/>
      <c r="E9752" s="111">
        <f t="shared" si="156"/>
        <v>138710</v>
      </c>
      <c r="F9752" s="69">
        <v>6.1272384651845688E-2</v>
      </c>
      <c r="G9752" s="69">
        <v>6.0919540229885057E-2</v>
      </c>
    </row>
    <row r="9753" spans="1:7" x14ac:dyDescent="0.3">
      <c r="A9753" s="24">
        <v>44631</v>
      </c>
      <c r="B9753" s="66">
        <v>1748.1083000000001</v>
      </c>
      <c r="C9753" s="66">
        <v>1331.23</v>
      </c>
      <c r="D9753" s="70"/>
      <c r="E9753" s="111">
        <f t="shared" si="156"/>
        <v>138710</v>
      </c>
      <c r="F9753" s="69">
        <v>6.1272384651845688E-2</v>
      </c>
      <c r="G9753" s="69">
        <v>6.1380244826108606E-2</v>
      </c>
    </row>
    <row r="9754" spans="1:7" x14ac:dyDescent="0.3">
      <c r="A9754" s="24">
        <v>44632</v>
      </c>
      <c r="B9754" s="66">
        <v>1748.1083000000001</v>
      </c>
      <c r="C9754" s="66">
        <v>1331.23</v>
      </c>
      <c r="D9754" s="70"/>
      <c r="E9754" s="111">
        <f t="shared" si="156"/>
        <v>138710</v>
      </c>
      <c r="F9754" s="69">
        <v>6.1272384651845688E-2</v>
      </c>
      <c r="G9754" s="69">
        <v>6.1380244826108606E-2</v>
      </c>
    </row>
    <row r="9755" spans="1:7" x14ac:dyDescent="0.3">
      <c r="A9755" s="24">
        <v>44633</v>
      </c>
      <c r="B9755" s="66">
        <v>1748.1083000000001</v>
      </c>
      <c r="C9755" s="66">
        <v>1331.23</v>
      </c>
      <c r="D9755" s="70"/>
      <c r="E9755" s="111">
        <f t="shared" si="156"/>
        <v>138710</v>
      </c>
      <c r="F9755" s="69">
        <v>6.1272384651845688E-2</v>
      </c>
      <c r="G9755" s="69">
        <v>6.1380244826108606E-2</v>
      </c>
    </row>
    <row r="9756" spans="1:7" x14ac:dyDescent="0.3">
      <c r="A9756" s="24">
        <v>44634</v>
      </c>
      <c r="B9756" s="66">
        <v>1748.1083000000001</v>
      </c>
      <c r="C9756" s="66">
        <v>1335.07</v>
      </c>
      <c r="D9756" s="70"/>
      <c r="E9756" s="111">
        <f t="shared" si="156"/>
        <v>138710</v>
      </c>
      <c r="F9756" s="69">
        <v>6.1272384651845688E-2</v>
      </c>
      <c r="G9756" s="69">
        <v>6.2667754484291682E-2</v>
      </c>
    </row>
    <row r="9757" spans="1:7" x14ac:dyDescent="0.3">
      <c r="A9757" s="24">
        <v>44635</v>
      </c>
      <c r="B9757" s="66">
        <v>1748.1083000000001</v>
      </c>
      <c r="C9757" s="66">
        <v>1372.32</v>
      </c>
      <c r="D9757" s="70"/>
      <c r="E9757" s="111">
        <f t="shared" si="156"/>
        <v>138710</v>
      </c>
      <c r="F9757" s="69">
        <v>6.1272384651845688E-2</v>
      </c>
      <c r="G9757" s="69">
        <v>6.4284111514739853E-2</v>
      </c>
    </row>
    <row r="9758" spans="1:7" x14ac:dyDescent="0.3">
      <c r="A9758" s="24">
        <v>44636</v>
      </c>
      <c r="B9758" s="66">
        <v>1748.1083000000001</v>
      </c>
      <c r="C9758" s="66">
        <v>1382.98</v>
      </c>
      <c r="D9758" s="70"/>
      <c r="E9758" s="111">
        <f t="shared" si="156"/>
        <v>138710</v>
      </c>
      <c r="F9758" s="69">
        <v>6.1272384651845688E-2</v>
      </c>
      <c r="G9758" s="69">
        <v>6.5693656843605716E-2</v>
      </c>
    </row>
    <row r="9759" spans="1:7" x14ac:dyDescent="0.3">
      <c r="A9759" s="24">
        <v>44637</v>
      </c>
      <c r="B9759" s="66">
        <v>1748.1083000000001</v>
      </c>
      <c r="C9759" s="66">
        <v>1400</v>
      </c>
      <c r="D9759" s="70"/>
      <c r="E9759" s="111">
        <f t="shared" si="156"/>
        <v>138710</v>
      </c>
      <c r="F9759" s="69">
        <v>6.1272384651845688E-2</v>
      </c>
      <c r="G9759" s="69">
        <v>6.424242424242424E-2</v>
      </c>
    </row>
    <row r="9760" spans="1:7" x14ac:dyDescent="0.3">
      <c r="A9760" s="24">
        <v>44638</v>
      </c>
      <c r="B9760" s="66">
        <v>1748.1083000000001</v>
      </c>
      <c r="C9760" s="66">
        <v>1390.98</v>
      </c>
      <c r="D9760" s="70"/>
      <c r="E9760" s="111">
        <f t="shared" si="156"/>
        <v>138710</v>
      </c>
      <c r="F9760" s="69">
        <v>6.1683759469184481E-2</v>
      </c>
      <c r="G9760" s="69">
        <v>6.3995749716245262E-2</v>
      </c>
    </row>
    <row r="9761" spans="1:7" x14ac:dyDescent="0.3">
      <c r="A9761" s="24">
        <v>44639</v>
      </c>
      <c r="B9761" s="66">
        <v>1748.1083000000001</v>
      </c>
      <c r="C9761" s="66">
        <v>1390.98</v>
      </c>
      <c r="D9761" s="70"/>
      <c r="E9761" s="111">
        <f t="shared" si="156"/>
        <v>138710</v>
      </c>
      <c r="F9761" s="69">
        <v>6.1683759469184481E-2</v>
      </c>
      <c r="G9761" s="69">
        <v>6.3995749716245262E-2</v>
      </c>
    </row>
    <row r="9762" spans="1:7" x14ac:dyDescent="0.3">
      <c r="A9762" s="24">
        <v>44640</v>
      </c>
      <c r="B9762" s="66">
        <v>1748.1083000000001</v>
      </c>
      <c r="C9762" s="66">
        <v>1390.98</v>
      </c>
      <c r="D9762" s="70"/>
      <c r="E9762" s="111">
        <f t="shared" si="156"/>
        <v>138710</v>
      </c>
      <c r="F9762" s="69">
        <v>6.1683759469184481E-2</v>
      </c>
      <c r="G9762" s="69">
        <v>6.3995749716245262E-2</v>
      </c>
    </row>
    <row r="9763" spans="1:7" x14ac:dyDescent="0.3">
      <c r="A9763" s="24">
        <v>44641</v>
      </c>
      <c r="B9763" s="66">
        <v>1748.1083000000001</v>
      </c>
      <c r="C9763" s="66">
        <v>1400</v>
      </c>
      <c r="D9763" s="70"/>
      <c r="E9763" s="111">
        <f t="shared" si="156"/>
        <v>138710</v>
      </c>
      <c r="F9763" s="69">
        <v>6.1683759469184481E-2</v>
      </c>
      <c r="G9763" s="69">
        <v>6.3671694327813125E-2</v>
      </c>
    </row>
    <row r="9764" spans="1:7" x14ac:dyDescent="0.3">
      <c r="A9764" s="24">
        <v>44642</v>
      </c>
      <c r="B9764" s="66">
        <v>1748.1083000000001</v>
      </c>
      <c r="C9764" s="66">
        <v>1400</v>
      </c>
      <c r="D9764" s="70"/>
      <c r="E9764" s="111">
        <f t="shared" si="156"/>
        <v>138710</v>
      </c>
      <c r="F9764" s="69">
        <v>6.1683759469184481E-2</v>
      </c>
      <c r="G9764" s="69">
        <v>6.224054207989102E-2</v>
      </c>
    </row>
    <row r="9765" spans="1:7" x14ac:dyDescent="0.3">
      <c r="A9765" s="24">
        <v>44643</v>
      </c>
      <c r="B9765" s="66">
        <v>1762.8852999999999</v>
      </c>
      <c r="C9765" s="66">
        <v>1400</v>
      </c>
      <c r="D9765" s="70"/>
      <c r="E9765" s="111">
        <f t="shared" si="156"/>
        <v>138710</v>
      </c>
      <c r="F9765" s="69">
        <v>6.1683759469184481E-2</v>
      </c>
      <c r="G9765" s="69">
        <v>6.2063796899152181E-2</v>
      </c>
    </row>
    <row r="9766" spans="1:7" x14ac:dyDescent="0.3">
      <c r="A9766" s="24">
        <v>44644</v>
      </c>
      <c r="B9766" s="66">
        <v>1762.8852999999999</v>
      </c>
      <c r="C9766" s="66">
        <v>1396.69</v>
      </c>
      <c r="D9766" s="70"/>
      <c r="E9766" s="111">
        <f t="shared" si="156"/>
        <v>138710</v>
      </c>
      <c r="F9766" s="69">
        <v>6.1683759469184481E-2</v>
      </c>
      <c r="G9766" s="69">
        <v>6.2133645955451351E-2</v>
      </c>
    </row>
    <row r="9767" spans="1:7" x14ac:dyDescent="0.3">
      <c r="A9767" s="24">
        <v>44645</v>
      </c>
      <c r="B9767" s="66">
        <v>1762.8852999999999</v>
      </c>
      <c r="C9767" s="66">
        <v>1421.1</v>
      </c>
      <c r="D9767" s="70"/>
      <c r="E9767" s="111">
        <f t="shared" si="156"/>
        <v>138710</v>
      </c>
      <c r="F9767" s="69">
        <v>6.1683759469184481E-2</v>
      </c>
      <c r="G9767" s="69">
        <v>6.1988304093567252E-2</v>
      </c>
    </row>
    <row r="9768" spans="1:7" x14ac:dyDescent="0.3">
      <c r="A9768" s="24">
        <v>44646</v>
      </c>
      <c r="B9768" s="66">
        <v>1762.8852999999999</v>
      </c>
      <c r="C9768" s="66">
        <v>1421.1</v>
      </c>
      <c r="D9768" s="70"/>
      <c r="E9768" s="111">
        <f t="shared" si="156"/>
        <v>138710</v>
      </c>
      <c r="F9768" s="69">
        <v>5.3536847841178979E-2</v>
      </c>
      <c r="G9768" s="69">
        <v>5.3801169590643273E-2</v>
      </c>
    </row>
    <row r="9769" spans="1:7" x14ac:dyDescent="0.3">
      <c r="A9769" s="24">
        <v>44647</v>
      </c>
      <c r="B9769" s="66">
        <v>1762.8852999999999</v>
      </c>
      <c r="C9769" s="66">
        <v>1421.1</v>
      </c>
      <c r="D9769" s="70"/>
      <c r="E9769" s="111">
        <f t="shared" si="156"/>
        <v>138710</v>
      </c>
      <c r="F9769" s="69">
        <v>5.3536847841178979E-2</v>
      </c>
      <c r="G9769" s="69">
        <v>5.3801169590643273E-2</v>
      </c>
    </row>
    <row r="9770" spans="1:7" x14ac:dyDescent="0.3">
      <c r="A9770" s="24">
        <v>44648</v>
      </c>
      <c r="B9770" s="66">
        <v>1762.8852999999999</v>
      </c>
      <c r="C9770" s="66">
        <v>1417.48</v>
      </c>
      <c r="D9770" s="70">
        <v>14</v>
      </c>
      <c r="E9770" s="111">
        <f t="shared" si="156"/>
        <v>138710</v>
      </c>
      <c r="F9770" s="69">
        <v>6.1683759469184481E-2</v>
      </c>
      <c r="G9770" s="69">
        <v>6.0878954260378135E-2</v>
      </c>
    </row>
    <row r="9771" spans="1:7" x14ac:dyDescent="0.3">
      <c r="A9771" s="24">
        <v>44649</v>
      </c>
      <c r="B9771" s="66">
        <v>1762.8852999999999</v>
      </c>
      <c r="C9771" s="66">
        <v>1376.73</v>
      </c>
      <c r="D9771" s="70"/>
      <c r="E9771" s="111">
        <f t="shared" si="156"/>
        <v>138710</v>
      </c>
      <c r="F9771" s="69">
        <v>6.1683759469184481E-2</v>
      </c>
      <c r="G9771" s="69">
        <v>5.9222839902785152E-2</v>
      </c>
    </row>
    <row r="9772" spans="1:7" x14ac:dyDescent="0.3">
      <c r="A9772" s="24">
        <v>44650</v>
      </c>
      <c r="B9772" s="66">
        <v>1762.8852999999999</v>
      </c>
      <c r="C9772" s="66">
        <v>1322.11</v>
      </c>
      <c r="D9772" s="70"/>
      <c r="E9772" s="111">
        <f t="shared" si="156"/>
        <v>138710</v>
      </c>
      <c r="F9772" s="69">
        <v>6.1683759469184481E-2</v>
      </c>
      <c r="G9772" s="69">
        <v>5.9217877094972067E-2</v>
      </c>
    </row>
    <row r="9773" spans="1:7" x14ac:dyDescent="0.3">
      <c r="A9773" s="24">
        <v>44651</v>
      </c>
      <c r="B9773" s="66">
        <v>1762.8852999999999</v>
      </c>
      <c r="C9773" s="66">
        <v>1322.11</v>
      </c>
      <c r="D9773" s="70"/>
      <c r="E9773" s="111">
        <f t="shared" si="156"/>
        <v>138710</v>
      </c>
      <c r="F9773" s="69">
        <v>6.1683759469184481E-2</v>
      </c>
      <c r="G9773" s="69">
        <v>5.9218869589993124E-2</v>
      </c>
    </row>
    <row r="9774" spans="1:7" x14ac:dyDescent="0.3">
      <c r="A9774" s="24">
        <v>44652</v>
      </c>
      <c r="B9774" s="66">
        <v>1762.8852999999999</v>
      </c>
      <c r="C9774" s="66">
        <v>1374.43</v>
      </c>
      <c r="D9774" s="70"/>
      <c r="E9774" s="111">
        <f t="shared" si="156"/>
        <v>138710</v>
      </c>
      <c r="F9774" s="69">
        <v>6.1683759469184481E-2</v>
      </c>
      <c r="G9774" s="69">
        <v>5.9218869589993124E-2</v>
      </c>
    </row>
    <row r="9775" spans="1:7" x14ac:dyDescent="0.3">
      <c r="A9775" s="24">
        <v>44653</v>
      </c>
      <c r="B9775" s="66">
        <v>1762.8852999999999</v>
      </c>
      <c r="C9775" s="66">
        <v>1374.43</v>
      </c>
      <c r="D9775" s="70"/>
      <c r="E9775" s="111">
        <f t="shared" si="156"/>
        <v>138710</v>
      </c>
      <c r="F9775" s="69">
        <v>6.1683759469184481E-2</v>
      </c>
      <c r="G9775" s="69">
        <v>5.9218869589993124E-2</v>
      </c>
    </row>
    <row r="9776" spans="1:7" x14ac:dyDescent="0.3">
      <c r="A9776" s="24">
        <v>44654</v>
      </c>
      <c r="B9776" s="66">
        <v>1762.8852999999999</v>
      </c>
      <c r="C9776" s="66">
        <v>1374.43</v>
      </c>
      <c r="D9776" s="70"/>
      <c r="E9776" s="111">
        <f t="shared" si="156"/>
        <v>138710</v>
      </c>
      <c r="F9776" s="69">
        <v>6.1683759469184481E-2</v>
      </c>
      <c r="G9776" s="69">
        <v>5.9218869589993124E-2</v>
      </c>
    </row>
    <row r="9777" spans="1:7" x14ac:dyDescent="0.3">
      <c r="A9777" s="24">
        <v>44655</v>
      </c>
      <c r="B9777" s="66">
        <v>1762.8852999999999</v>
      </c>
      <c r="C9777" s="66">
        <v>1374.43</v>
      </c>
      <c r="D9777" s="70"/>
      <c r="E9777" s="111">
        <f t="shared" si="156"/>
        <v>138710</v>
      </c>
      <c r="F9777" s="69">
        <v>6.1683759469184481E-2</v>
      </c>
      <c r="G9777" s="69">
        <v>5.9217877094972067E-2</v>
      </c>
    </row>
    <row r="9778" spans="1:7" x14ac:dyDescent="0.3">
      <c r="A9778" s="24">
        <v>44656</v>
      </c>
      <c r="B9778" s="66">
        <v>1762.8852999999999</v>
      </c>
      <c r="C9778" s="66">
        <v>1374.43</v>
      </c>
      <c r="D9778" s="70"/>
      <c r="E9778" s="111">
        <f t="shared" si="156"/>
        <v>138710</v>
      </c>
      <c r="F9778" s="69">
        <v>6.1683759469184481E-2</v>
      </c>
      <c r="G9778" s="69">
        <v>5.9300367550391329E-2</v>
      </c>
    </row>
    <row r="9779" spans="1:7" x14ac:dyDescent="0.3">
      <c r="A9779" s="24">
        <v>44657</v>
      </c>
      <c r="B9779" s="66">
        <v>1762.8852999999999</v>
      </c>
      <c r="C9779" s="66">
        <v>1350</v>
      </c>
      <c r="D9779" s="70"/>
      <c r="E9779" s="111">
        <f t="shared" si="156"/>
        <v>138710</v>
      </c>
      <c r="F9779" s="69">
        <v>6.1683759469184481E-2</v>
      </c>
      <c r="G9779" s="69">
        <v>6.0045430599378023E-2</v>
      </c>
    </row>
    <row r="9780" spans="1:7" x14ac:dyDescent="0.3">
      <c r="A9780" s="24">
        <v>44658</v>
      </c>
      <c r="B9780" s="66">
        <v>1762.8852999999999</v>
      </c>
      <c r="C9780" s="66">
        <v>1349.7</v>
      </c>
      <c r="D9780" s="70"/>
      <c r="E9780" s="111">
        <f t="shared" si="156"/>
        <v>138710</v>
      </c>
      <c r="F9780" s="69">
        <v>6.1683759469184481E-2</v>
      </c>
      <c r="G9780" s="69">
        <v>6.0160958942983303E-2</v>
      </c>
    </row>
    <row r="9781" spans="1:7" x14ac:dyDescent="0.3">
      <c r="A9781" s="24">
        <v>44659</v>
      </c>
      <c r="B9781" s="66">
        <v>1762.8852999999999</v>
      </c>
      <c r="C9781" s="66">
        <v>1349.7</v>
      </c>
      <c r="D9781" s="70"/>
      <c r="E9781" s="111">
        <f t="shared" si="156"/>
        <v>138710</v>
      </c>
      <c r="F9781" s="69">
        <v>6.1683759469184481E-2</v>
      </c>
      <c r="G9781" s="69">
        <v>5.9217877094972067E-2</v>
      </c>
    </row>
    <row r="9782" spans="1:7" x14ac:dyDescent="0.3">
      <c r="A9782" s="24">
        <v>44660</v>
      </c>
      <c r="B9782" s="66">
        <v>1762.8852999999999</v>
      </c>
      <c r="C9782" s="66">
        <v>1349.7</v>
      </c>
      <c r="D9782" s="70"/>
      <c r="E9782" s="111">
        <f t="shared" si="156"/>
        <v>138710</v>
      </c>
      <c r="F9782" s="69">
        <v>6.1683759469184481E-2</v>
      </c>
      <c r="G9782" s="69">
        <v>5.9217877094972067E-2</v>
      </c>
    </row>
    <row r="9783" spans="1:7" x14ac:dyDescent="0.3">
      <c r="A9783" s="24">
        <v>44661</v>
      </c>
      <c r="B9783" s="66">
        <v>1762.8852999999999</v>
      </c>
      <c r="C9783" s="66">
        <v>1349.7</v>
      </c>
      <c r="D9783" s="70"/>
      <c r="E9783" s="111">
        <f t="shared" si="156"/>
        <v>138710</v>
      </c>
      <c r="F9783" s="69">
        <v>6.1683759469184481E-2</v>
      </c>
      <c r="G9783" s="69">
        <v>5.9217877094972067E-2</v>
      </c>
    </row>
    <row r="9784" spans="1:7" x14ac:dyDescent="0.3">
      <c r="A9784" s="24">
        <v>44662</v>
      </c>
      <c r="B9784" s="66">
        <v>1762.8852999999999</v>
      </c>
      <c r="C9784" s="66">
        <v>1349.5</v>
      </c>
      <c r="D9784" s="70"/>
      <c r="E9784" s="111">
        <f t="shared" si="156"/>
        <v>138710</v>
      </c>
      <c r="F9784" s="69">
        <v>6.1683759469184481E-2</v>
      </c>
      <c r="G9784" s="69">
        <v>6.0227272727272727E-2</v>
      </c>
    </row>
    <row r="9785" spans="1:7" x14ac:dyDescent="0.3">
      <c r="A9785" s="24">
        <v>44663</v>
      </c>
      <c r="B9785" s="66">
        <v>1762.8852999999999</v>
      </c>
      <c r="C9785" s="66">
        <v>1339.67</v>
      </c>
      <c r="D9785" s="70"/>
      <c r="E9785" s="111">
        <f t="shared" si="156"/>
        <v>138710</v>
      </c>
      <c r="F9785" s="69">
        <v>6.1683759469184481E-2</v>
      </c>
      <c r="G9785" s="69">
        <v>6.0227272727272727E-2</v>
      </c>
    </row>
    <row r="9786" spans="1:7" x14ac:dyDescent="0.3">
      <c r="A9786" s="24">
        <v>44664</v>
      </c>
      <c r="B9786" s="66">
        <v>1762.8852999999999</v>
      </c>
      <c r="C9786" s="66">
        <v>1315</v>
      </c>
      <c r="D9786" s="70"/>
      <c r="E9786" s="111">
        <f t="shared" si="156"/>
        <v>138710</v>
      </c>
      <c r="F9786" s="69">
        <v>6.1683759469184481E-2</v>
      </c>
      <c r="G9786" s="69">
        <v>6.0571428571428575E-2</v>
      </c>
    </row>
    <row r="9787" spans="1:7" x14ac:dyDescent="0.3">
      <c r="A9787" s="24">
        <v>44665</v>
      </c>
      <c r="B9787" s="66">
        <v>1762.8852999999999</v>
      </c>
      <c r="C9787" s="66">
        <v>1300</v>
      </c>
      <c r="D9787" s="70"/>
      <c r="E9787" s="111">
        <f t="shared" si="156"/>
        <v>138710</v>
      </c>
      <c r="F9787" s="69">
        <v>6.1683759469184481E-2</v>
      </c>
      <c r="G9787" s="69">
        <v>6.1269905494060868E-2</v>
      </c>
    </row>
    <row r="9788" spans="1:7" x14ac:dyDescent="0.3">
      <c r="A9788" s="24">
        <v>44666</v>
      </c>
      <c r="B9788" s="66">
        <v>1762.8852999999999</v>
      </c>
      <c r="C9788" s="66">
        <v>1300</v>
      </c>
      <c r="D9788" s="70"/>
      <c r="E9788" s="111">
        <f t="shared" si="156"/>
        <v>138710</v>
      </c>
      <c r="F9788" s="69">
        <v>6.1683759469184481E-2</v>
      </c>
      <c r="G9788" s="69">
        <v>6.1095100864553317E-2</v>
      </c>
    </row>
    <row r="9789" spans="1:7" x14ac:dyDescent="0.3">
      <c r="A9789" s="24">
        <v>44667</v>
      </c>
      <c r="B9789" s="66">
        <v>1762.8852999999999</v>
      </c>
      <c r="C9789" s="66">
        <v>1300</v>
      </c>
      <c r="D9789" s="70"/>
      <c r="E9789" s="111">
        <f t="shared" si="156"/>
        <v>138710</v>
      </c>
      <c r="F9789" s="69">
        <v>6.1683759469184481E-2</v>
      </c>
      <c r="G9789" s="69">
        <v>6.1095100864553317E-2</v>
      </c>
    </row>
    <row r="9790" spans="1:7" x14ac:dyDescent="0.3">
      <c r="A9790" s="24">
        <v>44668</v>
      </c>
      <c r="B9790" s="66">
        <v>1762.8852999999999</v>
      </c>
      <c r="C9790" s="66">
        <v>1300</v>
      </c>
      <c r="D9790" s="70"/>
      <c r="E9790" s="111">
        <f t="shared" si="156"/>
        <v>138710</v>
      </c>
      <c r="F9790" s="69">
        <v>6.1683759469184481E-2</v>
      </c>
      <c r="G9790" s="69">
        <v>6.1095100864553317E-2</v>
      </c>
    </row>
    <row r="9791" spans="1:7" x14ac:dyDescent="0.3">
      <c r="A9791" s="24">
        <v>44669</v>
      </c>
      <c r="B9791" s="66">
        <v>1762.8852999999999</v>
      </c>
      <c r="C9791" s="66">
        <v>1299.94</v>
      </c>
      <c r="D9791" s="70"/>
      <c r="E9791" s="111">
        <f t="shared" si="156"/>
        <v>138710</v>
      </c>
      <c r="F9791" s="69">
        <v>6.1683759469184481E-2</v>
      </c>
      <c r="G9791" s="69">
        <v>6.1047599850260606E-2</v>
      </c>
    </row>
    <row r="9792" spans="1:7" x14ac:dyDescent="0.3">
      <c r="A9792" s="24">
        <v>44670</v>
      </c>
      <c r="B9792" s="66">
        <v>1762.8852999999999</v>
      </c>
      <c r="C9792" s="66">
        <v>1288.98</v>
      </c>
      <c r="D9792" s="70"/>
      <c r="E9792" s="111">
        <f t="shared" si="156"/>
        <v>138710</v>
      </c>
      <c r="F9792" s="69">
        <v>6.1683759469184481E-2</v>
      </c>
      <c r="G9792" s="69">
        <v>6.0571428571428575E-2</v>
      </c>
    </row>
    <row r="9793" spans="1:7" x14ac:dyDescent="0.3">
      <c r="A9793" s="24">
        <v>44671</v>
      </c>
      <c r="B9793" s="66">
        <v>1762.8852999999999</v>
      </c>
      <c r="C9793" s="66">
        <v>1288.98</v>
      </c>
      <c r="D9793" s="70"/>
      <c r="E9793" s="111">
        <f t="shared" si="156"/>
        <v>138710</v>
      </c>
      <c r="F9793" s="69">
        <v>6.1683759469184481E-2</v>
      </c>
      <c r="G9793" s="69">
        <v>6.0571428571428575E-2</v>
      </c>
    </row>
    <row r="9794" spans="1:7" x14ac:dyDescent="0.3">
      <c r="A9794" s="24">
        <v>44672</v>
      </c>
      <c r="B9794" s="66">
        <v>1762.8852999999999</v>
      </c>
      <c r="C9794" s="66">
        <v>1288.98</v>
      </c>
      <c r="D9794" s="70"/>
      <c r="E9794" s="111">
        <f t="shared" si="156"/>
        <v>138710</v>
      </c>
      <c r="F9794" s="69">
        <v>6.1683759469184481E-2</v>
      </c>
      <c r="G9794" s="69">
        <v>6.0460871549167239E-2</v>
      </c>
    </row>
    <row r="9795" spans="1:7" x14ac:dyDescent="0.3">
      <c r="A9795" s="24">
        <v>44673</v>
      </c>
      <c r="B9795" s="66">
        <v>1762.8852999999999</v>
      </c>
      <c r="C9795" s="66">
        <v>1255.32</v>
      </c>
      <c r="D9795" s="70"/>
      <c r="E9795" s="111">
        <f t="shared" si="156"/>
        <v>138710</v>
      </c>
      <c r="F9795" s="69">
        <v>6.1683759469184481E-2</v>
      </c>
      <c r="G9795" s="69">
        <v>6.0433295324971492E-2</v>
      </c>
    </row>
    <row r="9796" spans="1:7" x14ac:dyDescent="0.3">
      <c r="A9796" s="24">
        <v>44674</v>
      </c>
      <c r="B9796" s="66">
        <v>1762.8852999999999</v>
      </c>
      <c r="C9796" s="66">
        <v>1255.32</v>
      </c>
      <c r="D9796" s="70"/>
      <c r="E9796" s="111">
        <f t="shared" si="156"/>
        <v>138710</v>
      </c>
      <c r="F9796" s="69">
        <v>6.1683759469184481E-2</v>
      </c>
      <c r="G9796" s="69">
        <v>6.0433295324971492E-2</v>
      </c>
    </row>
    <row r="9797" spans="1:7" x14ac:dyDescent="0.3">
      <c r="A9797" s="24">
        <v>44675</v>
      </c>
      <c r="B9797" s="66">
        <v>1762.8852999999999</v>
      </c>
      <c r="C9797" s="66">
        <v>1255.32</v>
      </c>
      <c r="D9797" s="70"/>
      <c r="E9797" s="111">
        <f t="shared" si="156"/>
        <v>138710</v>
      </c>
      <c r="F9797" s="69">
        <v>6.1683759469184481E-2</v>
      </c>
      <c r="G9797" s="69">
        <v>6.0433295324971492E-2</v>
      </c>
    </row>
    <row r="9798" spans="1:7" x14ac:dyDescent="0.3">
      <c r="A9798" s="24">
        <v>44676</v>
      </c>
      <c r="B9798" s="66">
        <v>1762.8852999999999</v>
      </c>
      <c r="C9798" s="66">
        <v>1276.1400000000001</v>
      </c>
      <c r="D9798" s="70"/>
      <c r="E9798" s="111">
        <f t="shared" si="156"/>
        <v>138710</v>
      </c>
      <c r="F9798" s="69">
        <v>6.1683759469184481E-2</v>
      </c>
      <c r="G9798" s="69">
        <v>6.0814687320711415E-2</v>
      </c>
    </row>
    <row r="9799" spans="1:7" x14ac:dyDescent="0.3">
      <c r="A9799" s="24">
        <v>44677</v>
      </c>
      <c r="B9799" s="66">
        <v>1762.8852999999999</v>
      </c>
      <c r="C9799" s="66">
        <v>1257.4100000000001</v>
      </c>
      <c r="D9799" s="70"/>
      <c r="E9799" s="111">
        <f t="shared" si="156"/>
        <v>138710</v>
      </c>
      <c r="F9799" s="69">
        <v>6.1683759469184481E-2</v>
      </c>
      <c r="G9799" s="69">
        <v>5.9842377436036404E-2</v>
      </c>
    </row>
    <row r="9800" spans="1:7" x14ac:dyDescent="0.3">
      <c r="A9800" s="24">
        <v>44678</v>
      </c>
      <c r="B9800" s="66">
        <v>1762.8852999999999</v>
      </c>
      <c r="C9800" s="66">
        <v>1257.4100000000001</v>
      </c>
      <c r="D9800" s="70"/>
      <c r="E9800" s="111">
        <f t="shared" si="156"/>
        <v>138710</v>
      </c>
      <c r="F9800" s="69">
        <v>6.1683759469184481E-2</v>
      </c>
      <c r="G9800" s="69">
        <v>6.0919540229885057E-2</v>
      </c>
    </row>
    <row r="9801" spans="1:7" x14ac:dyDescent="0.3">
      <c r="A9801" s="24">
        <v>44679</v>
      </c>
      <c r="B9801" s="66">
        <v>1762.8852999999999</v>
      </c>
      <c r="C9801" s="66">
        <v>1300</v>
      </c>
      <c r="D9801" s="70">
        <v>43</v>
      </c>
      <c r="E9801" s="111">
        <f t="shared" ref="E9801:E9864" si="157">+E9800</f>
        <v>138710</v>
      </c>
      <c r="F9801" s="69">
        <v>6.3429526246614229E-2</v>
      </c>
      <c r="G9801" s="69">
        <v>6.5662650602409639E-2</v>
      </c>
    </row>
    <row r="9802" spans="1:7" x14ac:dyDescent="0.3">
      <c r="A9802" s="24">
        <v>44680</v>
      </c>
      <c r="B9802" s="66">
        <v>1762.8852999999999</v>
      </c>
      <c r="C9802" s="66">
        <v>1320.1</v>
      </c>
      <c r="D9802" s="70"/>
      <c r="E9802" s="111">
        <f t="shared" si="157"/>
        <v>138710</v>
      </c>
      <c r="F9802" s="69">
        <v>6.3429526246614229E-2</v>
      </c>
      <c r="G9802" s="69">
        <v>6.5662650602409639E-2</v>
      </c>
    </row>
    <row r="9803" spans="1:7" x14ac:dyDescent="0.3">
      <c r="A9803" s="24">
        <v>44681</v>
      </c>
      <c r="B9803" s="66">
        <v>1762.8852999999999</v>
      </c>
      <c r="C9803" s="66">
        <v>1320.1</v>
      </c>
      <c r="D9803" s="70"/>
      <c r="E9803" s="111">
        <f t="shared" si="157"/>
        <v>138710</v>
      </c>
      <c r="F9803" s="69">
        <v>6.3429526246614229E-2</v>
      </c>
      <c r="G9803" s="69">
        <v>6.5662650602409639E-2</v>
      </c>
    </row>
    <row r="9804" spans="1:7" x14ac:dyDescent="0.3">
      <c r="A9804" s="24">
        <v>44682</v>
      </c>
      <c r="B9804" s="66">
        <v>1762.8852999999999</v>
      </c>
      <c r="C9804" s="66">
        <v>1320.1</v>
      </c>
      <c r="D9804" s="70"/>
      <c r="E9804" s="111">
        <f t="shared" si="157"/>
        <v>138710</v>
      </c>
      <c r="F9804" s="69">
        <v>6.3429526246614229E-2</v>
      </c>
      <c r="G9804" s="69">
        <v>6.5662650602409639E-2</v>
      </c>
    </row>
    <row r="9805" spans="1:7" x14ac:dyDescent="0.3">
      <c r="A9805" s="24">
        <v>44683</v>
      </c>
      <c r="B9805" s="66">
        <v>1762.8852999999999</v>
      </c>
      <c r="C9805" s="66">
        <v>1285</v>
      </c>
      <c r="D9805" s="70"/>
      <c r="E9805" s="111">
        <f t="shared" si="157"/>
        <v>138710</v>
      </c>
      <c r="F9805" s="69">
        <v>6.3429526246614229E-2</v>
      </c>
      <c r="G9805" s="69">
        <v>6.572718995157896E-2</v>
      </c>
    </row>
    <row r="9806" spans="1:7" x14ac:dyDescent="0.3">
      <c r="A9806" s="24">
        <v>44684</v>
      </c>
      <c r="B9806" s="66">
        <v>1762.8852999999999</v>
      </c>
      <c r="C9806" s="66">
        <v>1285</v>
      </c>
      <c r="D9806" s="70"/>
      <c r="E9806" s="111">
        <f t="shared" si="157"/>
        <v>138710</v>
      </c>
      <c r="F9806" s="69">
        <v>6.3429526246614229E-2</v>
      </c>
      <c r="G9806" s="69">
        <v>6.6140375361799994E-2</v>
      </c>
    </row>
    <row r="9807" spans="1:7" x14ac:dyDescent="0.3">
      <c r="A9807" s="24">
        <v>44685</v>
      </c>
      <c r="B9807" s="66">
        <v>1762.8852999999999</v>
      </c>
      <c r="C9807" s="66">
        <v>1274.08</v>
      </c>
      <c r="D9807" s="70"/>
      <c r="E9807" s="111">
        <f t="shared" si="157"/>
        <v>138710</v>
      </c>
      <c r="F9807" s="69">
        <v>6.3429526246614229E-2</v>
      </c>
      <c r="G9807" s="69">
        <v>6.6849839315065135E-2</v>
      </c>
    </row>
    <row r="9808" spans="1:7" x14ac:dyDescent="0.3">
      <c r="A9808" s="24">
        <v>44686</v>
      </c>
      <c r="B9808" s="66">
        <v>1762.8852999999999</v>
      </c>
      <c r="C9808" s="66">
        <v>1274.08</v>
      </c>
      <c r="D9808" s="70"/>
      <c r="E9808" s="111">
        <f t="shared" si="157"/>
        <v>138710</v>
      </c>
      <c r="F9808" s="69">
        <v>6.3429526246614229E-2</v>
      </c>
      <c r="G9808" s="69">
        <v>6.6238848780962103E-2</v>
      </c>
    </row>
    <row r="9809" spans="1:7" x14ac:dyDescent="0.3">
      <c r="A9809" s="24">
        <v>44687</v>
      </c>
      <c r="B9809" s="66">
        <v>1762.8852999999999</v>
      </c>
      <c r="C9809" s="66">
        <v>1260.06</v>
      </c>
      <c r="D9809" s="70"/>
      <c r="E9809" s="111">
        <f t="shared" si="157"/>
        <v>138710</v>
      </c>
      <c r="F9809" s="69">
        <v>6.3429526246614229E-2</v>
      </c>
      <c r="G9809" s="69">
        <v>6.6060606060606056E-2</v>
      </c>
    </row>
    <row r="9810" spans="1:7" x14ac:dyDescent="0.3">
      <c r="A9810" s="24">
        <v>44688</v>
      </c>
      <c r="B9810" s="66">
        <v>1762.8852999999999</v>
      </c>
      <c r="C9810" s="66">
        <v>1260.06</v>
      </c>
      <c r="D9810" s="70"/>
      <c r="E9810" s="111">
        <f t="shared" si="157"/>
        <v>138710</v>
      </c>
      <c r="F9810" s="69">
        <v>6.3429526246614229E-2</v>
      </c>
      <c r="G9810" s="69">
        <v>6.6060606060606056E-2</v>
      </c>
    </row>
    <row r="9811" spans="1:7" x14ac:dyDescent="0.3">
      <c r="A9811" s="24">
        <v>44689</v>
      </c>
      <c r="B9811" s="66">
        <v>1762.8852999999999</v>
      </c>
      <c r="C9811" s="66">
        <v>1260.06</v>
      </c>
      <c r="D9811" s="70"/>
      <c r="E9811" s="111">
        <f t="shared" si="157"/>
        <v>138710</v>
      </c>
      <c r="F9811" s="69">
        <v>6.3429526246614229E-2</v>
      </c>
      <c r="G9811" s="69">
        <v>6.6060606060606056E-2</v>
      </c>
    </row>
    <row r="9812" spans="1:7" x14ac:dyDescent="0.3">
      <c r="A9812" s="24">
        <v>44690</v>
      </c>
      <c r="B9812" s="66">
        <v>1762.8852999999999</v>
      </c>
      <c r="C9812" s="66">
        <v>1249.44</v>
      </c>
      <c r="D9812" s="70"/>
      <c r="E9812" s="111">
        <f t="shared" si="157"/>
        <v>138710</v>
      </c>
      <c r="F9812" s="69">
        <v>6.3429526246614229E-2</v>
      </c>
      <c r="G9812" s="69">
        <v>6.5950688246861289E-2</v>
      </c>
    </row>
    <row r="9813" spans="1:7" x14ac:dyDescent="0.3">
      <c r="A9813" s="24">
        <v>44691</v>
      </c>
      <c r="B9813" s="66">
        <v>1762.8852999999999</v>
      </c>
      <c r="C9813" s="66">
        <v>1240.6400000000001</v>
      </c>
      <c r="D9813" s="70"/>
      <c r="E9813" s="111">
        <f t="shared" si="157"/>
        <v>138710</v>
      </c>
      <c r="F9813" s="69">
        <v>6.3429526246614229E-2</v>
      </c>
      <c r="G9813" s="69">
        <v>6.5940713853599522E-2</v>
      </c>
    </row>
    <row r="9814" spans="1:7" x14ac:dyDescent="0.3">
      <c r="A9814" s="24">
        <v>44692</v>
      </c>
      <c r="B9814" s="66">
        <v>1762.8852999999999</v>
      </c>
      <c r="C9814" s="66">
        <v>1240</v>
      </c>
      <c r="D9814" s="70"/>
      <c r="E9814" s="111">
        <f t="shared" si="157"/>
        <v>138710</v>
      </c>
      <c r="F9814" s="69">
        <v>6.3429526246614229E-2</v>
      </c>
      <c r="G9814" s="69">
        <v>6.5903237118637922E-2</v>
      </c>
    </row>
    <row r="9815" spans="1:7" x14ac:dyDescent="0.3">
      <c r="A9815" s="24">
        <v>44693</v>
      </c>
      <c r="B9815" s="66">
        <v>1762.8852999999999</v>
      </c>
      <c r="C9815" s="66">
        <v>1238.9000000000001</v>
      </c>
      <c r="D9815" s="70"/>
      <c r="E9815" s="111">
        <f t="shared" si="157"/>
        <v>138710</v>
      </c>
      <c r="F9815" s="69">
        <v>6.3429526246614229E-2</v>
      </c>
      <c r="G9815" s="69">
        <v>6.5761689291101058E-2</v>
      </c>
    </row>
    <row r="9816" spans="1:7" x14ac:dyDescent="0.3">
      <c r="A9816" s="24">
        <v>44694</v>
      </c>
      <c r="B9816" s="66">
        <v>1762.8852999999999</v>
      </c>
      <c r="C9816" s="66">
        <v>1242.3399999999999</v>
      </c>
      <c r="D9816" s="70"/>
      <c r="E9816" s="111">
        <f t="shared" si="157"/>
        <v>138710</v>
      </c>
      <c r="F9816" s="69">
        <v>6.3429526246614229E-2</v>
      </c>
      <c r="G9816" s="69">
        <v>6.6655251700014684E-2</v>
      </c>
    </row>
    <row r="9817" spans="1:7" x14ac:dyDescent="0.3">
      <c r="A9817" s="24">
        <v>44695</v>
      </c>
      <c r="B9817" s="66">
        <v>1762.8852999999999</v>
      </c>
      <c r="C9817" s="66">
        <v>1242.3399999999999</v>
      </c>
      <c r="D9817" s="70"/>
      <c r="E9817" s="111">
        <f t="shared" si="157"/>
        <v>138710</v>
      </c>
      <c r="F9817" s="69">
        <v>6.3429526246614229E-2</v>
      </c>
      <c r="G9817" s="69">
        <v>6.6655251700014684E-2</v>
      </c>
    </row>
    <row r="9818" spans="1:7" x14ac:dyDescent="0.3">
      <c r="A9818" s="24">
        <v>44696</v>
      </c>
      <c r="B9818" s="66">
        <v>1762.8852999999999</v>
      </c>
      <c r="C9818" s="66">
        <v>1242.3399999999999</v>
      </c>
      <c r="D9818" s="70"/>
      <c r="E9818" s="111">
        <f t="shared" si="157"/>
        <v>138710</v>
      </c>
      <c r="F9818" s="69">
        <v>6.3429526246614229E-2</v>
      </c>
      <c r="G9818" s="69">
        <v>6.6655251700014684E-2</v>
      </c>
    </row>
    <row r="9819" spans="1:7" x14ac:dyDescent="0.3">
      <c r="A9819" s="24">
        <v>44697</v>
      </c>
      <c r="B9819" s="66">
        <v>1762.8852999999999</v>
      </c>
      <c r="C9819" s="66">
        <v>1240</v>
      </c>
      <c r="D9819" s="70"/>
      <c r="E9819" s="111">
        <f t="shared" si="157"/>
        <v>138710</v>
      </c>
      <c r="F9819" s="69">
        <v>6.3429526246614229E-2</v>
      </c>
      <c r="G9819" s="69">
        <v>7.0713099439485158E-2</v>
      </c>
    </row>
    <row r="9820" spans="1:7" x14ac:dyDescent="0.3">
      <c r="A9820" s="24">
        <v>44698</v>
      </c>
      <c r="B9820" s="66">
        <v>1762.8852999999999</v>
      </c>
      <c r="C9820" s="66">
        <v>1227</v>
      </c>
      <c r="D9820" s="70"/>
      <c r="E9820" s="111">
        <f t="shared" si="157"/>
        <v>138710</v>
      </c>
      <c r="F9820" s="69">
        <v>6.3429526246614229E-2</v>
      </c>
      <c r="G9820" s="69">
        <v>7.4224894621078508E-2</v>
      </c>
    </row>
    <row r="9821" spans="1:7" x14ac:dyDescent="0.3">
      <c r="A9821" s="24">
        <v>44699</v>
      </c>
      <c r="B9821" s="66">
        <v>1762.8852999999999</v>
      </c>
      <c r="C9821" s="66">
        <v>1231.3800000000001</v>
      </c>
      <c r="D9821" s="70"/>
      <c r="E9821" s="111">
        <f t="shared" si="157"/>
        <v>138710</v>
      </c>
      <c r="F9821" s="69">
        <v>6.3429526246614229E-2</v>
      </c>
      <c r="G9821" s="69">
        <v>7.2566524862356624E-2</v>
      </c>
    </row>
    <row r="9822" spans="1:7" x14ac:dyDescent="0.3">
      <c r="A9822" s="24">
        <v>44700</v>
      </c>
      <c r="B9822" s="66">
        <v>1762.8852999999999</v>
      </c>
      <c r="C9822" s="66">
        <v>1229</v>
      </c>
      <c r="D9822" s="70"/>
      <c r="E9822" s="111">
        <f t="shared" si="157"/>
        <v>138710</v>
      </c>
      <c r="F9822" s="69">
        <v>6.3781757317318222E-2</v>
      </c>
      <c r="G9822" s="69">
        <v>7.241273932742516E-2</v>
      </c>
    </row>
    <row r="9823" spans="1:7" x14ac:dyDescent="0.3">
      <c r="A9823" s="24">
        <v>44701</v>
      </c>
      <c r="B9823" s="66">
        <v>1762.8852999999999</v>
      </c>
      <c r="C9823" s="66">
        <v>1235</v>
      </c>
      <c r="D9823" s="70"/>
      <c r="E9823" s="111">
        <f t="shared" si="157"/>
        <v>138710</v>
      </c>
      <c r="F9823" s="69">
        <v>6.3781757317318222E-2</v>
      </c>
      <c r="G9823" s="69">
        <v>7.241273932742516E-2</v>
      </c>
    </row>
    <row r="9824" spans="1:7" x14ac:dyDescent="0.3">
      <c r="A9824" s="24">
        <v>44702</v>
      </c>
      <c r="B9824" s="66">
        <v>1762.8852999999999</v>
      </c>
      <c r="C9824" s="66">
        <v>1235</v>
      </c>
      <c r="D9824" s="70"/>
      <c r="E9824" s="111">
        <f t="shared" si="157"/>
        <v>138710</v>
      </c>
      <c r="F9824" s="69">
        <v>6.3781757317318222E-2</v>
      </c>
      <c r="G9824" s="69">
        <v>7.241273932742516E-2</v>
      </c>
    </row>
    <row r="9825" spans="1:7" x14ac:dyDescent="0.3">
      <c r="A9825" s="24">
        <v>44703</v>
      </c>
      <c r="B9825" s="66">
        <v>1762.8852999999999</v>
      </c>
      <c r="C9825" s="66">
        <v>1235</v>
      </c>
      <c r="D9825" s="70"/>
      <c r="E9825" s="111">
        <f t="shared" si="157"/>
        <v>138710</v>
      </c>
      <c r="F9825" s="69">
        <v>6.3781757317318222E-2</v>
      </c>
      <c r="G9825" s="69">
        <v>7.241273932742516E-2</v>
      </c>
    </row>
    <row r="9826" spans="1:7" x14ac:dyDescent="0.3">
      <c r="A9826" s="24">
        <v>44704</v>
      </c>
      <c r="B9826" s="66">
        <v>1775.7838469632732</v>
      </c>
      <c r="C9826" s="66">
        <v>1235</v>
      </c>
      <c r="D9826" s="70"/>
      <c r="E9826" s="111">
        <f t="shared" si="157"/>
        <v>138710</v>
      </c>
      <c r="F9826" s="69">
        <v>6.3781757317318222E-2</v>
      </c>
      <c r="G9826" s="69">
        <v>7.2333930585971193E-2</v>
      </c>
    </row>
    <row r="9827" spans="1:7" x14ac:dyDescent="0.3">
      <c r="A9827" s="24">
        <v>44705</v>
      </c>
      <c r="B9827" s="66">
        <v>1775.7838469632732</v>
      </c>
      <c r="C9827" s="66">
        <v>1229.6300000000001</v>
      </c>
      <c r="D9827" s="70"/>
      <c r="E9827" s="111">
        <f t="shared" si="157"/>
        <v>138710</v>
      </c>
      <c r="F9827" s="69">
        <v>6.3781757317318222E-2</v>
      </c>
      <c r="G9827" s="69">
        <v>7.1645950689181462E-2</v>
      </c>
    </row>
    <row r="9828" spans="1:7" x14ac:dyDescent="0.3">
      <c r="A9828" s="24">
        <v>44706</v>
      </c>
      <c r="B9828" s="66">
        <v>1775.7838469632732</v>
      </c>
      <c r="C9828" s="66">
        <v>1218.55</v>
      </c>
      <c r="D9828" s="70"/>
      <c r="E9828" s="111">
        <f t="shared" si="157"/>
        <v>138710</v>
      </c>
      <c r="F9828" s="69">
        <v>6.3781757317318222E-2</v>
      </c>
      <c r="G9828" s="69">
        <v>7.1947194719471946E-2</v>
      </c>
    </row>
    <row r="9829" spans="1:7" x14ac:dyDescent="0.3">
      <c r="A9829" s="24">
        <v>44707</v>
      </c>
      <c r="B9829" s="66">
        <v>1775.7838469632732</v>
      </c>
      <c r="C9829" s="66">
        <v>1212.28</v>
      </c>
      <c r="D9829" s="70"/>
      <c r="E9829" s="111">
        <f t="shared" si="157"/>
        <v>138710</v>
      </c>
      <c r="F9829" s="69">
        <v>6.3781757317318222E-2</v>
      </c>
      <c r="G9829" s="69">
        <v>7.1947194719471946E-2</v>
      </c>
    </row>
    <row r="9830" spans="1:7" x14ac:dyDescent="0.3">
      <c r="A9830" s="24">
        <v>44708</v>
      </c>
      <c r="B9830" s="66">
        <v>1775.7838469632732</v>
      </c>
      <c r="C9830" s="66">
        <v>1179.9000000000001</v>
      </c>
      <c r="D9830" s="70"/>
      <c r="E9830" s="111">
        <f t="shared" si="157"/>
        <v>138710</v>
      </c>
      <c r="F9830" s="69">
        <v>6.3781757317318222E-2</v>
      </c>
      <c r="G9830" s="69">
        <v>7.3648648648648646E-2</v>
      </c>
    </row>
    <row r="9831" spans="1:7" x14ac:dyDescent="0.3">
      <c r="A9831" s="24">
        <v>44709</v>
      </c>
      <c r="B9831" s="66">
        <v>1775.7838469632732</v>
      </c>
      <c r="C9831" s="66">
        <v>1179.9000000000001</v>
      </c>
      <c r="D9831" s="70"/>
      <c r="E9831" s="111">
        <f t="shared" si="157"/>
        <v>138710</v>
      </c>
      <c r="F9831" s="69">
        <v>6.3781757317318222E-2</v>
      </c>
      <c r="G9831" s="69">
        <v>7.3648648648648646E-2</v>
      </c>
    </row>
    <row r="9832" spans="1:7" x14ac:dyDescent="0.3">
      <c r="A9832" s="24">
        <v>44710</v>
      </c>
      <c r="B9832" s="66">
        <v>1775.7838469632732</v>
      </c>
      <c r="C9832" s="66">
        <v>1179.9000000000001</v>
      </c>
      <c r="D9832" s="70"/>
      <c r="E9832" s="111">
        <f t="shared" si="157"/>
        <v>138710</v>
      </c>
      <c r="F9832" s="69">
        <v>6.3781757317318222E-2</v>
      </c>
      <c r="G9832" s="69">
        <v>7.3648648648648646E-2</v>
      </c>
    </row>
    <row r="9833" spans="1:7" x14ac:dyDescent="0.3">
      <c r="A9833" s="24">
        <v>44711</v>
      </c>
      <c r="B9833" s="66">
        <v>1775.7838469632732</v>
      </c>
      <c r="C9833" s="66">
        <v>1167</v>
      </c>
      <c r="D9833" s="70"/>
      <c r="E9833" s="111">
        <f t="shared" si="157"/>
        <v>138710</v>
      </c>
      <c r="F9833" s="69">
        <v>6.3781757317318222E-2</v>
      </c>
      <c r="G9833" s="69">
        <v>7.3788747554478437E-2</v>
      </c>
    </row>
    <row r="9834" spans="1:7" x14ac:dyDescent="0.3">
      <c r="A9834" s="24">
        <v>44712</v>
      </c>
      <c r="B9834" s="66">
        <v>1775.7838469632732</v>
      </c>
      <c r="C9834" s="66">
        <v>1156.26</v>
      </c>
      <c r="D9834" s="70"/>
      <c r="E9834" s="111">
        <f t="shared" si="157"/>
        <v>138710</v>
      </c>
      <c r="F9834" s="69">
        <v>6.3781757317318222E-2</v>
      </c>
      <c r="G9834" s="69">
        <v>7.3037698173387469E-2</v>
      </c>
    </row>
    <row r="9835" spans="1:7" x14ac:dyDescent="0.3">
      <c r="A9835" s="24">
        <v>44713</v>
      </c>
      <c r="B9835" s="66">
        <v>1775.7838469632732</v>
      </c>
      <c r="C9835" s="66">
        <v>1158.6500000000001</v>
      </c>
      <c r="D9835" s="70"/>
      <c r="E9835" s="111">
        <f t="shared" si="157"/>
        <v>138710</v>
      </c>
      <c r="F9835" s="69">
        <v>6.3781757317318222E-2</v>
      </c>
      <c r="G9835" s="69">
        <v>7.3037698173387469E-2</v>
      </c>
    </row>
    <row r="9836" spans="1:7" x14ac:dyDescent="0.3">
      <c r="A9836" s="24">
        <v>44714</v>
      </c>
      <c r="B9836" s="66">
        <v>1775.7838469632732</v>
      </c>
      <c r="C9836" s="66">
        <v>1150</v>
      </c>
      <c r="D9836" s="70"/>
      <c r="E9836" s="111">
        <f t="shared" si="157"/>
        <v>138710</v>
      </c>
      <c r="F9836" s="69">
        <v>6.3781757317318222E-2</v>
      </c>
      <c r="G9836" s="69">
        <v>7.360239849283895E-2</v>
      </c>
    </row>
    <row r="9837" spans="1:7" x14ac:dyDescent="0.3">
      <c r="A9837" s="24">
        <v>44715</v>
      </c>
      <c r="B9837" s="66">
        <v>1775.7838469632732</v>
      </c>
      <c r="C9837" s="66">
        <v>1150</v>
      </c>
      <c r="D9837" s="70"/>
      <c r="E9837" s="111">
        <f t="shared" si="157"/>
        <v>138710</v>
      </c>
      <c r="F9837" s="69">
        <v>6.3781757317318222E-2</v>
      </c>
      <c r="G9837" s="69">
        <v>7.4914089347079035E-2</v>
      </c>
    </row>
    <row r="9838" spans="1:7" x14ac:dyDescent="0.3">
      <c r="A9838" s="24">
        <v>44716</v>
      </c>
      <c r="B9838" s="66">
        <v>1775.7838469632732</v>
      </c>
      <c r="C9838" s="66">
        <v>1150</v>
      </c>
      <c r="D9838" s="70"/>
      <c r="E9838" s="111">
        <f t="shared" si="157"/>
        <v>138710</v>
      </c>
      <c r="F9838" s="69">
        <v>6.3781757317318222E-2</v>
      </c>
      <c r="G9838" s="69">
        <v>7.4914089347079035E-2</v>
      </c>
    </row>
    <row r="9839" spans="1:7" x14ac:dyDescent="0.3">
      <c r="A9839" s="24">
        <v>44717</v>
      </c>
      <c r="B9839" s="66">
        <v>1775.7838469632732</v>
      </c>
      <c r="C9839" s="66">
        <v>1150</v>
      </c>
      <c r="D9839" s="70"/>
      <c r="E9839" s="111">
        <f t="shared" si="157"/>
        <v>138710</v>
      </c>
      <c r="F9839" s="69">
        <v>6.3781757317318222E-2</v>
      </c>
      <c r="G9839" s="69">
        <v>7.4914089347079035E-2</v>
      </c>
    </row>
    <row r="9840" spans="1:7" x14ac:dyDescent="0.3">
      <c r="A9840" s="24">
        <v>44718</v>
      </c>
      <c r="B9840" s="66">
        <v>1775.7838469632732</v>
      </c>
      <c r="C9840" s="66">
        <v>1130</v>
      </c>
      <c r="D9840" s="70"/>
      <c r="E9840" s="111">
        <f t="shared" si="157"/>
        <v>138710</v>
      </c>
      <c r="F9840" s="69">
        <v>6.3781757317318222E-2</v>
      </c>
      <c r="G9840" s="69">
        <v>7.4280028894249769E-2</v>
      </c>
    </row>
    <row r="9841" spans="1:7" x14ac:dyDescent="0.3">
      <c r="A9841" s="24">
        <v>44719</v>
      </c>
      <c r="B9841" s="66">
        <v>1775.7838469632732</v>
      </c>
      <c r="C9841" s="66">
        <v>1129.73</v>
      </c>
      <c r="D9841" s="70"/>
      <c r="E9841" s="111">
        <f t="shared" si="157"/>
        <v>138710</v>
      </c>
      <c r="F9841" s="69">
        <v>6.3781757317318222E-2</v>
      </c>
      <c r="G9841" s="69">
        <v>7.4433723256782686E-2</v>
      </c>
    </row>
    <row r="9842" spans="1:7" x14ac:dyDescent="0.3">
      <c r="A9842" s="24">
        <v>44720</v>
      </c>
      <c r="B9842" s="66">
        <v>1775.7838469632732</v>
      </c>
      <c r="C9842" s="66">
        <v>1130</v>
      </c>
      <c r="D9842" s="70"/>
      <c r="E9842" s="111">
        <f t="shared" si="157"/>
        <v>138710</v>
      </c>
      <c r="F9842" s="69">
        <v>6.3781757317318222E-2</v>
      </c>
      <c r="G9842" s="69">
        <v>7.4657534246575341E-2</v>
      </c>
    </row>
    <row r="9843" spans="1:7" x14ac:dyDescent="0.3">
      <c r="A9843" s="24">
        <v>44721</v>
      </c>
      <c r="B9843" s="66">
        <v>1775.7838469632732</v>
      </c>
      <c r="C9843" s="66">
        <v>1199.8900000000001</v>
      </c>
      <c r="D9843" s="70"/>
      <c r="E9843" s="111">
        <f t="shared" si="157"/>
        <v>138710</v>
      </c>
      <c r="F9843" s="69">
        <v>6.3781757317318222E-2</v>
      </c>
      <c r="G9843" s="69">
        <v>7.6777865434464104E-2</v>
      </c>
    </row>
    <row r="9844" spans="1:7" x14ac:dyDescent="0.3">
      <c r="A9844" s="24">
        <v>44722</v>
      </c>
      <c r="B9844" s="66">
        <v>1775.7838469632732</v>
      </c>
      <c r="C9844" s="66">
        <v>1193.1199999999999</v>
      </c>
      <c r="D9844" s="70"/>
      <c r="E9844" s="111">
        <f t="shared" si="157"/>
        <v>138710</v>
      </c>
      <c r="F9844" s="69">
        <v>6.3781757317318222E-2</v>
      </c>
      <c r="G9844" s="69">
        <v>7.8856365662031747E-2</v>
      </c>
    </row>
    <row r="9845" spans="1:7" x14ac:dyDescent="0.3">
      <c r="A9845" s="24">
        <v>44723</v>
      </c>
      <c r="B9845" s="66">
        <v>1775.7838469632732</v>
      </c>
      <c r="C9845" s="66">
        <v>1193.1199999999999</v>
      </c>
      <c r="D9845" s="70"/>
      <c r="E9845" s="111">
        <f t="shared" si="157"/>
        <v>138710</v>
      </c>
      <c r="F9845" s="69">
        <v>6.3781757317318222E-2</v>
      </c>
      <c r="G9845" s="69">
        <v>7.8856365662031747E-2</v>
      </c>
    </row>
    <row r="9846" spans="1:7" x14ac:dyDescent="0.3">
      <c r="A9846" s="24">
        <v>44724</v>
      </c>
      <c r="B9846" s="66">
        <v>1775.7838469632732</v>
      </c>
      <c r="C9846" s="66">
        <v>1193.1199999999999</v>
      </c>
      <c r="D9846" s="70"/>
      <c r="E9846" s="111">
        <f t="shared" si="157"/>
        <v>138710</v>
      </c>
      <c r="F9846" s="69">
        <v>6.3781757317318222E-2</v>
      </c>
      <c r="G9846" s="69">
        <v>7.8856365662031747E-2</v>
      </c>
    </row>
    <row r="9847" spans="1:7" x14ac:dyDescent="0.3">
      <c r="A9847" s="24">
        <v>44725</v>
      </c>
      <c r="B9847" s="66">
        <v>1775.7838469632732</v>
      </c>
      <c r="C9847" s="66">
        <v>1179.8499999999999</v>
      </c>
      <c r="D9847" s="70"/>
      <c r="E9847" s="111">
        <f t="shared" si="157"/>
        <v>138710</v>
      </c>
      <c r="F9847" s="69">
        <v>6.3781757317318222E-2</v>
      </c>
      <c r="G9847" s="69">
        <v>7.8507069237473082E-2</v>
      </c>
    </row>
    <row r="9848" spans="1:7" x14ac:dyDescent="0.3">
      <c r="A9848" s="24">
        <v>44726</v>
      </c>
      <c r="B9848" s="66">
        <v>1775.7838469632732</v>
      </c>
      <c r="C9848" s="66">
        <v>1164.24</v>
      </c>
      <c r="D9848" s="70"/>
      <c r="E9848" s="111">
        <f t="shared" si="157"/>
        <v>138710</v>
      </c>
      <c r="F9848" s="69">
        <v>6.3781757317318222E-2</v>
      </c>
      <c r="G9848" s="69">
        <v>7.8700361010830319E-2</v>
      </c>
    </row>
    <row r="9849" spans="1:7" x14ac:dyDescent="0.3">
      <c r="A9849" s="24">
        <v>44727</v>
      </c>
      <c r="B9849" s="66">
        <v>1775.7838469632732</v>
      </c>
      <c r="C9849" s="66">
        <v>1175.8399999999999</v>
      </c>
      <c r="D9849" s="70"/>
      <c r="E9849" s="111">
        <f t="shared" si="157"/>
        <v>138710</v>
      </c>
      <c r="F9849" s="69">
        <v>6.3781757317318222E-2</v>
      </c>
      <c r="G9849" s="69">
        <v>7.8264678217288594E-2</v>
      </c>
    </row>
    <row r="9850" spans="1:7" x14ac:dyDescent="0.3">
      <c r="A9850" s="24">
        <v>44728</v>
      </c>
      <c r="B9850" s="66">
        <v>1775.7838469632732</v>
      </c>
      <c r="C9850" s="66">
        <v>1165</v>
      </c>
      <c r="D9850" s="70"/>
      <c r="E9850" s="111">
        <f t="shared" si="157"/>
        <v>138710</v>
      </c>
      <c r="F9850" s="69">
        <v>6.3781757317318222E-2</v>
      </c>
      <c r="G9850" s="69">
        <v>7.7853250194633128E-2</v>
      </c>
    </row>
    <row r="9851" spans="1:7" x14ac:dyDescent="0.3">
      <c r="A9851" s="24">
        <v>44729</v>
      </c>
      <c r="B9851" s="66">
        <v>1775.7838469632732</v>
      </c>
      <c r="C9851" s="66">
        <v>1149.05</v>
      </c>
      <c r="D9851" s="70"/>
      <c r="E9851" s="111">
        <f t="shared" si="157"/>
        <v>138710</v>
      </c>
      <c r="F9851" s="69">
        <v>6.3781757317318222E-2</v>
      </c>
      <c r="G9851" s="69">
        <v>7.7853250194633128E-2</v>
      </c>
    </row>
    <row r="9852" spans="1:7" x14ac:dyDescent="0.3">
      <c r="A9852" s="24">
        <v>44730</v>
      </c>
      <c r="B9852" s="66">
        <v>1775.7838469632732</v>
      </c>
      <c r="C9852" s="66">
        <v>1149.05</v>
      </c>
      <c r="D9852" s="70"/>
      <c r="E9852" s="111">
        <f t="shared" si="157"/>
        <v>138710</v>
      </c>
      <c r="F9852" s="69">
        <v>6.3781757317318222E-2</v>
      </c>
      <c r="G9852" s="69">
        <v>7.7853250194633128E-2</v>
      </c>
    </row>
    <row r="9853" spans="1:7" x14ac:dyDescent="0.3">
      <c r="A9853" s="24">
        <v>44731</v>
      </c>
      <c r="B9853" s="66">
        <v>1775.7838469632732</v>
      </c>
      <c r="C9853" s="66">
        <v>1149.05</v>
      </c>
      <c r="D9853" s="70"/>
      <c r="E9853" s="111">
        <f t="shared" si="157"/>
        <v>138710</v>
      </c>
      <c r="F9853" s="69">
        <v>6.3781757317318222E-2</v>
      </c>
      <c r="G9853" s="69">
        <v>7.7853250194633128E-2</v>
      </c>
    </row>
    <row r="9854" spans="1:7" x14ac:dyDescent="0.3">
      <c r="A9854" s="24">
        <v>44732</v>
      </c>
      <c r="B9854" s="66">
        <v>1775.7838469632732</v>
      </c>
      <c r="C9854" s="66">
        <v>1130</v>
      </c>
      <c r="D9854" s="70"/>
      <c r="E9854" s="111">
        <f t="shared" si="157"/>
        <v>138710</v>
      </c>
      <c r="F9854" s="69">
        <v>6.3781757317318222E-2</v>
      </c>
      <c r="G9854" s="69">
        <v>7.7853250194633128E-2</v>
      </c>
    </row>
    <row r="9855" spans="1:7" x14ac:dyDescent="0.3">
      <c r="A9855" s="24">
        <v>44733</v>
      </c>
      <c r="B9855" s="66">
        <v>1775.7838469632732</v>
      </c>
      <c r="C9855" s="66">
        <v>1130</v>
      </c>
      <c r="D9855" s="70"/>
      <c r="E9855" s="111">
        <f t="shared" si="157"/>
        <v>138710</v>
      </c>
      <c r="F9855" s="69">
        <v>6.3781757317318222E-2</v>
      </c>
      <c r="G9855" s="69">
        <v>7.8517814179308754E-2</v>
      </c>
    </row>
    <row r="9856" spans="1:7" x14ac:dyDescent="0.3">
      <c r="A9856" s="24">
        <v>44734</v>
      </c>
      <c r="B9856" s="66">
        <v>1775.7838469632732</v>
      </c>
      <c r="C9856" s="66">
        <v>1130.33</v>
      </c>
      <c r="D9856" s="70"/>
      <c r="E9856" s="111">
        <f t="shared" si="157"/>
        <v>138710</v>
      </c>
      <c r="F9856" s="69">
        <v>6.3781757317318222E-2</v>
      </c>
      <c r="G9856" s="69">
        <v>7.6209919874708099E-2</v>
      </c>
    </row>
    <row r="9857" spans="1:7" x14ac:dyDescent="0.3">
      <c r="A9857" s="24">
        <v>44735</v>
      </c>
      <c r="B9857" s="66">
        <v>1775.7838469632732</v>
      </c>
      <c r="C9857" s="66">
        <v>1150</v>
      </c>
      <c r="D9857" s="70"/>
      <c r="E9857" s="111">
        <f t="shared" si="157"/>
        <v>138710</v>
      </c>
      <c r="F9857" s="69">
        <v>6.3781757317318222E-2</v>
      </c>
      <c r="G9857" s="69">
        <v>7.7667412463838334E-2</v>
      </c>
    </row>
    <row r="9858" spans="1:7" x14ac:dyDescent="0.3">
      <c r="A9858" s="24">
        <v>44736</v>
      </c>
      <c r="B9858" s="66">
        <v>1775.7838469632732</v>
      </c>
      <c r="C9858" s="66">
        <v>1132.99</v>
      </c>
      <c r="D9858" s="70">
        <v>16</v>
      </c>
      <c r="E9858" s="111">
        <f t="shared" si="157"/>
        <v>138710</v>
      </c>
      <c r="F9858" s="69">
        <v>6.3781757317318222E-2</v>
      </c>
      <c r="G9858" s="69">
        <v>7.742577070606621E-2</v>
      </c>
    </row>
    <row r="9859" spans="1:7" x14ac:dyDescent="0.3">
      <c r="A9859" s="24">
        <v>44737</v>
      </c>
      <c r="B9859" s="66">
        <v>1775.7838469632732</v>
      </c>
      <c r="C9859" s="66">
        <v>1132.99</v>
      </c>
      <c r="D9859" s="70"/>
      <c r="E9859" s="111">
        <f t="shared" si="157"/>
        <v>138710</v>
      </c>
      <c r="F9859" s="69">
        <v>6.3781757317318222E-2</v>
      </c>
      <c r="G9859" s="69">
        <v>7.742577070606621E-2</v>
      </c>
    </row>
    <row r="9860" spans="1:7" x14ac:dyDescent="0.3">
      <c r="A9860" s="24">
        <v>44738</v>
      </c>
      <c r="B9860" s="66">
        <v>1775.7838469632732</v>
      </c>
      <c r="C9860" s="66">
        <v>1132.99</v>
      </c>
      <c r="D9860" s="70"/>
      <c r="E9860" s="111">
        <f t="shared" si="157"/>
        <v>138710</v>
      </c>
      <c r="F9860" s="69">
        <v>6.3781757317318222E-2</v>
      </c>
      <c r="G9860" s="69">
        <v>7.742577070606621E-2</v>
      </c>
    </row>
    <row r="9861" spans="1:7" x14ac:dyDescent="0.3">
      <c r="A9861" s="24">
        <v>44739</v>
      </c>
      <c r="B9861" s="66">
        <v>1775.7838469632732</v>
      </c>
      <c r="C9861" s="66">
        <v>1132.99</v>
      </c>
      <c r="D9861" s="70"/>
      <c r="E9861" s="111">
        <f t="shared" si="157"/>
        <v>138710</v>
      </c>
      <c r="F9861" s="69">
        <v>6.3781757317318222E-2</v>
      </c>
      <c r="G9861" s="69">
        <v>7.742577070606621E-2</v>
      </c>
    </row>
    <row r="9862" spans="1:7" x14ac:dyDescent="0.3">
      <c r="A9862" s="24">
        <v>44740</v>
      </c>
      <c r="B9862" s="66">
        <v>1775.7838469632732</v>
      </c>
      <c r="C9862" s="66">
        <v>1132.99</v>
      </c>
      <c r="D9862" s="70"/>
      <c r="E9862" s="111">
        <f t="shared" si="157"/>
        <v>138710</v>
      </c>
      <c r="F9862" s="69">
        <v>6.3781757317318222E-2</v>
      </c>
      <c r="G9862" s="69">
        <v>7.6753536648053344E-2</v>
      </c>
    </row>
    <row r="9863" spans="1:7" x14ac:dyDescent="0.3">
      <c r="A9863" s="24">
        <v>44741</v>
      </c>
      <c r="B9863" s="66">
        <v>1775.7838469632732</v>
      </c>
      <c r="C9863" s="66">
        <v>1155.03</v>
      </c>
      <c r="D9863" s="70"/>
      <c r="E9863" s="111">
        <f t="shared" si="157"/>
        <v>138710</v>
      </c>
      <c r="F9863" s="69">
        <v>6.3781757317318222E-2</v>
      </c>
      <c r="G9863" s="69">
        <v>7.45630536648767E-2</v>
      </c>
    </row>
    <row r="9864" spans="1:7" x14ac:dyDescent="0.3">
      <c r="A9864" s="24">
        <v>44742</v>
      </c>
      <c r="B9864" s="66">
        <v>1775.7838469632732</v>
      </c>
      <c r="C9864" s="66">
        <v>1155.03</v>
      </c>
      <c r="D9864" s="70"/>
      <c r="E9864" s="111">
        <f t="shared" si="157"/>
        <v>138710</v>
      </c>
      <c r="F9864" s="69">
        <v>6.3781757317318222E-2</v>
      </c>
      <c r="G9864" s="69">
        <v>7.3144053522657876E-2</v>
      </c>
    </row>
    <row r="9865" spans="1:7" x14ac:dyDescent="0.3">
      <c r="A9865" s="24">
        <v>44743</v>
      </c>
      <c r="B9865" s="66">
        <v>1775.7838469632732</v>
      </c>
      <c r="C9865" s="66">
        <v>1160.81</v>
      </c>
      <c r="D9865" s="70"/>
      <c r="E9865" s="111">
        <f t="shared" ref="E9865:E9928" si="158">+E9864</f>
        <v>138710</v>
      </c>
      <c r="F9865" s="69">
        <v>6.3781757317318222E-2</v>
      </c>
      <c r="G9865" s="69">
        <v>7.4512082578528219E-2</v>
      </c>
    </row>
    <row r="9866" spans="1:7" x14ac:dyDescent="0.3">
      <c r="A9866" s="24">
        <v>44744</v>
      </c>
      <c r="B9866" s="66">
        <v>1775.7838469632732</v>
      </c>
      <c r="C9866" s="66">
        <v>1160.81</v>
      </c>
      <c r="D9866" s="70"/>
      <c r="E9866" s="111">
        <f t="shared" si="158"/>
        <v>138710</v>
      </c>
      <c r="F9866" s="69">
        <v>6.3781757317318222E-2</v>
      </c>
      <c r="G9866" s="69">
        <v>7.4512082578528219E-2</v>
      </c>
    </row>
    <row r="9867" spans="1:7" x14ac:dyDescent="0.3">
      <c r="A9867" s="24">
        <v>44745</v>
      </c>
      <c r="B9867" s="66">
        <v>1775.7838469632732</v>
      </c>
      <c r="C9867" s="66">
        <v>1160.81</v>
      </c>
      <c r="D9867" s="70"/>
      <c r="E9867" s="111">
        <f t="shared" si="158"/>
        <v>138710</v>
      </c>
      <c r="F9867" s="69">
        <v>6.3781757317318222E-2</v>
      </c>
      <c r="G9867" s="69">
        <v>7.4512082578528219E-2</v>
      </c>
    </row>
    <row r="9868" spans="1:7" x14ac:dyDescent="0.3">
      <c r="A9868" s="24">
        <v>44746</v>
      </c>
      <c r="B9868" s="66">
        <v>1775.7838469632732</v>
      </c>
      <c r="C9868" s="66">
        <v>1167</v>
      </c>
      <c r="D9868" s="70"/>
      <c r="E9868" s="111">
        <f t="shared" si="158"/>
        <v>138710</v>
      </c>
      <c r="F9868" s="69">
        <v>6.3781757317318222E-2</v>
      </c>
      <c r="G9868" s="69">
        <v>7.3022040597574861E-2</v>
      </c>
    </row>
    <row r="9869" spans="1:7" x14ac:dyDescent="0.3">
      <c r="A9869" s="24">
        <v>44747</v>
      </c>
      <c r="B9869" s="66">
        <v>1775.7838469632732</v>
      </c>
      <c r="C9869" s="66">
        <v>1167</v>
      </c>
      <c r="D9869" s="70"/>
      <c r="E9869" s="111">
        <f t="shared" si="158"/>
        <v>138710</v>
      </c>
      <c r="F9869" s="69">
        <v>6.3781757317318222E-2</v>
      </c>
      <c r="G9869" s="69">
        <v>7.6223776223776227E-2</v>
      </c>
    </row>
    <row r="9870" spans="1:7" x14ac:dyDescent="0.3">
      <c r="A9870" s="24">
        <v>44748</v>
      </c>
      <c r="B9870" s="66">
        <v>1775.7838469632732</v>
      </c>
      <c r="C9870" s="66">
        <v>1190</v>
      </c>
      <c r="D9870" s="70"/>
      <c r="E9870" s="111">
        <f t="shared" si="158"/>
        <v>138710</v>
      </c>
      <c r="F9870" s="69">
        <v>6.3781757317318222E-2</v>
      </c>
      <c r="G9870" s="69">
        <v>7.7540886811646781E-2</v>
      </c>
    </row>
    <row r="9871" spans="1:7" x14ac:dyDescent="0.3">
      <c r="A9871" s="24">
        <v>44749</v>
      </c>
      <c r="B9871" s="66">
        <v>1775.7838469632732</v>
      </c>
      <c r="C9871" s="66">
        <v>1181.1400000000001</v>
      </c>
      <c r="D9871" s="70"/>
      <c r="E9871" s="111">
        <f t="shared" si="158"/>
        <v>138710</v>
      </c>
      <c r="F9871" s="69">
        <v>6.3781757317318222E-2</v>
      </c>
      <c r="G9871" s="69">
        <v>7.757344568435437E-2</v>
      </c>
    </row>
    <row r="9872" spans="1:7" x14ac:dyDescent="0.3">
      <c r="A9872" s="24">
        <v>44750</v>
      </c>
      <c r="B9872" s="66">
        <v>1775.7838469632732</v>
      </c>
      <c r="C9872" s="66">
        <v>1178</v>
      </c>
      <c r="D9872" s="70"/>
      <c r="E9872" s="111">
        <f t="shared" si="158"/>
        <v>138710</v>
      </c>
      <c r="F9872" s="69">
        <v>6.3781757317318222E-2</v>
      </c>
      <c r="G9872" s="69">
        <v>7.8453388610583291E-2</v>
      </c>
    </row>
    <row r="9873" spans="1:7" x14ac:dyDescent="0.3">
      <c r="A9873" s="24">
        <v>44751</v>
      </c>
      <c r="B9873" s="66">
        <v>1775.7838469632732</v>
      </c>
      <c r="C9873" s="66">
        <v>1178</v>
      </c>
      <c r="D9873" s="70"/>
      <c r="E9873" s="111">
        <f t="shared" si="158"/>
        <v>138710</v>
      </c>
      <c r="F9873" s="69">
        <v>6.3781757317318222E-2</v>
      </c>
      <c r="G9873" s="69">
        <v>7.8453388610583291E-2</v>
      </c>
    </row>
    <row r="9874" spans="1:7" x14ac:dyDescent="0.3">
      <c r="A9874" s="24">
        <v>44752</v>
      </c>
      <c r="B9874" s="66">
        <v>1775.7838469632732</v>
      </c>
      <c r="C9874" s="66">
        <v>1178</v>
      </c>
      <c r="D9874" s="70"/>
      <c r="E9874" s="111">
        <f t="shared" si="158"/>
        <v>138710</v>
      </c>
      <c r="F9874" s="69">
        <v>6.3781757317318222E-2</v>
      </c>
      <c r="G9874" s="69">
        <v>7.8453388610583291E-2</v>
      </c>
    </row>
    <row r="9875" spans="1:7" x14ac:dyDescent="0.3">
      <c r="A9875" s="24">
        <v>44753</v>
      </c>
      <c r="B9875" s="66">
        <v>1775.7838469632732</v>
      </c>
      <c r="C9875" s="66">
        <v>1160</v>
      </c>
      <c r="D9875" s="70"/>
      <c r="E9875" s="111">
        <f t="shared" si="158"/>
        <v>138710</v>
      </c>
      <c r="F9875" s="69">
        <v>6.3781757317318222E-2</v>
      </c>
      <c r="G9875" s="69">
        <v>7.8417266187050361E-2</v>
      </c>
    </row>
    <row r="9876" spans="1:7" x14ac:dyDescent="0.3">
      <c r="A9876" s="24">
        <v>44754</v>
      </c>
      <c r="B9876" s="66">
        <v>1775.7838469632732</v>
      </c>
      <c r="C9876" s="66">
        <v>1160</v>
      </c>
      <c r="D9876" s="70"/>
      <c r="E9876" s="111">
        <f t="shared" si="158"/>
        <v>138710</v>
      </c>
      <c r="F9876" s="69">
        <v>6.3781757317318222E-2</v>
      </c>
      <c r="G9876" s="69">
        <v>7.7102638466435586E-2</v>
      </c>
    </row>
    <row r="9877" spans="1:7" x14ac:dyDescent="0.3">
      <c r="A9877" s="24">
        <v>44755</v>
      </c>
      <c r="B9877" s="66">
        <v>1775.7838469632732</v>
      </c>
      <c r="C9877" s="66">
        <v>1118.26</v>
      </c>
      <c r="D9877" s="70"/>
      <c r="E9877" s="111">
        <f t="shared" si="158"/>
        <v>138710</v>
      </c>
      <c r="F9877" s="69">
        <v>6.3781757317318222E-2</v>
      </c>
      <c r="G9877" s="69">
        <v>7.3154362416107385E-2</v>
      </c>
    </row>
    <row r="9878" spans="1:7" x14ac:dyDescent="0.3">
      <c r="A9878" s="24">
        <v>44756</v>
      </c>
      <c r="B9878" s="66">
        <v>1775.7838469632732</v>
      </c>
      <c r="C9878" s="66">
        <v>1125</v>
      </c>
      <c r="D9878" s="70"/>
      <c r="E9878" s="111">
        <f t="shared" si="158"/>
        <v>138710</v>
      </c>
      <c r="F9878" s="69">
        <v>6.3781757317318222E-2</v>
      </c>
      <c r="G9878" s="69">
        <v>7.4749691400356602E-2</v>
      </c>
    </row>
    <row r="9879" spans="1:7" x14ac:dyDescent="0.3">
      <c r="A9879" s="24">
        <v>44757</v>
      </c>
      <c r="B9879" s="66">
        <v>1775.7838469632732</v>
      </c>
      <c r="C9879" s="66">
        <v>1125</v>
      </c>
      <c r="D9879" s="70"/>
      <c r="E9879" s="111">
        <f t="shared" si="158"/>
        <v>138710</v>
      </c>
      <c r="F9879" s="69">
        <v>6.3781757317318222E-2</v>
      </c>
      <c r="G9879" s="69">
        <v>7.4749691400356602E-2</v>
      </c>
    </row>
    <row r="9880" spans="1:7" x14ac:dyDescent="0.3">
      <c r="A9880" s="24">
        <v>44758</v>
      </c>
      <c r="B9880" s="66">
        <v>1775.7838469632732</v>
      </c>
      <c r="C9880" s="66">
        <v>1125</v>
      </c>
      <c r="D9880" s="70"/>
      <c r="E9880" s="111">
        <f t="shared" si="158"/>
        <v>138710</v>
      </c>
      <c r="F9880" s="69">
        <v>6.3781757317318222E-2</v>
      </c>
      <c r="G9880" s="69">
        <v>7.4749691400356602E-2</v>
      </c>
    </row>
    <row r="9881" spans="1:7" x14ac:dyDescent="0.3">
      <c r="A9881" s="24">
        <v>44759</v>
      </c>
      <c r="B9881" s="66">
        <v>1775.7838469632732</v>
      </c>
      <c r="C9881" s="66">
        <v>1125</v>
      </c>
      <c r="D9881" s="70"/>
      <c r="E9881" s="111">
        <f t="shared" si="158"/>
        <v>138710</v>
      </c>
      <c r="F9881" s="69">
        <v>6.3781757317318222E-2</v>
      </c>
      <c r="G9881" s="69">
        <v>7.4749691400356602E-2</v>
      </c>
    </row>
    <row r="9882" spans="1:7" x14ac:dyDescent="0.3">
      <c r="A9882" s="24">
        <v>44760</v>
      </c>
      <c r="B9882" s="66">
        <v>1775.7838469632732</v>
      </c>
      <c r="C9882" s="66">
        <v>1125</v>
      </c>
      <c r="D9882" s="70"/>
      <c r="E9882" s="111">
        <f t="shared" si="158"/>
        <v>138710</v>
      </c>
      <c r="F9882" s="69">
        <v>6.3781757317318222E-2</v>
      </c>
      <c r="G9882" s="69">
        <v>7.5920624638680517E-2</v>
      </c>
    </row>
    <row r="9883" spans="1:7" x14ac:dyDescent="0.3">
      <c r="A9883" s="24">
        <v>44761</v>
      </c>
      <c r="B9883" s="66">
        <v>1775.7838469632732</v>
      </c>
      <c r="C9883" s="66">
        <v>1156.77</v>
      </c>
      <c r="D9883" s="70"/>
      <c r="E9883" s="111">
        <f t="shared" si="158"/>
        <v>138710</v>
      </c>
      <c r="F9883" s="69">
        <v>6.3781757317318222E-2</v>
      </c>
      <c r="G9883" s="69">
        <v>7.6223776223776227E-2</v>
      </c>
    </row>
    <row r="9884" spans="1:7" x14ac:dyDescent="0.3">
      <c r="A9884" s="24">
        <v>44762</v>
      </c>
      <c r="B9884" s="66">
        <v>1775.7838469632732</v>
      </c>
      <c r="C9884" s="66">
        <v>1191.99</v>
      </c>
      <c r="D9884" s="70"/>
      <c r="E9884" s="111">
        <f t="shared" si="158"/>
        <v>138710</v>
      </c>
      <c r="F9884" s="69">
        <v>6.3781757317318222E-2</v>
      </c>
      <c r="G9884" s="69">
        <v>7.785158202985501E-2</v>
      </c>
    </row>
    <row r="9885" spans="1:7" x14ac:dyDescent="0.3">
      <c r="A9885" s="24">
        <v>44763</v>
      </c>
      <c r="B9885" s="66">
        <v>1775.7838469632732</v>
      </c>
      <c r="C9885" s="66">
        <v>1234.97</v>
      </c>
      <c r="D9885" s="70"/>
      <c r="E9885" s="111">
        <f t="shared" si="158"/>
        <v>138710</v>
      </c>
      <c r="F9885" s="69">
        <v>6.3781757317318222E-2</v>
      </c>
      <c r="G9885" s="69">
        <v>7.6352988974348196E-2</v>
      </c>
    </row>
    <row r="9886" spans="1:7" x14ac:dyDescent="0.3">
      <c r="A9886" s="24">
        <v>44764</v>
      </c>
      <c r="B9886" s="66">
        <v>1775.7838469632732</v>
      </c>
      <c r="C9886" s="66">
        <v>1250</v>
      </c>
      <c r="D9886" s="70"/>
      <c r="E9886" s="111">
        <f t="shared" si="158"/>
        <v>138710</v>
      </c>
      <c r="F9886" s="69">
        <v>6.3781757317318222E-2</v>
      </c>
      <c r="G9886" s="69">
        <v>7.5776008898467098E-2</v>
      </c>
    </row>
    <row r="9887" spans="1:7" x14ac:dyDescent="0.3">
      <c r="A9887" s="24">
        <v>44765</v>
      </c>
      <c r="B9887" s="66">
        <v>1775.7838469632732</v>
      </c>
      <c r="C9887" s="66">
        <v>1250</v>
      </c>
      <c r="D9887" s="70"/>
      <c r="E9887" s="111">
        <f t="shared" si="158"/>
        <v>138710</v>
      </c>
      <c r="F9887" s="69">
        <v>6.3781757317318222E-2</v>
      </c>
      <c r="G9887" s="69">
        <v>7.5776008898467098E-2</v>
      </c>
    </row>
    <row r="9888" spans="1:7" x14ac:dyDescent="0.3">
      <c r="A9888" s="24">
        <v>44766</v>
      </c>
      <c r="B9888" s="66">
        <v>1775.7838469632732</v>
      </c>
      <c r="C9888" s="66">
        <v>1250</v>
      </c>
      <c r="D9888" s="70"/>
      <c r="E9888" s="111">
        <f t="shared" si="158"/>
        <v>138710</v>
      </c>
      <c r="F9888" s="69">
        <v>6.3781757317318222E-2</v>
      </c>
      <c r="G9888" s="69">
        <v>7.5776008898467098E-2</v>
      </c>
    </row>
    <row r="9889" spans="1:7" x14ac:dyDescent="0.3">
      <c r="A9889" s="24">
        <v>44767</v>
      </c>
      <c r="B9889" s="66">
        <v>1775.7838469632732</v>
      </c>
      <c r="C9889" s="66">
        <v>1262.58</v>
      </c>
      <c r="D9889" s="70"/>
      <c r="E9889" s="111">
        <f t="shared" si="158"/>
        <v>138710</v>
      </c>
      <c r="F9889" s="69">
        <v>6.3781757317318222E-2</v>
      </c>
      <c r="G9889" s="69">
        <v>7.5823449619143682E-2</v>
      </c>
    </row>
    <row r="9890" spans="1:7" x14ac:dyDescent="0.3">
      <c r="A9890" s="24">
        <v>44768</v>
      </c>
      <c r="B9890" s="66">
        <v>1775.7838469632732</v>
      </c>
      <c r="C9890" s="66">
        <v>1219.45</v>
      </c>
      <c r="D9890" s="70"/>
      <c r="E9890" s="111">
        <f t="shared" si="158"/>
        <v>138710</v>
      </c>
      <c r="F9890" s="69">
        <v>6.3781757317318222E-2</v>
      </c>
      <c r="G9890" s="69">
        <v>7.6378670030131046E-2</v>
      </c>
    </row>
    <row r="9891" spans="1:7" x14ac:dyDescent="0.3">
      <c r="A9891" s="24">
        <v>44769</v>
      </c>
      <c r="B9891" s="66">
        <v>1775.7838469632732</v>
      </c>
      <c r="C9891" s="66">
        <v>1220</v>
      </c>
      <c r="D9891" s="70"/>
      <c r="E9891" s="111">
        <f t="shared" si="158"/>
        <v>138710</v>
      </c>
      <c r="F9891" s="69">
        <v>6.3781757317318222E-2</v>
      </c>
      <c r="G9891" s="69">
        <v>7.5694444444444439E-2</v>
      </c>
    </row>
    <row r="9892" spans="1:7" x14ac:dyDescent="0.3">
      <c r="A9892" s="24">
        <v>44770</v>
      </c>
      <c r="B9892" s="66">
        <v>1775.7838469632732</v>
      </c>
      <c r="C9892" s="66">
        <v>1196</v>
      </c>
      <c r="D9892" s="70"/>
      <c r="E9892" s="111">
        <f t="shared" si="158"/>
        <v>138710</v>
      </c>
      <c r="F9892" s="69">
        <v>6.3781757317318222E-2</v>
      </c>
      <c r="G9892" s="69">
        <v>7.5682356290314737E-2</v>
      </c>
    </row>
    <row r="9893" spans="1:7" x14ac:dyDescent="0.3">
      <c r="A9893" s="24">
        <v>44771</v>
      </c>
      <c r="B9893" s="66">
        <v>1775.7838469632732</v>
      </c>
      <c r="C9893" s="66">
        <v>1191.8800000000001</v>
      </c>
      <c r="D9893" s="70"/>
      <c r="E9893" s="111">
        <f t="shared" si="158"/>
        <v>138710</v>
      </c>
      <c r="F9893" s="69">
        <v>6.3781757317318222E-2</v>
      </c>
      <c r="G9893" s="69">
        <v>7.5689713837329614E-2</v>
      </c>
    </row>
    <row r="9894" spans="1:7" x14ac:dyDescent="0.3">
      <c r="A9894" s="24">
        <v>44772</v>
      </c>
      <c r="B9894" s="66">
        <v>1775.7838469632732</v>
      </c>
      <c r="C9894" s="66">
        <v>1191.8800000000001</v>
      </c>
      <c r="D9894" s="70"/>
      <c r="E9894" s="111">
        <f t="shared" si="158"/>
        <v>138710</v>
      </c>
      <c r="F9894" s="69">
        <v>6.3781757317318222E-2</v>
      </c>
      <c r="G9894" s="69">
        <v>7.5689713837329614E-2</v>
      </c>
    </row>
    <row r="9895" spans="1:7" x14ac:dyDescent="0.3">
      <c r="A9895" s="24">
        <v>44773</v>
      </c>
      <c r="B9895" s="66">
        <v>1775.7838469632732</v>
      </c>
      <c r="C9895" s="66">
        <v>1191.8800000000001</v>
      </c>
      <c r="D9895" s="70"/>
      <c r="E9895" s="111">
        <f t="shared" si="158"/>
        <v>138710</v>
      </c>
      <c r="F9895" s="69">
        <v>6.3781757317318222E-2</v>
      </c>
      <c r="G9895" s="69">
        <v>7.5689713837329614E-2</v>
      </c>
    </row>
    <row r="9896" spans="1:7" x14ac:dyDescent="0.3">
      <c r="A9896" s="24">
        <v>44774</v>
      </c>
      <c r="B9896" s="66">
        <v>1775.7838469632732</v>
      </c>
      <c r="C9896" s="66">
        <v>1169.25</v>
      </c>
      <c r="D9896" s="70"/>
      <c r="E9896" s="111">
        <f t="shared" si="158"/>
        <v>138710</v>
      </c>
      <c r="F9896" s="69">
        <v>6.3781757317318222E-2</v>
      </c>
      <c r="G9896" s="69">
        <v>7.5689713837329614E-2</v>
      </c>
    </row>
    <row r="9897" spans="1:7" x14ac:dyDescent="0.3">
      <c r="A9897" s="24">
        <v>44775</v>
      </c>
      <c r="B9897" s="66">
        <v>1775.7838469632732</v>
      </c>
      <c r="C9897" s="66">
        <v>1197.8499999999999</v>
      </c>
      <c r="D9897" s="70"/>
      <c r="E9897" s="111">
        <f t="shared" si="158"/>
        <v>138710</v>
      </c>
      <c r="F9897" s="69">
        <v>6.3781757317318222E-2</v>
      </c>
      <c r="G9897" s="69">
        <v>7.567605095983615E-2</v>
      </c>
    </row>
    <row r="9898" spans="1:7" x14ac:dyDescent="0.3">
      <c r="A9898" s="24">
        <v>44776</v>
      </c>
      <c r="B9898" s="66">
        <v>1775.7838469632732</v>
      </c>
      <c r="C9898" s="66">
        <v>1160</v>
      </c>
      <c r="D9898" s="70"/>
      <c r="E9898" s="111">
        <f t="shared" si="158"/>
        <v>138710</v>
      </c>
      <c r="F9898" s="69">
        <v>6.3781757317318222E-2</v>
      </c>
      <c r="G9898" s="69">
        <v>7.529912404321755E-2</v>
      </c>
    </row>
    <row r="9899" spans="1:7" x14ac:dyDescent="0.3">
      <c r="A9899" s="24">
        <v>44777</v>
      </c>
      <c r="B9899" s="66">
        <v>1775.7838469632732</v>
      </c>
      <c r="C9899" s="66">
        <v>1167.81</v>
      </c>
      <c r="D9899" s="70"/>
      <c r="E9899" s="111">
        <f t="shared" si="158"/>
        <v>138710</v>
      </c>
      <c r="F9899" s="69">
        <v>6.3781757317318222E-2</v>
      </c>
      <c r="G9899" s="69">
        <v>7.5172413793103451E-2</v>
      </c>
    </row>
    <row r="9900" spans="1:7" x14ac:dyDescent="0.3">
      <c r="A9900" s="24">
        <v>44778</v>
      </c>
      <c r="B9900" s="66">
        <v>1775.7838469632732</v>
      </c>
      <c r="C9900" s="66">
        <v>1190</v>
      </c>
      <c r="D9900" s="70"/>
      <c r="E9900" s="111">
        <f t="shared" si="158"/>
        <v>138710</v>
      </c>
      <c r="F9900" s="69">
        <v>6.3781757317318222E-2</v>
      </c>
      <c r="G9900" s="69">
        <v>7.5060599382988091E-2</v>
      </c>
    </row>
    <row r="9901" spans="1:7" x14ac:dyDescent="0.3">
      <c r="A9901" s="24">
        <v>44779</v>
      </c>
      <c r="B9901" s="66">
        <v>1775.7838469632732</v>
      </c>
      <c r="C9901" s="66">
        <v>1190</v>
      </c>
      <c r="D9901" s="70"/>
      <c r="E9901" s="111">
        <f t="shared" si="158"/>
        <v>138710</v>
      </c>
      <c r="F9901" s="69">
        <v>6.3781757317318222E-2</v>
      </c>
      <c r="G9901" s="69">
        <v>7.5060599382988091E-2</v>
      </c>
    </row>
    <row r="9902" spans="1:7" x14ac:dyDescent="0.3">
      <c r="A9902" s="24">
        <v>44780</v>
      </c>
      <c r="B9902" s="66">
        <v>1775.7838469632732</v>
      </c>
      <c r="C9902" s="66">
        <v>1190</v>
      </c>
      <c r="D9902" s="70"/>
      <c r="E9902" s="111">
        <f t="shared" si="158"/>
        <v>138710</v>
      </c>
      <c r="F9902" s="69">
        <v>6.3781757317318222E-2</v>
      </c>
      <c r="G9902" s="69">
        <v>7.5060599382988091E-2</v>
      </c>
    </row>
    <row r="9903" spans="1:7" x14ac:dyDescent="0.3">
      <c r="A9903" s="24">
        <v>44781</v>
      </c>
      <c r="B9903" s="66">
        <v>1775.7838469632732</v>
      </c>
      <c r="C9903" s="66">
        <v>1190</v>
      </c>
      <c r="D9903" s="70"/>
      <c r="E9903" s="111">
        <f t="shared" si="158"/>
        <v>138710</v>
      </c>
      <c r="F9903" s="69">
        <v>6.3781757317318222E-2</v>
      </c>
      <c r="G9903" s="69">
        <v>7.5158418777193217E-2</v>
      </c>
    </row>
    <row r="9904" spans="1:7" x14ac:dyDescent="0.3">
      <c r="A9904" s="24">
        <v>44782</v>
      </c>
      <c r="B9904" s="66">
        <v>1775.7838469632732</v>
      </c>
      <c r="C9904" s="66">
        <v>1186.0899999999999</v>
      </c>
      <c r="D9904" s="70"/>
      <c r="E9904" s="111">
        <f t="shared" si="158"/>
        <v>138710</v>
      </c>
      <c r="F9904" s="69">
        <v>6.3781757317318222E-2</v>
      </c>
      <c r="G9904" s="69">
        <v>7.5172413793103451E-2</v>
      </c>
    </row>
    <row r="9905" spans="1:7" x14ac:dyDescent="0.3">
      <c r="A9905" s="24">
        <v>44783</v>
      </c>
      <c r="B9905" s="66">
        <v>1775.7838469632732</v>
      </c>
      <c r="C9905" s="66">
        <v>1161.3</v>
      </c>
      <c r="D9905" s="70"/>
      <c r="E9905" s="111">
        <f t="shared" si="158"/>
        <v>138710</v>
      </c>
      <c r="F9905" s="69">
        <v>6.3781757317318222E-2</v>
      </c>
      <c r="G9905" s="69">
        <v>7.3816731340958799E-2</v>
      </c>
    </row>
    <row r="9906" spans="1:7" x14ac:dyDescent="0.3">
      <c r="A9906" s="24">
        <v>44784</v>
      </c>
      <c r="B9906" s="66">
        <v>1775.7838469632732</v>
      </c>
      <c r="C9906" s="66">
        <v>1178.51</v>
      </c>
      <c r="D9906" s="70"/>
      <c r="E9906" s="111">
        <f t="shared" si="158"/>
        <v>138710</v>
      </c>
      <c r="F9906" s="69">
        <v>6.3781757317318222E-2</v>
      </c>
      <c r="G9906" s="69">
        <v>7.3122463354912279E-2</v>
      </c>
    </row>
    <row r="9907" spans="1:7" x14ac:dyDescent="0.3">
      <c r="A9907" s="24">
        <v>44785</v>
      </c>
      <c r="B9907" s="66">
        <v>1775.7838469632732</v>
      </c>
      <c r="C9907" s="66">
        <v>1180</v>
      </c>
      <c r="D9907" s="70"/>
      <c r="E9907" s="111">
        <f t="shared" si="158"/>
        <v>138710</v>
      </c>
      <c r="F9907" s="69">
        <v>6.3781757317318222E-2</v>
      </c>
      <c r="G9907" s="69">
        <v>7.2913600727798136E-2</v>
      </c>
    </row>
    <row r="9908" spans="1:7" x14ac:dyDescent="0.3">
      <c r="A9908" s="24">
        <v>44786</v>
      </c>
      <c r="B9908" s="66">
        <v>1775.7838469632732</v>
      </c>
      <c r="C9908" s="66">
        <v>1180</v>
      </c>
      <c r="D9908" s="70"/>
      <c r="E9908" s="111">
        <f t="shared" si="158"/>
        <v>138710</v>
      </c>
      <c r="F9908" s="69">
        <v>6.3781757317318222E-2</v>
      </c>
      <c r="G9908" s="69">
        <v>7.2913600727798136E-2</v>
      </c>
    </row>
    <row r="9909" spans="1:7" x14ac:dyDescent="0.3">
      <c r="A9909" s="24">
        <v>44787</v>
      </c>
      <c r="B9909" s="66">
        <v>1775.7838469632732</v>
      </c>
      <c r="C9909" s="66">
        <v>1180</v>
      </c>
      <c r="D9909" s="70"/>
      <c r="E9909" s="111">
        <f t="shared" si="158"/>
        <v>138710</v>
      </c>
      <c r="F9909" s="69">
        <v>6.3781757317318222E-2</v>
      </c>
      <c r="G9909" s="69">
        <v>7.2913600727798136E-2</v>
      </c>
    </row>
    <row r="9910" spans="1:7" x14ac:dyDescent="0.3">
      <c r="A9910" s="24">
        <v>44788</v>
      </c>
      <c r="B9910" s="66">
        <v>1775.7838469632732</v>
      </c>
      <c r="C9910" s="66">
        <v>1180</v>
      </c>
      <c r="D9910" s="70"/>
      <c r="E9910" s="111">
        <f t="shared" si="158"/>
        <v>138710</v>
      </c>
      <c r="F9910" s="69">
        <v>6.3781757317318222E-2</v>
      </c>
      <c r="G9910" s="69">
        <v>7.2715143428952633E-2</v>
      </c>
    </row>
    <row r="9911" spans="1:7" x14ac:dyDescent="0.3">
      <c r="A9911" s="24">
        <v>44789</v>
      </c>
      <c r="B9911" s="66">
        <v>1775.7838469632732</v>
      </c>
      <c r="C9911" s="66">
        <v>1183.99</v>
      </c>
      <c r="D9911" s="70"/>
      <c r="E9911" s="111">
        <f t="shared" si="158"/>
        <v>138710</v>
      </c>
      <c r="F9911" s="69">
        <v>6.3781757317318222E-2</v>
      </c>
      <c r="G9911" s="69">
        <v>7.1994715984147958E-2</v>
      </c>
    </row>
    <row r="9912" spans="1:7" x14ac:dyDescent="0.3">
      <c r="A9912" s="24">
        <v>44790</v>
      </c>
      <c r="B9912" s="66">
        <v>1775.7838469632732</v>
      </c>
      <c r="C9912" s="66">
        <v>1164.6400000000001</v>
      </c>
      <c r="D9912" s="70"/>
      <c r="E9912" s="111">
        <f t="shared" si="158"/>
        <v>138710</v>
      </c>
      <c r="F9912" s="69">
        <v>6.3781757317318222E-2</v>
      </c>
      <c r="G9912" s="69">
        <v>7.1947194719471946E-2</v>
      </c>
    </row>
    <row r="9913" spans="1:7" x14ac:dyDescent="0.3">
      <c r="A9913" s="24">
        <v>44791</v>
      </c>
      <c r="B9913" s="66">
        <v>1775.7838469632732</v>
      </c>
      <c r="C9913" s="66">
        <v>1167.83</v>
      </c>
      <c r="D9913" s="70"/>
      <c r="E9913" s="111">
        <f t="shared" si="158"/>
        <v>138710</v>
      </c>
      <c r="F9913" s="69">
        <v>6.3781757317318222E-2</v>
      </c>
      <c r="G9913" s="69">
        <v>7.2431987028693703E-2</v>
      </c>
    </row>
    <row r="9914" spans="1:7" x14ac:dyDescent="0.3">
      <c r="A9914" s="24">
        <v>44792</v>
      </c>
      <c r="B9914" s="66">
        <v>1775.7838469632732</v>
      </c>
      <c r="C9914" s="66">
        <v>1135.9000000000001</v>
      </c>
      <c r="D9914" s="70"/>
      <c r="E9914" s="111">
        <f t="shared" si="158"/>
        <v>138710</v>
      </c>
      <c r="F9914" s="69">
        <v>6.3781757317318222E-2</v>
      </c>
      <c r="G9914" s="69">
        <v>7.2431987028693703E-2</v>
      </c>
    </row>
    <row r="9915" spans="1:7" x14ac:dyDescent="0.3">
      <c r="A9915" s="24">
        <v>44793</v>
      </c>
      <c r="B9915" s="66">
        <v>1775.7838469632732</v>
      </c>
      <c r="C9915" s="66">
        <v>1135.9000000000001</v>
      </c>
      <c r="D9915" s="70"/>
      <c r="E9915" s="111">
        <f t="shared" si="158"/>
        <v>138710</v>
      </c>
      <c r="F9915" s="69">
        <v>6.3781757317318222E-2</v>
      </c>
      <c r="G9915" s="69">
        <v>7.2431987028693703E-2</v>
      </c>
    </row>
    <row r="9916" spans="1:7" x14ac:dyDescent="0.3">
      <c r="A9916" s="24">
        <v>44794</v>
      </c>
      <c r="B9916" s="66">
        <v>1775.7838469632732</v>
      </c>
      <c r="C9916" s="66">
        <v>1135.9000000000001</v>
      </c>
      <c r="D9916" s="70"/>
      <c r="E9916" s="111">
        <f t="shared" si="158"/>
        <v>138710</v>
      </c>
      <c r="F9916" s="69">
        <v>6.3781757317318222E-2</v>
      </c>
      <c r="G9916" s="69">
        <v>7.2431987028693703E-2</v>
      </c>
    </row>
    <row r="9917" spans="1:7" x14ac:dyDescent="0.3">
      <c r="A9917" s="24">
        <v>44795</v>
      </c>
      <c r="B9917" s="66">
        <v>1775.7838469632732</v>
      </c>
      <c r="C9917" s="66">
        <v>1129.82</v>
      </c>
      <c r="D9917" s="70"/>
      <c r="E9917" s="111">
        <f t="shared" si="158"/>
        <v>138710</v>
      </c>
      <c r="F9917" s="69">
        <v>6.3781757317318222E-2</v>
      </c>
      <c r="G9917" s="69">
        <v>7.2678295193897693E-2</v>
      </c>
    </row>
    <row r="9918" spans="1:7" x14ac:dyDescent="0.3">
      <c r="A9918" s="24">
        <v>44796</v>
      </c>
      <c r="B9918" s="66">
        <v>1775.7838469632732</v>
      </c>
      <c r="C9918" s="66">
        <v>1129.82</v>
      </c>
      <c r="D9918" s="70"/>
      <c r="E9918" s="111">
        <f t="shared" si="158"/>
        <v>138710</v>
      </c>
      <c r="F9918" s="69">
        <v>6.3781757317318222E-2</v>
      </c>
      <c r="G9918" s="69">
        <v>7.3650639206465043E-2</v>
      </c>
    </row>
    <row r="9919" spans="1:7" x14ac:dyDescent="0.3">
      <c r="A9919" s="24">
        <v>44797</v>
      </c>
      <c r="B9919" s="66">
        <v>1843.1822</v>
      </c>
      <c r="C9919" s="66">
        <v>1150</v>
      </c>
      <c r="D9919" s="70"/>
      <c r="E9919" s="111">
        <f t="shared" si="158"/>
        <v>138710</v>
      </c>
      <c r="F9919" s="69">
        <v>6.3781757317318222E-2</v>
      </c>
      <c r="G9919" s="69">
        <v>7.3648648648648646E-2</v>
      </c>
    </row>
    <row r="9920" spans="1:7" x14ac:dyDescent="0.3">
      <c r="A9920" s="24">
        <v>44798</v>
      </c>
      <c r="B9920" s="66">
        <v>1843.1822</v>
      </c>
      <c r="C9920" s="66">
        <v>1150</v>
      </c>
      <c r="D9920" s="70"/>
      <c r="E9920" s="111">
        <f t="shared" si="158"/>
        <v>138710</v>
      </c>
      <c r="F9920" s="69">
        <v>6.3781757317318222E-2</v>
      </c>
      <c r="G9920" s="69">
        <v>7.2770000066761473E-2</v>
      </c>
    </row>
    <row r="9921" spans="1:7" x14ac:dyDescent="0.3">
      <c r="A9921" s="24">
        <v>44799</v>
      </c>
      <c r="B9921" s="66">
        <v>1843.1822</v>
      </c>
      <c r="C9921" s="66">
        <v>1160</v>
      </c>
      <c r="D9921" s="70"/>
      <c r="E9921" s="111">
        <f t="shared" si="158"/>
        <v>138710</v>
      </c>
      <c r="F9921" s="69">
        <v>6.3781757317318222E-2</v>
      </c>
      <c r="G9921" s="69">
        <v>7.2666666666666671E-2</v>
      </c>
    </row>
    <row r="9922" spans="1:7" x14ac:dyDescent="0.3">
      <c r="A9922" s="24">
        <v>44800</v>
      </c>
      <c r="B9922" s="66">
        <v>1843.1822</v>
      </c>
      <c r="C9922" s="66">
        <v>1160</v>
      </c>
      <c r="D9922" s="70"/>
      <c r="E9922" s="111">
        <f t="shared" si="158"/>
        <v>138710</v>
      </c>
      <c r="F9922" s="69">
        <v>6.3781757317318222E-2</v>
      </c>
      <c r="G9922" s="69">
        <v>7.2666666666666671E-2</v>
      </c>
    </row>
    <row r="9923" spans="1:7" x14ac:dyDescent="0.3">
      <c r="A9923" s="24">
        <v>44801</v>
      </c>
      <c r="B9923" s="66">
        <v>1843.1822</v>
      </c>
      <c r="C9923" s="66">
        <v>1160</v>
      </c>
      <c r="D9923" s="70"/>
      <c r="E9923" s="111">
        <f t="shared" si="158"/>
        <v>138710</v>
      </c>
      <c r="F9923" s="69">
        <v>6.3781757317318222E-2</v>
      </c>
      <c r="G9923" s="69">
        <v>7.2666666666666671E-2</v>
      </c>
    </row>
    <row r="9924" spans="1:7" x14ac:dyDescent="0.3">
      <c r="A9924" s="24">
        <v>44802</v>
      </c>
      <c r="B9924" s="66">
        <v>1843.1822</v>
      </c>
      <c r="C9924" s="66">
        <v>1169.58</v>
      </c>
      <c r="D9924" s="70"/>
      <c r="E9924" s="111">
        <f t="shared" si="158"/>
        <v>138710</v>
      </c>
      <c r="F9924" s="69">
        <v>6.3781757317318222E-2</v>
      </c>
      <c r="G9924" s="69">
        <v>7.2655041859969072E-2</v>
      </c>
    </row>
    <row r="9925" spans="1:7" x14ac:dyDescent="0.3">
      <c r="A9925" s="24">
        <v>44803</v>
      </c>
      <c r="B9925" s="66">
        <v>1843.1822</v>
      </c>
      <c r="C9925" s="66">
        <v>1166</v>
      </c>
      <c r="D9925" s="70"/>
      <c r="E9925" s="111">
        <f t="shared" si="158"/>
        <v>138710</v>
      </c>
      <c r="F9925" s="69">
        <v>6.3781757317318222E-2</v>
      </c>
      <c r="G9925" s="69">
        <v>7.1710526315789475E-2</v>
      </c>
    </row>
    <row r="9926" spans="1:7" x14ac:dyDescent="0.3">
      <c r="A9926" s="24">
        <v>44804</v>
      </c>
      <c r="B9926" s="66">
        <v>1843.1822</v>
      </c>
      <c r="C9926" s="66">
        <v>1159.96</v>
      </c>
      <c r="D9926" s="70"/>
      <c r="E9926" s="111">
        <f t="shared" si="158"/>
        <v>138710</v>
      </c>
      <c r="F9926" s="69">
        <v>6.3781757317318222E-2</v>
      </c>
      <c r="G9926" s="69">
        <v>7.2478223286122745E-2</v>
      </c>
    </row>
    <row r="9927" spans="1:7" x14ac:dyDescent="0.3">
      <c r="A9927" s="24">
        <v>44805</v>
      </c>
      <c r="B9927" s="66">
        <v>1843.1822</v>
      </c>
      <c r="C9927" s="66">
        <v>1176.3699999999999</v>
      </c>
      <c r="D9927" s="70"/>
      <c r="E9927" s="111">
        <f t="shared" si="158"/>
        <v>138710</v>
      </c>
      <c r="F9927" s="69">
        <v>6.3781757317318222E-2</v>
      </c>
      <c r="G9927" s="69">
        <v>7.2281167108753319E-2</v>
      </c>
    </row>
    <row r="9928" spans="1:7" x14ac:dyDescent="0.3">
      <c r="A9928" s="24">
        <v>44806</v>
      </c>
      <c r="B9928" s="66">
        <v>1843.1822</v>
      </c>
      <c r="C9928" s="66">
        <v>1234.45</v>
      </c>
      <c r="D9928" s="70"/>
      <c r="E9928" s="111">
        <f t="shared" si="158"/>
        <v>138710</v>
      </c>
      <c r="F9928" s="69">
        <v>6.3781757317318222E-2</v>
      </c>
      <c r="G9928" s="69">
        <v>7.2666666666666671E-2</v>
      </c>
    </row>
    <row r="9929" spans="1:7" x14ac:dyDescent="0.3">
      <c r="A9929" s="24">
        <v>44807</v>
      </c>
      <c r="B9929" s="66">
        <v>1843.1822</v>
      </c>
      <c r="C9929" s="66">
        <v>1234.45</v>
      </c>
      <c r="D9929" s="70"/>
      <c r="E9929" s="111">
        <f t="shared" ref="E9929:E9992" si="159">+E9928</f>
        <v>138710</v>
      </c>
      <c r="F9929" s="69">
        <v>6.3781757317318222E-2</v>
      </c>
      <c r="G9929" s="69">
        <v>7.2666666666666671E-2</v>
      </c>
    </row>
    <row r="9930" spans="1:7" x14ac:dyDescent="0.3">
      <c r="A9930" s="24">
        <v>44808</v>
      </c>
      <c r="B9930" s="66">
        <v>1843.1822</v>
      </c>
      <c r="C9930" s="66">
        <v>1234.45</v>
      </c>
      <c r="D9930" s="70"/>
      <c r="E9930" s="111">
        <f t="shared" si="159"/>
        <v>138710</v>
      </c>
      <c r="F9930" s="69">
        <v>6.3781757317318222E-2</v>
      </c>
      <c r="G9930" s="69">
        <v>7.2666666666666671E-2</v>
      </c>
    </row>
    <row r="9931" spans="1:7" x14ac:dyDescent="0.3">
      <c r="A9931" s="24">
        <v>44809</v>
      </c>
      <c r="B9931" s="66">
        <v>1843.1822</v>
      </c>
      <c r="C9931" s="66">
        <v>1251.8</v>
      </c>
      <c r="D9931" s="70"/>
      <c r="E9931" s="111">
        <f t="shared" si="159"/>
        <v>138710</v>
      </c>
      <c r="F9931" s="69">
        <v>6.3781757317318222E-2</v>
      </c>
      <c r="G9931" s="69">
        <v>7.2627447844830467E-2</v>
      </c>
    </row>
    <row r="9932" spans="1:7" x14ac:dyDescent="0.3">
      <c r="A9932" s="24">
        <v>44810</v>
      </c>
      <c r="B9932" s="66">
        <v>1843.1822</v>
      </c>
      <c r="C9932" s="66">
        <v>1122.5</v>
      </c>
      <c r="D9932" s="70"/>
      <c r="E9932" s="111">
        <f t="shared" si="159"/>
        <v>138710</v>
      </c>
      <c r="F9932" s="69">
        <v>6.3781757317318222E-2</v>
      </c>
      <c r="G9932" s="69">
        <v>7.3548265205597763E-2</v>
      </c>
    </row>
    <row r="9933" spans="1:7" x14ac:dyDescent="0.3">
      <c r="A9933" s="24">
        <v>44811</v>
      </c>
      <c r="B9933" s="66">
        <v>1843.1822</v>
      </c>
      <c r="C9933" s="66">
        <v>1200</v>
      </c>
      <c r="D9933" s="70"/>
      <c r="E9933" s="111">
        <f t="shared" si="159"/>
        <v>138710</v>
      </c>
      <c r="F9933" s="69">
        <v>6.3042950178718082E-2</v>
      </c>
      <c r="G9933" s="69">
        <v>7.3388812582478258E-2</v>
      </c>
    </row>
    <row r="9934" spans="1:7" x14ac:dyDescent="0.3">
      <c r="A9934" s="24">
        <v>44812</v>
      </c>
      <c r="B9934" s="66">
        <v>1843.1822</v>
      </c>
      <c r="C9934" s="66">
        <v>1211.6600000000001</v>
      </c>
      <c r="D9934" s="70"/>
      <c r="E9934" s="111">
        <f t="shared" si="159"/>
        <v>138710</v>
      </c>
      <c r="F9934" s="69">
        <v>6.3042950178718082E-2</v>
      </c>
      <c r="G9934" s="69">
        <v>7.2389655584629481E-2</v>
      </c>
    </row>
    <row r="9935" spans="1:7" x14ac:dyDescent="0.3">
      <c r="A9935" s="24">
        <v>44813</v>
      </c>
      <c r="B9935" s="66">
        <v>1843.1822</v>
      </c>
      <c r="C9935" s="66">
        <v>1211.6600000000001</v>
      </c>
      <c r="D9935" s="70"/>
      <c r="E9935" s="111">
        <f t="shared" si="159"/>
        <v>138710</v>
      </c>
      <c r="F9935" s="69">
        <v>6.3042950178718082E-2</v>
      </c>
      <c r="G9935" s="69">
        <v>7.2618254497002002E-2</v>
      </c>
    </row>
    <row r="9936" spans="1:7" x14ac:dyDescent="0.3">
      <c r="A9936" s="24">
        <v>44814</v>
      </c>
      <c r="B9936" s="66">
        <v>1843.1822</v>
      </c>
      <c r="C9936" s="66">
        <v>1211.6600000000001</v>
      </c>
      <c r="D9936" s="70"/>
      <c r="E9936" s="111">
        <f t="shared" si="159"/>
        <v>138710</v>
      </c>
      <c r="F9936" s="69">
        <v>6.3042950178718082E-2</v>
      </c>
      <c r="G9936" s="69">
        <v>7.2618254497002002E-2</v>
      </c>
    </row>
    <row r="9937" spans="1:7" x14ac:dyDescent="0.3">
      <c r="A9937" s="24">
        <v>44815</v>
      </c>
      <c r="B9937" s="66">
        <v>1843.1822</v>
      </c>
      <c r="C9937" s="66">
        <v>1211.6600000000001</v>
      </c>
      <c r="D9937" s="70"/>
      <c r="E9937" s="111">
        <f t="shared" si="159"/>
        <v>138710</v>
      </c>
      <c r="F9937" s="69">
        <v>6.3042950178718082E-2</v>
      </c>
      <c r="G9937" s="69">
        <v>7.2618254497002002E-2</v>
      </c>
    </row>
    <row r="9938" spans="1:7" x14ac:dyDescent="0.3">
      <c r="A9938" s="24">
        <v>44816</v>
      </c>
      <c r="B9938" s="66">
        <v>1843.1822</v>
      </c>
      <c r="C9938" s="66">
        <v>1175</v>
      </c>
      <c r="D9938" s="70"/>
      <c r="E9938" s="111">
        <f t="shared" si="159"/>
        <v>138710</v>
      </c>
      <c r="F9938" s="69">
        <v>6.3042950178718082E-2</v>
      </c>
      <c r="G9938" s="69">
        <v>7.2618254497002002E-2</v>
      </c>
    </row>
    <row r="9939" spans="1:7" x14ac:dyDescent="0.3">
      <c r="A9939" s="24">
        <v>44817</v>
      </c>
      <c r="B9939" s="66">
        <v>1843.1822</v>
      </c>
      <c r="C9939" s="66">
        <v>1175</v>
      </c>
      <c r="D9939" s="70"/>
      <c r="E9939" s="111">
        <f t="shared" si="159"/>
        <v>138710</v>
      </c>
      <c r="F9939" s="69">
        <v>6.3042950178718082E-2</v>
      </c>
      <c r="G9939" s="69">
        <v>7.3678020291873106E-2</v>
      </c>
    </row>
    <row r="9940" spans="1:7" x14ac:dyDescent="0.3">
      <c r="A9940" s="24">
        <v>44818</v>
      </c>
      <c r="B9940" s="66">
        <v>1843.1822</v>
      </c>
      <c r="C9940" s="66">
        <v>1158.08</v>
      </c>
      <c r="D9940" s="70"/>
      <c r="E9940" s="111">
        <f t="shared" si="159"/>
        <v>138710</v>
      </c>
      <c r="F9940" s="69">
        <v>6.3042950178718082E-2</v>
      </c>
      <c r="G9940" s="69">
        <v>7.3903315479015519E-2</v>
      </c>
    </row>
    <row r="9941" spans="1:7" x14ac:dyDescent="0.3">
      <c r="A9941" s="24">
        <v>44819</v>
      </c>
      <c r="B9941" s="66">
        <v>1843.1822</v>
      </c>
      <c r="C9941" s="66">
        <v>1145.31</v>
      </c>
      <c r="D9941" s="70"/>
      <c r="E9941" s="111">
        <f t="shared" si="159"/>
        <v>138710</v>
      </c>
      <c r="F9941" s="69">
        <v>6.3042950178718082E-2</v>
      </c>
      <c r="G9941" s="69">
        <v>7.4136547277352305E-2</v>
      </c>
    </row>
    <row r="9942" spans="1:7" x14ac:dyDescent="0.3">
      <c r="A9942" s="24">
        <v>44820</v>
      </c>
      <c r="B9942" s="66">
        <v>1843.1822</v>
      </c>
      <c r="C9942" s="66">
        <v>1145.31</v>
      </c>
      <c r="D9942" s="70"/>
      <c r="E9942" s="111">
        <f t="shared" si="159"/>
        <v>138710</v>
      </c>
      <c r="F9942" s="69">
        <v>6.3042950178718082E-2</v>
      </c>
      <c r="G9942" s="69">
        <v>7.4136547277352305E-2</v>
      </c>
    </row>
    <row r="9943" spans="1:7" x14ac:dyDescent="0.3">
      <c r="A9943" s="24">
        <v>44821</v>
      </c>
      <c r="B9943" s="66">
        <v>1843.1822</v>
      </c>
      <c r="C9943" s="66">
        <v>1145.31</v>
      </c>
      <c r="D9943" s="70"/>
      <c r="E9943" s="111">
        <f t="shared" si="159"/>
        <v>138710</v>
      </c>
      <c r="F9943" s="69">
        <v>6.3042950178718082E-2</v>
      </c>
      <c r="G9943" s="69">
        <v>7.4136547277352305E-2</v>
      </c>
    </row>
    <row r="9944" spans="1:7" x14ac:dyDescent="0.3">
      <c r="A9944" s="24">
        <v>44822</v>
      </c>
      <c r="B9944" s="66">
        <v>1843.1822</v>
      </c>
      <c r="C9944" s="66">
        <v>1145.31</v>
      </c>
      <c r="D9944" s="70"/>
      <c r="E9944" s="111">
        <f t="shared" si="159"/>
        <v>138710</v>
      </c>
      <c r="F9944" s="69">
        <v>6.3042950178718082E-2</v>
      </c>
      <c r="G9944" s="69">
        <v>7.4136547277352305E-2</v>
      </c>
    </row>
    <row r="9945" spans="1:7" x14ac:dyDescent="0.3">
      <c r="A9945" s="24">
        <v>44823</v>
      </c>
      <c r="B9945" s="66">
        <v>1843.1822</v>
      </c>
      <c r="C9945" s="66">
        <v>1145.31</v>
      </c>
      <c r="D9945" s="70"/>
      <c r="E9945" s="111">
        <f t="shared" si="159"/>
        <v>138710</v>
      </c>
      <c r="F9945" s="69">
        <v>6.3042950178718082E-2</v>
      </c>
      <c r="G9945" s="69">
        <v>7.5510910980256321E-2</v>
      </c>
    </row>
    <row r="9946" spans="1:7" x14ac:dyDescent="0.3">
      <c r="A9946" s="24">
        <v>44824</v>
      </c>
      <c r="B9946" s="66">
        <v>1843.1822</v>
      </c>
      <c r="C9946" s="66">
        <v>1185</v>
      </c>
      <c r="D9946" s="70"/>
      <c r="E9946" s="111">
        <f t="shared" si="159"/>
        <v>138710</v>
      </c>
      <c r="F9946" s="69">
        <v>6.3042950178718082E-2</v>
      </c>
      <c r="G9946" s="69">
        <v>7.5662918228515896E-2</v>
      </c>
    </row>
    <row r="9947" spans="1:7" x14ac:dyDescent="0.3">
      <c r="A9947" s="24">
        <v>44825</v>
      </c>
      <c r="B9947" s="66">
        <v>1843.1822</v>
      </c>
      <c r="C9947" s="66">
        <v>1185</v>
      </c>
      <c r="D9947" s="70"/>
      <c r="E9947" s="111">
        <f t="shared" si="159"/>
        <v>138710</v>
      </c>
      <c r="F9947" s="69">
        <v>6.3042950178718082E-2</v>
      </c>
      <c r="G9947" s="69">
        <v>7.651270532079181E-2</v>
      </c>
    </row>
    <row r="9948" spans="1:7" x14ac:dyDescent="0.3">
      <c r="A9948" s="24">
        <v>44826</v>
      </c>
      <c r="B9948" s="66">
        <v>1843.1822</v>
      </c>
      <c r="C9948" s="66">
        <v>1173.67</v>
      </c>
      <c r="D9948" s="70"/>
      <c r="E9948" s="111">
        <f t="shared" si="159"/>
        <v>138710</v>
      </c>
      <c r="F9948" s="69">
        <v>6.3042950178718082E-2</v>
      </c>
      <c r="G9948" s="69">
        <v>7.4915119108166436E-2</v>
      </c>
    </row>
    <row r="9949" spans="1:7" x14ac:dyDescent="0.3">
      <c r="A9949" s="24">
        <v>44827</v>
      </c>
      <c r="B9949" s="66">
        <v>1843.1822</v>
      </c>
      <c r="C9949" s="66">
        <v>1173.67</v>
      </c>
      <c r="D9949" s="70"/>
      <c r="E9949" s="111">
        <f t="shared" si="159"/>
        <v>138710</v>
      </c>
      <c r="F9949" s="69">
        <v>6.3042950178718082E-2</v>
      </c>
      <c r="G9949" s="69">
        <v>7.465497756926133E-2</v>
      </c>
    </row>
    <row r="9950" spans="1:7" x14ac:dyDescent="0.3">
      <c r="A9950" s="24">
        <v>44828</v>
      </c>
      <c r="B9950" s="66">
        <v>1843.1822</v>
      </c>
      <c r="C9950" s="66">
        <v>1173.67</v>
      </c>
      <c r="D9950" s="70"/>
      <c r="E9950" s="111">
        <f t="shared" si="159"/>
        <v>138710</v>
      </c>
      <c r="F9950" s="69">
        <v>6.3042950178718082E-2</v>
      </c>
      <c r="G9950" s="69">
        <v>7.465497756926133E-2</v>
      </c>
    </row>
    <row r="9951" spans="1:7" x14ac:dyDescent="0.3">
      <c r="A9951" s="24">
        <v>44829</v>
      </c>
      <c r="B9951" s="66">
        <v>1843.1822</v>
      </c>
      <c r="C9951" s="66">
        <v>1173.67</v>
      </c>
      <c r="D9951" s="70"/>
      <c r="E9951" s="111">
        <f t="shared" si="159"/>
        <v>138710</v>
      </c>
      <c r="F9951" s="69">
        <v>6.3042950178718082E-2</v>
      </c>
      <c r="G9951" s="69">
        <v>7.465497756926133E-2</v>
      </c>
    </row>
    <row r="9952" spans="1:7" x14ac:dyDescent="0.3">
      <c r="A9952" s="24">
        <v>44830</v>
      </c>
      <c r="B9952" s="66">
        <v>1843.1822</v>
      </c>
      <c r="C9952" s="66">
        <v>1126.82</v>
      </c>
      <c r="D9952" s="70"/>
      <c r="E9952" s="111">
        <f t="shared" si="159"/>
        <v>138710</v>
      </c>
      <c r="F9952" s="69">
        <v>6.3042950178718082E-2</v>
      </c>
      <c r="G9952" s="69">
        <v>7.4840020872813162E-2</v>
      </c>
    </row>
    <row r="9953" spans="1:7" x14ac:dyDescent="0.3">
      <c r="A9953" s="24">
        <v>44831</v>
      </c>
      <c r="B9953" s="66">
        <v>1843.1822</v>
      </c>
      <c r="C9953" s="66">
        <v>1100.04</v>
      </c>
      <c r="D9953" s="70"/>
      <c r="E9953" s="111">
        <f t="shared" si="159"/>
        <v>138710</v>
      </c>
      <c r="F9953" s="69">
        <v>6.3042950178718082E-2</v>
      </c>
      <c r="G9953" s="69">
        <v>7.4295217841758007E-2</v>
      </c>
    </row>
    <row r="9954" spans="1:7" x14ac:dyDescent="0.3">
      <c r="A9954" s="24">
        <v>44832</v>
      </c>
      <c r="B9954" s="66">
        <v>1843.1822</v>
      </c>
      <c r="C9954" s="66">
        <v>1031.06</v>
      </c>
      <c r="D9954" s="70"/>
      <c r="E9954" s="111">
        <f t="shared" si="159"/>
        <v>138710</v>
      </c>
      <c r="F9954" s="69">
        <v>6.3042950178718082E-2</v>
      </c>
      <c r="G9954" s="69">
        <v>7.4628398501954726E-2</v>
      </c>
    </row>
    <row r="9955" spans="1:7" x14ac:dyDescent="0.3">
      <c r="A9955" s="24">
        <v>44833</v>
      </c>
      <c r="B9955" s="66">
        <v>1843.1822</v>
      </c>
      <c r="C9955" s="66">
        <v>1020.17</v>
      </c>
      <c r="D9955" s="70"/>
      <c r="E9955" s="111">
        <f t="shared" si="159"/>
        <v>138710</v>
      </c>
      <c r="F9955" s="69">
        <v>6.3042950178718082E-2</v>
      </c>
      <c r="G9955" s="69">
        <v>7.4644752610854306E-2</v>
      </c>
    </row>
    <row r="9956" spans="1:7" x14ac:dyDescent="0.3">
      <c r="A9956" s="24">
        <v>44834</v>
      </c>
      <c r="B9956" s="66">
        <v>1843.1822</v>
      </c>
      <c r="C9956" s="66">
        <v>1090</v>
      </c>
      <c r="D9956" s="70">
        <v>20</v>
      </c>
      <c r="E9956" s="111">
        <f t="shared" si="159"/>
        <v>138710</v>
      </c>
      <c r="F9956" s="69">
        <v>6.4199701558144112E-2</v>
      </c>
      <c r="G9956" s="69">
        <v>7.5711586601095435E-2</v>
      </c>
    </row>
    <row r="9957" spans="1:7" x14ac:dyDescent="0.3">
      <c r="A9957" s="24">
        <v>44835</v>
      </c>
      <c r="B9957" s="66">
        <v>1843.1822</v>
      </c>
      <c r="C9957" s="66">
        <v>1090</v>
      </c>
      <c r="D9957" s="70"/>
      <c r="E9957" s="111">
        <f t="shared" si="159"/>
        <v>138710</v>
      </c>
      <c r="F9957" s="69">
        <v>6.4199701558144112E-2</v>
      </c>
      <c r="G9957" s="69">
        <v>7.5711586601095435E-2</v>
      </c>
    </row>
    <row r="9958" spans="1:7" x14ac:dyDescent="0.3">
      <c r="A9958" s="24">
        <v>44836</v>
      </c>
      <c r="B9958" s="66">
        <v>1843.1822</v>
      </c>
      <c r="C9958" s="66">
        <v>1090</v>
      </c>
      <c r="D9958" s="70"/>
      <c r="E9958" s="111">
        <f t="shared" si="159"/>
        <v>138710</v>
      </c>
      <c r="F9958" s="69">
        <v>6.4199701558144112E-2</v>
      </c>
      <c r="G9958" s="69">
        <v>7.5711586601095435E-2</v>
      </c>
    </row>
    <row r="9959" spans="1:7" x14ac:dyDescent="0.3">
      <c r="A9959" s="24">
        <v>44837</v>
      </c>
      <c r="B9959" s="66">
        <v>1843.1822</v>
      </c>
      <c r="C9959" s="66">
        <v>1107.96</v>
      </c>
      <c r="D9959" s="70"/>
      <c r="E9959" s="111">
        <f t="shared" si="159"/>
        <v>138710</v>
      </c>
      <c r="F9959" s="69">
        <v>6.4199701558144112E-2</v>
      </c>
      <c r="G9959" s="69">
        <v>7.4466657721722798E-2</v>
      </c>
    </row>
    <row r="9960" spans="1:7" x14ac:dyDescent="0.3">
      <c r="A9960" s="24">
        <v>44838</v>
      </c>
      <c r="B9960" s="66">
        <v>1843.1822</v>
      </c>
      <c r="C9960" s="66">
        <v>1108.1500000000001</v>
      </c>
      <c r="D9960" s="70"/>
      <c r="E9960" s="111">
        <f t="shared" si="159"/>
        <v>138710</v>
      </c>
      <c r="F9960" s="69">
        <v>6.4199701558144112E-2</v>
      </c>
      <c r="G9960" s="69">
        <v>7.4506645187273457E-2</v>
      </c>
    </row>
    <row r="9961" spans="1:7" x14ac:dyDescent="0.3">
      <c r="A9961" s="24">
        <v>44839</v>
      </c>
      <c r="B9961" s="66">
        <v>1843.1822</v>
      </c>
      <c r="C9961" s="66">
        <v>1152.0999999999999</v>
      </c>
      <c r="D9961" s="70"/>
      <c r="E9961" s="111">
        <f t="shared" si="159"/>
        <v>138710</v>
      </c>
      <c r="F9961" s="69">
        <v>6.4199701558144112E-2</v>
      </c>
      <c r="G9961" s="69">
        <v>7.4506645187273457E-2</v>
      </c>
    </row>
    <row r="9962" spans="1:7" x14ac:dyDescent="0.3">
      <c r="A9962" s="24">
        <v>44840</v>
      </c>
      <c r="B9962" s="66">
        <v>1843.1822</v>
      </c>
      <c r="C9962" s="66">
        <v>1151.27</v>
      </c>
      <c r="D9962" s="70"/>
      <c r="E9962" s="111">
        <f t="shared" si="159"/>
        <v>138710</v>
      </c>
      <c r="F9962" s="69">
        <v>6.4199701558144112E-2</v>
      </c>
      <c r="G9962" s="69">
        <v>7.5963400696673344E-2</v>
      </c>
    </row>
    <row r="9963" spans="1:7" x14ac:dyDescent="0.3">
      <c r="A9963" s="24">
        <v>44841</v>
      </c>
      <c r="B9963" s="66">
        <v>1843.1822</v>
      </c>
      <c r="C9963" s="66">
        <v>1150</v>
      </c>
      <c r="D9963" s="70"/>
      <c r="E9963" s="111">
        <f t="shared" si="159"/>
        <v>138710</v>
      </c>
      <c r="F9963" s="69">
        <v>6.4199701558144112E-2</v>
      </c>
      <c r="G9963" s="69">
        <v>7.5963400696673344E-2</v>
      </c>
    </row>
    <row r="9964" spans="1:7" x14ac:dyDescent="0.3">
      <c r="A9964" s="24">
        <v>44842</v>
      </c>
      <c r="B9964" s="66">
        <v>1843.1822</v>
      </c>
      <c r="C9964" s="66">
        <v>1150</v>
      </c>
      <c r="D9964" s="70"/>
      <c r="E9964" s="111">
        <f t="shared" si="159"/>
        <v>138710</v>
      </c>
      <c r="F9964" s="69">
        <v>6.4199701558144112E-2</v>
      </c>
      <c r="G9964" s="69">
        <v>7.5963400696673344E-2</v>
      </c>
    </row>
    <row r="9965" spans="1:7" x14ac:dyDescent="0.3">
      <c r="A9965" s="24">
        <v>44843</v>
      </c>
      <c r="B9965" s="66">
        <v>1843.1822</v>
      </c>
      <c r="C9965" s="66">
        <v>1150</v>
      </c>
      <c r="D9965" s="70"/>
      <c r="E9965" s="111">
        <f t="shared" si="159"/>
        <v>138710</v>
      </c>
      <c r="F9965" s="69">
        <v>6.4199701558144112E-2</v>
      </c>
      <c r="G9965" s="69">
        <v>7.5963400696673344E-2</v>
      </c>
    </row>
    <row r="9966" spans="1:7" x14ac:dyDescent="0.3">
      <c r="A9966" s="24">
        <v>44844</v>
      </c>
      <c r="B9966" s="66">
        <v>1843.1822</v>
      </c>
      <c r="C9966" s="66">
        <v>1150</v>
      </c>
      <c r="D9966" s="70"/>
      <c r="E9966" s="111">
        <f t="shared" si="159"/>
        <v>138710</v>
      </c>
      <c r="F9966" s="69">
        <v>6.4199701558144112E-2</v>
      </c>
      <c r="G9966" s="69">
        <v>7.5963400696673344E-2</v>
      </c>
    </row>
    <row r="9967" spans="1:7" x14ac:dyDescent="0.3">
      <c r="A9967" s="24">
        <v>44845</v>
      </c>
      <c r="B9967" s="66">
        <v>1843.1822</v>
      </c>
      <c r="C9967" s="66">
        <v>1150</v>
      </c>
      <c r="D9967" s="70"/>
      <c r="E9967" s="111">
        <f t="shared" si="159"/>
        <v>138710</v>
      </c>
      <c r="F9967" s="69">
        <v>6.4199701558144112E-2</v>
      </c>
      <c r="G9967" s="69">
        <v>7.5923392612859103E-2</v>
      </c>
    </row>
    <row r="9968" spans="1:7" x14ac:dyDescent="0.3">
      <c r="A9968" s="24">
        <v>44846</v>
      </c>
      <c r="B9968" s="66">
        <v>1843.1822</v>
      </c>
      <c r="C9968" s="66">
        <v>1150</v>
      </c>
      <c r="D9968" s="70"/>
      <c r="E9968" s="111">
        <f t="shared" si="159"/>
        <v>138710</v>
      </c>
      <c r="F9968" s="69">
        <v>6.4199701558144112E-2</v>
      </c>
      <c r="G9968" s="69">
        <v>7.5923392612859103E-2</v>
      </c>
    </row>
    <row r="9969" spans="1:7" x14ac:dyDescent="0.3">
      <c r="A9969" s="24">
        <v>44847</v>
      </c>
      <c r="B9969" s="66">
        <v>1843.1822</v>
      </c>
      <c r="C9969" s="66">
        <v>1102.1099999999999</v>
      </c>
      <c r="D9969" s="70"/>
      <c r="E9969" s="111">
        <f t="shared" si="159"/>
        <v>138710</v>
      </c>
      <c r="F9969" s="69">
        <v>6.4199701558144112E-2</v>
      </c>
      <c r="G9969" s="69">
        <v>7.9285714285714279E-2</v>
      </c>
    </row>
    <row r="9970" spans="1:7" x14ac:dyDescent="0.3">
      <c r="A9970" s="24">
        <v>44848</v>
      </c>
      <c r="B9970" s="66">
        <v>1843.1822</v>
      </c>
      <c r="C9970" s="66">
        <v>1102.1099999999999</v>
      </c>
      <c r="D9970" s="70"/>
      <c r="E9970" s="111">
        <f t="shared" si="159"/>
        <v>138710</v>
      </c>
      <c r="F9970" s="69">
        <v>6.4199701558144112E-2</v>
      </c>
      <c r="G9970" s="69">
        <v>7.9183341537012869E-2</v>
      </c>
    </row>
    <row r="9971" spans="1:7" x14ac:dyDescent="0.3">
      <c r="A9971" s="24">
        <v>44849</v>
      </c>
      <c r="B9971" s="66">
        <v>1843.1822</v>
      </c>
      <c r="C9971" s="66">
        <v>1102.1099999999999</v>
      </c>
      <c r="D9971" s="70"/>
      <c r="E9971" s="111">
        <f t="shared" si="159"/>
        <v>138710</v>
      </c>
      <c r="F9971" s="69">
        <v>6.4199701558144112E-2</v>
      </c>
      <c r="G9971" s="69">
        <v>7.9183341537012869E-2</v>
      </c>
    </row>
    <row r="9972" spans="1:7" x14ac:dyDescent="0.3">
      <c r="A9972" s="24">
        <v>44850</v>
      </c>
      <c r="B9972" s="66">
        <v>1843.1822</v>
      </c>
      <c r="C9972" s="66">
        <v>1102.1099999999999</v>
      </c>
      <c r="D9972" s="70"/>
      <c r="E9972" s="111">
        <f t="shared" si="159"/>
        <v>138710</v>
      </c>
      <c r="F9972" s="69">
        <v>6.4199701558144112E-2</v>
      </c>
      <c r="G9972" s="69">
        <v>7.9183341537012869E-2</v>
      </c>
    </row>
    <row r="9973" spans="1:7" x14ac:dyDescent="0.3">
      <c r="A9973" s="24">
        <v>44851</v>
      </c>
      <c r="B9973" s="66">
        <v>1843.1822</v>
      </c>
      <c r="C9973" s="66">
        <v>1102</v>
      </c>
      <c r="D9973" s="70"/>
      <c r="E9973" s="111">
        <f t="shared" si="159"/>
        <v>138710</v>
      </c>
      <c r="F9973" s="69">
        <v>6.4199701558144112E-2</v>
      </c>
      <c r="G9973" s="69">
        <v>7.9224598167128221E-2</v>
      </c>
    </row>
    <row r="9974" spans="1:7" x14ac:dyDescent="0.3">
      <c r="A9974" s="24">
        <v>44852</v>
      </c>
      <c r="B9974" s="66">
        <v>1843.1822</v>
      </c>
      <c r="C9974" s="66">
        <v>1089.03</v>
      </c>
      <c r="D9974" s="70"/>
      <c r="E9974" s="111">
        <f t="shared" si="159"/>
        <v>138710</v>
      </c>
      <c r="F9974" s="69">
        <v>6.4199701558144112E-2</v>
      </c>
      <c r="G9974" s="69">
        <v>7.9285714285714279E-2</v>
      </c>
    </row>
    <row r="9975" spans="1:7" x14ac:dyDescent="0.3">
      <c r="A9975" s="24">
        <v>44853</v>
      </c>
      <c r="B9975" s="66">
        <v>1843.1822</v>
      </c>
      <c r="C9975" s="66">
        <v>1096.99</v>
      </c>
      <c r="D9975" s="70"/>
      <c r="E9975" s="111">
        <f t="shared" si="159"/>
        <v>138710</v>
      </c>
      <c r="F9975" s="69">
        <v>6.4199701558144112E-2</v>
      </c>
      <c r="G9975" s="69">
        <v>7.5621836316194652E-2</v>
      </c>
    </row>
    <row r="9976" spans="1:7" x14ac:dyDescent="0.3">
      <c r="A9976" s="24">
        <v>44854</v>
      </c>
      <c r="B9976" s="66">
        <v>1843.1822</v>
      </c>
      <c r="C9976" s="66">
        <v>1075.04</v>
      </c>
      <c r="D9976" s="70"/>
      <c r="E9976" s="111">
        <f t="shared" si="159"/>
        <v>138710</v>
      </c>
      <c r="F9976" s="69">
        <v>6.4199701558144112E-2</v>
      </c>
      <c r="G9976" s="69">
        <v>7.5362554994296879E-2</v>
      </c>
    </row>
    <row r="9977" spans="1:7" x14ac:dyDescent="0.3">
      <c r="A9977" s="24">
        <v>44855</v>
      </c>
      <c r="B9977" s="66">
        <v>1843.1822</v>
      </c>
      <c r="C9977" s="66">
        <v>1001</v>
      </c>
      <c r="D9977" s="70"/>
      <c r="E9977" s="111">
        <f t="shared" si="159"/>
        <v>138710</v>
      </c>
      <c r="F9977" s="69">
        <v>6.4199701558144112E-2</v>
      </c>
      <c r="G9977" s="69">
        <v>7.5510204081632656E-2</v>
      </c>
    </row>
    <row r="9978" spans="1:7" x14ac:dyDescent="0.3">
      <c r="A9978" s="24">
        <v>44856</v>
      </c>
      <c r="B9978" s="66">
        <v>1843.1822</v>
      </c>
      <c r="C9978" s="66">
        <v>1001</v>
      </c>
      <c r="D9978" s="70"/>
      <c r="E9978" s="111">
        <f t="shared" si="159"/>
        <v>138710</v>
      </c>
      <c r="F9978" s="69">
        <v>6.4199701558144112E-2</v>
      </c>
      <c r="G9978" s="69">
        <v>7.5510204081632656E-2</v>
      </c>
    </row>
    <row r="9979" spans="1:7" x14ac:dyDescent="0.3">
      <c r="A9979" s="24">
        <v>44857</v>
      </c>
      <c r="B9979" s="66">
        <v>1843.1822</v>
      </c>
      <c r="C9979" s="66">
        <v>1001</v>
      </c>
      <c r="D9979" s="70"/>
      <c r="E9979" s="111">
        <f t="shared" si="159"/>
        <v>138710</v>
      </c>
      <c r="F9979" s="69">
        <v>6.4199701558144112E-2</v>
      </c>
      <c r="G9979" s="69">
        <v>7.5510204081632656E-2</v>
      </c>
    </row>
    <row r="9980" spans="1:7" x14ac:dyDescent="0.3">
      <c r="A9980" s="24">
        <v>44858</v>
      </c>
      <c r="B9980" s="66">
        <v>1843.1822</v>
      </c>
      <c r="C9980" s="66">
        <v>1007.19</v>
      </c>
      <c r="D9980" s="70"/>
      <c r="E9980" s="111">
        <f t="shared" si="159"/>
        <v>138710</v>
      </c>
      <c r="F9980" s="69">
        <v>6.4199701558144112E-2</v>
      </c>
      <c r="G9980" s="69">
        <v>7.449664429530202E-2</v>
      </c>
    </row>
    <row r="9981" spans="1:7" x14ac:dyDescent="0.3">
      <c r="A9981" s="24">
        <v>44859</v>
      </c>
      <c r="B9981" s="66">
        <v>1843.1822</v>
      </c>
      <c r="C9981" s="66">
        <v>1020</v>
      </c>
      <c r="D9981" s="70"/>
      <c r="E9981" s="111">
        <f t="shared" si="159"/>
        <v>138710</v>
      </c>
      <c r="F9981" s="69">
        <v>6.4199701558144112E-2</v>
      </c>
      <c r="G9981" s="69">
        <v>7.5767400905113275E-2</v>
      </c>
    </row>
    <row r="9982" spans="1:7" x14ac:dyDescent="0.3">
      <c r="A9982" s="24">
        <v>44860</v>
      </c>
      <c r="B9982" s="66">
        <v>1843.1822</v>
      </c>
      <c r="C9982" s="66">
        <v>1035</v>
      </c>
      <c r="D9982" s="70"/>
      <c r="E9982" s="111">
        <f t="shared" si="159"/>
        <v>138710</v>
      </c>
      <c r="F9982" s="69">
        <v>6.4199701558144112E-2</v>
      </c>
      <c r="G9982" s="69">
        <v>7.5570351912746886E-2</v>
      </c>
    </row>
    <row r="9983" spans="1:7" x14ac:dyDescent="0.3">
      <c r="A9983" s="24">
        <v>44861</v>
      </c>
      <c r="B9983" s="66">
        <v>1843.1822</v>
      </c>
      <c r="C9983" s="66">
        <v>1033.68</v>
      </c>
      <c r="D9983" s="70"/>
      <c r="E9983" s="111">
        <f t="shared" si="159"/>
        <v>138710</v>
      </c>
      <c r="F9983" s="69">
        <v>6.4199701558144112E-2</v>
      </c>
      <c r="G9983" s="69">
        <v>7.5567779532705187E-2</v>
      </c>
    </row>
    <row r="9984" spans="1:7" x14ac:dyDescent="0.3">
      <c r="A9984" s="24">
        <v>44862</v>
      </c>
      <c r="B9984" s="66">
        <v>1843.1822</v>
      </c>
      <c r="C9984" s="66">
        <v>1052.8599999999999</v>
      </c>
      <c r="D9984" s="70"/>
      <c r="E9984" s="111">
        <f t="shared" si="159"/>
        <v>138710</v>
      </c>
      <c r="F9984" s="69">
        <v>6.4199701558144112E-2</v>
      </c>
      <c r="G9984" s="69">
        <v>7.5567779532705187E-2</v>
      </c>
    </row>
    <row r="9985" spans="1:7" x14ac:dyDescent="0.3">
      <c r="A9985" s="24">
        <v>44863</v>
      </c>
      <c r="B9985" s="66">
        <v>1843.1822</v>
      </c>
      <c r="C9985" s="66">
        <v>1052.8599999999999</v>
      </c>
      <c r="D9985" s="70"/>
      <c r="E9985" s="111">
        <f t="shared" si="159"/>
        <v>138710</v>
      </c>
      <c r="F9985" s="69">
        <v>6.4199701558144112E-2</v>
      </c>
      <c r="G9985" s="69">
        <v>7.5567779532705187E-2</v>
      </c>
    </row>
    <row r="9986" spans="1:7" x14ac:dyDescent="0.3">
      <c r="A9986" s="24">
        <v>44864</v>
      </c>
      <c r="B9986" s="66">
        <v>1843.1822</v>
      </c>
      <c r="C9986" s="66">
        <v>1052.8599999999999</v>
      </c>
      <c r="D9986" s="70"/>
      <c r="E9986" s="111">
        <f t="shared" si="159"/>
        <v>138710</v>
      </c>
      <c r="F9986" s="69">
        <v>6.4199701558144112E-2</v>
      </c>
      <c r="G9986" s="69">
        <v>7.5567779532705187E-2</v>
      </c>
    </row>
    <row r="9987" spans="1:7" x14ac:dyDescent="0.3">
      <c r="A9987" s="24">
        <v>44865</v>
      </c>
      <c r="B9987" s="66">
        <v>1843.1822</v>
      </c>
      <c r="C9987" s="66">
        <v>1052.8599999999999</v>
      </c>
      <c r="D9987" s="70"/>
      <c r="E9987" s="111">
        <f t="shared" si="159"/>
        <v>138710</v>
      </c>
      <c r="F9987" s="69">
        <v>6.4199701558144112E-2</v>
      </c>
      <c r="G9987" s="69">
        <v>7.5567779532705187E-2</v>
      </c>
    </row>
    <row r="9988" spans="1:7" x14ac:dyDescent="0.3">
      <c r="A9988" s="24">
        <v>44866</v>
      </c>
      <c r="B9988" s="66">
        <v>1843.1822</v>
      </c>
      <c r="C9988" s="66">
        <v>1052.8599999999999</v>
      </c>
      <c r="D9988" s="70"/>
      <c r="E9988" s="111">
        <f t="shared" si="159"/>
        <v>138710</v>
      </c>
      <c r="F9988" s="69">
        <v>6.4199701558144112E-2</v>
      </c>
      <c r="G9988" s="69">
        <v>7.5567779532705187E-2</v>
      </c>
    </row>
    <row r="9989" spans="1:7" x14ac:dyDescent="0.3">
      <c r="A9989" s="24">
        <v>44867</v>
      </c>
      <c r="B9989" s="66">
        <v>1843.1822</v>
      </c>
      <c r="C9989" s="66">
        <v>1075</v>
      </c>
      <c r="D9989" s="70"/>
      <c r="E9989" s="111">
        <f t="shared" si="159"/>
        <v>138710</v>
      </c>
      <c r="F9989" s="69">
        <v>6.4199701558144112E-2</v>
      </c>
      <c r="G9989" s="69">
        <v>7.6238358196653755E-2</v>
      </c>
    </row>
    <row r="9990" spans="1:7" x14ac:dyDescent="0.3">
      <c r="A9990" s="24">
        <v>44868</v>
      </c>
      <c r="B9990" s="66">
        <v>1843.1822</v>
      </c>
      <c r="C9990" s="66">
        <v>1098</v>
      </c>
      <c r="D9990" s="70"/>
      <c r="E9990" s="111">
        <f t="shared" si="159"/>
        <v>138710</v>
      </c>
      <c r="F9990" s="69">
        <v>6.4199701558144112E-2</v>
      </c>
      <c r="G9990" s="69">
        <v>7.9932597377346662E-2</v>
      </c>
    </row>
    <row r="9991" spans="1:7" x14ac:dyDescent="0.3">
      <c r="A9991" s="24">
        <v>44869</v>
      </c>
      <c r="B9991" s="66">
        <v>1843.1822</v>
      </c>
      <c r="C9991" s="66">
        <v>1119.1300000000001</v>
      </c>
      <c r="D9991" s="70"/>
      <c r="E9991" s="111">
        <f t="shared" si="159"/>
        <v>138710</v>
      </c>
      <c r="F9991" s="69">
        <v>6.4199701558144112E-2</v>
      </c>
      <c r="G9991" s="69">
        <v>8.1086411816700871E-2</v>
      </c>
    </row>
    <row r="9992" spans="1:7" x14ac:dyDescent="0.3">
      <c r="A9992" s="24">
        <v>44870</v>
      </c>
      <c r="B9992" s="66">
        <v>1843.1822</v>
      </c>
      <c r="C9992" s="66">
        <v>1119.1300000000001</v>
      </c>
      <c r="D9992" s="70"/>
      <c r="E9992" s="111">
        <f t="shared" si="159"/>
        <v>138710</v>
      </c>
      <c r="F9992" s="69">
        <v>6.4199701558144112E-2</v>
      </c>
      <c r="G9992" s="69">
        <v>8.1086411816700871E-2</v>
      </c>
    </row>
    <row r="9993" spans="1:7" x14ac:dyDescent="0.3">
      <c r="A9993" s="24">
        <v>44871</v>
      </c>
      <c r="B9993" s="66">
        <v>1843.1822</v>
      </c>
      <c r="C9993" s="66">
        <v>1119.1300000000001</v>
      </c>
      <c r="D9993" s="70"/>
      <c r="E9993" s="111">
        <f t="shared" ref="E9993:E10056" si="160">+E9992</f>
        <v>138710</v>
      </c>
      <c r="F9993" s="69">
        <v>6.4199701558144112E-2</v>
      </c>
      <c r="G9993" s="69">
        <v>8.1086411816700871E-2</v>
      </c>
    </row>
    <row r="9994" spans="1:7" x14ac:dyDescent="0.3">
      <c r="A9994" s="24">
        <v>44872</v>
      </c>
      <c r="B9994" s="66">
        <v>1843.1822</v>
      </c>
      <c r="C9994" s="66">
        <v>1110.3800000000001</v>
      </c>
      <c r="D9994" s="70"/>
      <c r="E9994" s="111">
        <f t="shared" si="160"/>
        <v>138710</v>
      </c>
      <c r="F9994" s="69">
        <v>6.4199701558144112E-2</v>
      </c>
      <c r="G9994" s="69">
        <v>8.2281342890817843E-2</v>
      </c>
    </row>
    <row r="9995" spans="1:7" x14ac:dyDescent="0.3">
      <c r="A9995" s="24">
        <v>44873</v>
      </c>
      <c r="B9995" s="66">
        <v>1843.1822</v>
      </c>
      <c r="C9995" s="66">
        <v>1110.3800000000001</v>
      </c>
      <c r="D9995" s="70"/>
      <c r="E9995" s="111">
        <f t="shared" si="160"/>
        <v>138710</v>
      </c>
      <c r="F9995" s="69">
        <v>6.4199701558144112E-2</v>
      </c>
      <c r="G9995" s="69">
        <v>8.4894837476099425E-2</v>
      </c>
    </row>
    <row r="9996" spans="1:7" x14ac:dyDescent="0.3">
      <c r="A9996" s="24">
        <v>44874</v>
      </c>
      <c r="B9996" s="66">
        <v>1843.1822</v>
      </c>
      <c r="C9996" s="66">
        <v>1090</v>
      </c>
      <c r="D9996" s="70"/>
      <c r="E9996" s="111">
        <f t="shared" si="160"/>
        <v>138710</v>
      </c>
      <c r="F9996" s="69">
        <v>6.4199701558144112E-2</v>
      </c>
      <c r="G9996" s="69">
        <v>8.7336931719829411E-2</v>
      </c>
    </row>
    <row r="9997" spans="1:7" x14ac:dyDescent="0.3">
      <c r="A9997" s="24">
        <v>44875</v>
      </c>
      <c r="B9997" s="66">
        <v>1843.1822</v>
      </c>
      <c r="C9997" s="66">
        <v>1094.23</v>
      </c>
      <c r="D9997" s="70"/>
      <c r="E9997" s="111">
        <f t="shared" si="160"/>
        <v>138710</v>
      </c>
      <c r="F9997" s="69">
        <v>6.4199701558144112E-2</v>
      </c>
      <c r="G9997" s="69">
        <v>8.7710287389473188E-2</v>
      </c>
    </row>
    <row r="9998" spans="1:7" x14ac:dyDescent="0.3">
      <c r="A9998" s="24">
        <v>44876</v>
      </c>
      <c r="B9998" s="66">
        <v>1843.1822</v>
      </c>
      <c r="C9998" s="66">
        <v>1091.52</v>
      </c>
      <c r="D9998" s="70"/>
      <c r="E9998" s="111">
        <f t="shared" si="160"/>
        <v>138710</v>
      </c>
      <c r="F9998" s="69">
        <v>6.4199701558144112E-2</v>
      </c>
      <c r="G9998" s="69">
        <v>8.8203041813009544E-2</v>
      </c>
    </row>
    <row r="9999" spans="1:7" x14ac:dyDescent="0.3">
      <c r="A9999" s="24">
        <v>44877</v>
      </c>
      <c r="B9999" s="66">
        <v>1843.1822</v>
      </c>
      <c r="C9999" s="66">
        <v>1091.52</v>
      </c>
      <c r="D9999" s="70"/>
      <c r="E9999" s="111">
        <f t="shared" si="160"/>
        <v>138710</v>
      </c>
      <c r="F9999" s="69">
        <v>6.4199701558144112E-2</v>
      </c>
      <c r="G9999" s="69">
        <v>8.8203041813009544E-2</v>
      </c>
    </row>
    <row r="10000" spans="1:7" x14ac:dyDescent="0.3">
      <c r="A10000" s="24">
        <v>44878</v>
      </c>
      <c r="B10000" s="66">
        <v>1843.1822</v>
      </c>
      <c r="C10000" s="66">
        <v>1091.52</v>
      </c>
      <c r="D10000" s="70"/>
      <c r="E10000" s="111">
        <f t="shared" si="160"/>
        <v>138710</v>
      </c>
      <c r="F10000" s="69">
        <v>6.4199701558144112E-2</v>
      </c>
      <c r="G10000" s="69">
        <v>8.8203041813009544E-2</v>
      </c>
    </row>
    <row r="10001" spans="1:7" x14ac:dyDescent="0.3">
      <c r="A10001" s="24">
        <v>44879</v>
      </c>
      <c r="B10001" s="66">
        <v>1843.1822</v>
      </c>
      <c r="C10001" s="66">
        <v>1107.97</v>
      </c>
      <c r="D10001" s="70"/>
      <c r="E10001" s="111">
        <f t="shared" si="160"/>
        <v>138710</v>
      </c>
      <c r="F10001" s="69">
        <v>6.4199701558144112E-2</v>
      </c>
      <c r="G10001" s="69">
        <v>8.7849121113072109E-2</v>
      </c>
    </row>
    <row r="10002" spans="1:7" x14ac:dyDescent="0.3">
      <c r="A10002" s="24">
        <v>44880</v>
      </c>
      <c r="B10002" s="66">
        <v>1843.1822</v>
      </c>
      <c r="C10002" s="66">
        <v>1130.3399999999999</v>
      </c>
      <c r="D10002" s="70"/>
      <c r="E10002" s="111">
        <f t="shared" si="160"/>
        <v>138710</v>
      </c>
      <c r="F10002" s="69">
        <v>6.4199701558144112E-2</v>
      </c>
      <c r="G10002" s="69">
        <v>8.8807104568365464E-2</v>
      </c>
    </row>
    <row r="10003" spans="1:7" x14ac:dyDescent="0.3">
      <c r="A10003" s="24">
        <v>44881</v>
      </c>
      <c r="B10003" s="66">
        <v>1932.6488999999999</v>
      </c>
      <c r="C10003" s="66">
        <v>1130</v>
      </c>
      <c r="D10003" s="70"/>
      <c r="E10003" s="111">
        <f t="shared" si="160"/>
        <v>138710</v>
      </c>
      <c r="F10003" s="69">
        <v>6.4199701558144112E-2</v>
      </c>
      <c r="G10003" s="69">
        <v>9.3960299657171883E-2</v>
      </c>
    </row>
    <row r="10004" spans="1:7" x14ac:dyDescent="0.3">
      <c r="A10004" s="24">
        <v>44882</v>
      </c>
      <c r="B10004" s="66">
        <v>1932.6488999999999</v>
      </c>
      <c r="C10004" s="66">
        <v>1130</v>
      </c>
      <c r="D10004" s="70"/>
      <c r="E10004" s="111">
        <f t="shared" si="160"/>
        <v>138710</v>
      </c>
      <c r="F10004" s="69">
        <v>6.4199701558144112E-2</v>
      </c>
      <c r="G10004" s="69">
        <v>9.3485492904366876E-2</v>
      </c>
    </row>
    <row r="10005" spans="1:7" x14ac:dyDescent="0.3">
      <c r="A10005" s="24">
        <v>44883</v>
      </c>
      <c r="B10005" s="66">
        <v>1932.6488999999999</v>
      </c>
      <c r="C10005" s="66">
        <v>1130.1500000000001</v>
      </c>
      <c r="D10005" s="70"/>
      <c r="E10005" s="111">
        <f t="shared" si="160"/>
        <v>138710</v>
      </c>
      <c r="F10005" s="69">
        <v>6.4199701558144112E-2</v>
      </c>
      <c r="G10005" s="69">
        <v>8.961224539223521E-2</v>
      </c>
    </row>
    <row r="10006" spans="1:7" x14ac:dyDescent="0.3">
      <c r="A10006" s="24">
        <v>44884</v>
      </c>
      <c r="B10006" s="66">
        <v>1932.6488999999999</v>
      </c>
      <c r="C10006" s="66">
        <v>1130.1500000000001</v>
      </c>
      <c r="D10006" s="70"/>
      <c r="E10006" s="111">
        <f t="shared" si="160"/>
        <v>138710</v>
      </c>
      <c r="F10006" s="69">
        <v>6.4199701558144112E-2</v>
      </c>
      <c r="G10006" s="69">
        <v>8.961224539223521E-2</v>
      </c>
    </row>
    <row r="10007" spans="1:7" x14ac:dyDescent="0.3">
      <c r="A10007" s="24">
        <v>44885</v>
      </c>
      <c r="B10007" s="66">
        <v>1932.6488999999999</v>
      </c>
      <c r="C10007" s="66">
        <v>1130.1500000000001</v>
      </c>
      <c r="D10007" s="70"/>
      <c r="E10007" s="111">
        <f t="shared" si="160"/>
        <v>138710</v>
      </c>
      <c r="F10007" s="69">
        <v>6.4199701558144112E-2</v>
      </c>
      <c r="G10007" s="69">
        <v>8.961224539223521E-2</v>
      </c>
    </row>
    <row r="10008" spans="1:7" x14ac:dyDescent="0.3">
      <c r="A10008" s="24">
        <v>44886</v>
      </c>
      <c r="B10008" s="66">
        <v>1932.6488999999999</v>
      </c>
      <c r="C10008" s="66">
        <v>1130.1500000000001</v>
      </c>
      <c r="D10008" s="70"/>
      <c r="E10008" s="111">
        <f t="shared" si="160"/>
        <v>138710</v>
      </c>
      <c r="F10008" s="69">
        <v>6.4199701558144112E-2</v>
      </c>
      <c r="G10008" s="69">
        <v>8.8689315733964019E-2</v>
      </c>
    </row>
    <row r="10009" spans="1:7" x14ac:dyDescent="0.3">
      <c r="A10009" s="24">
        <v>44887</v>
      </c>
      <c r="B10009" s="66">
        <v>1932.6488999999999</v>
      </c>
      <c r="C10009" s="66">
        <v>1130.1500000000001</v>
      </c>
      <c r="D10009" s="70"/>
      <c r="E10009" s="111">
        <f t="shared" si="160"/>
        <v>138710</v>
      </c>
      <c r="F10009" s="69">
        <v>6.4199701558144112E-2</v>
      </c>
      <c r="G10009" s="69">
        <v>8.8800000000000004E-2</v>
      </c>
    </row>
    <row r="10010" spans="1:7" x14ac:dyDescent="0.3">
      <c r="A10010" s="24">
        <v>44888</v>
      </c>
      <c r="B10010" s="66">
        <v>1932.6488999999999</v>
      </c>
      <c r="C10010" s="66">
        <v>1134.27</v>
      </c>
      <c r="D10010" s="70"/>
      <c r="E10010" s="111">
        <f t="shared" si="160"/>
        <v>138710</v>
      </c>
      <c r="F10010" s="69">
        <v>6.3497210098481888E-2</v>
      </c>
      <c r="G10010" s="69">
        <v>8.9328826653790452E-2</v>
      </c>
    </row>
    <row r="10011" spans="1:7" x14ac:dyDescent="0.3">
      <c r="A10011" s="24">
        <v>44889</v>
      </c>
      <c r="B10011" s="66">
        <v>1932.6488999999999</v>
      </c>
      <c r="C10011" s="66">
        <v>1108.25</v>
      </c>
      <c r="D10011" s="70"/>
      <c r="E10011" s="111">
        <f t="shared" si="160"/>
        <v>138710</v>
      </c>
      <c r="F10011" s="69">
        <v>6.3497210098481888E-2</v>
      </c>
      <c r="G10011" s="69">
        <v>8.8989369378036462E-2</v>
      </c>
    </row>
    <row r="10012" spans="1:7" x14ac:dyDescent="0.3">
      <c r="A10012" s="24">
        <v>44890</v>
      </c>
      <c r="B10012" s="66">
        <v>1932.6488999999999</v>
      </c>
      <c r="C10012" s="66">
        <v>1100</v>
      </c>
      <c r="D10012" s="70"/>
      <c r="E10012" s="111">
        <f t="shared" si="160"/>
        <v>138710</v>
      </c>
      <c r="F10012" s="69">
        <v>6.3497210098481888E-2</v>
      </c>
      <c r="G10012" s="69">
        <v>8.8637615887693741E-2</v>
      </c>
    </row>
    <row r="10013" spans="1:7" x14ac:dyDescent="0.3">
      <c r="A10013" s="24">
        <v>44891</v>
      </c>
      <c r="B10013" s="66">
        <v>1932.6488999999999</v>
      </c>
      <c r="C10013" s="66">
        <v>1100</v>
      </c>
      <c r="D10013" s="70"/>
      <c r="E10013" s="111">
        <f t="shared" si="160"/>
        <v>138710</v>
      </c>
      <c r="F10013" s="69">
        <v>6.3497210098481888E-2</v>
      </c>
      <c r="G10013" s="69">
        <v>8.8637615887693741E-2</v>
      </c>
    </row>
    <row r="10014" spans="1:7" x14ac:dyDescent="0.3">
      <c r="A10014" s="24">
        <v>44892</v>
      </c>
      <c r="B10014" s="66">
        <v>1932.6488999999999</v>
      </c>
      <c r="C10014" s="66">
        <v>1100</v>
      </c>
      <c r="D10014" s="70"/>
      <c r="E10014" s="111">
        <f t="shared" si="160"/>
        <v>138710</v>
      </c>
      <c r="F10014" s="69">
        <v>6.3497210098481888E-2</v>
      </c>
      <c r="G10014" s="69">
        <v>8.8637615887693741E-2</v>
      </c>
    </row>
    <row r="10015" spans="1:7" x14ac:dyDescent="0.3">
      <c r="A10015" s="24">
        <v>44893</v>
      </c>
      <c r="B10015" s="66">
        <v>1932.6488999999999</v>
      </c>
      <c r="C10015" s="66">
        <v>1110</v>
      </c>
      <c r="D10015" s="70"/>
      <c r="E10015" s="111">
        <f t="shared" si="160"/>
        <v>138710</v>
      </c>
      <c r="F10015" s="69">
        <v>6.3497210098481888E-2</v>
      </c>
      <c r="G10015" s="69">
        <v>8.8102230335740925E-2</v>
      </c>
    </row>
    <row r="10016" spans="1:7" x14ac:dyDescent="0.3">
      <c r="A10016" s="24">
        <v>44894</v>
      </c>
      <c r="B10016" s="66">
        <v>1932.6488999999999</v>
      </c>
      <c r="C10016" s="66">
        <v>1116.68</v>
      </c>
      <c r="D10016" s="70"/>
      <c r="E10016" s="111">
        <f t="shared" si="160"/>
        <v>138710</v>
      </c>
      <c r="F10016" s="69">
        <v>6.3497210098481888E-2</v>
      </c>
      <c r="G10016" s="69">
        <v>8.8068677700376075E-2</v>
      </c>
    </row>
    <row r="10017" spans="1:7" x14ac:dyDescent="0.3">
      <c r="A10017" s="24">
        <v>44895</v>
      </c>
      <c r="B10017" s="66">
        <v>1932.6488999999999</v>
      </c>
      <c r="C10017" s="66">
        <v>1130.54</v>
      </c>
      <c r="D10017" s="70"/>
      <c r="E10017" s="111">
        <f t="shared" si="160"/>
        <v>138710</v>
      </c>
      <c r="F10017" s="69">
        <v>6.3497210098481888E-2</v>
      </c>
      <c r="G10017" s="69">
        <v>8.8084052818689682E-2</v>
      </c>
    </row>
    <row r="10018" spans="1:7" x14ac:dyDescent="0.3">
      <c r="A10018" s="24">
        <v>44896</v>
      </c>
      <c r="B10018" s="66">
        <v>1932.6488999999999</v>
      </c>
      <c r="C10018" s="66">
        <v>1140</v>
      </c>
      <c r="D10018" s="70"/>
      <c r="E10018" s="111">
        <f t="shared" si="160"/>
        <v>138710</v>
      </c>
      <c r="F10018" s="69">
        <v>6.3497210098481888E-2</v>
      </c>
      <c r="G10018" s="69">
        <v>8.8341331805267057E-2</v>
      </c>
    </row>
    <row r="10019" spans="1:7" x14ac:dyDescent="0.3">
      <c r="A10019" s="24">
        <v>44897</v>
      </c>
      <c r="B10019" s="66">
        <v>1932.6488999999999</v>
      </c>
      <c r="C10019" s="66">
        <v>1140.5899999999999</v>
      </c>
      <c r="D10019" s="70"/>
      <c r="E10019" s="111">
        <f t="shared" si="160"/>
        <v>138710</v>
      </c>
      <c r="F10019" s="69">
        <v>6.3497210098481888E-2</v>
      </c>
      <c r="G10019" s="69">
        <v>8.7455976552343578E-2</v>
      </c>
    </row>
    <row r="10020" spans="1:7" x14ac:dyDescent="0.3">
      <c r="A10020" s="24">
        <v>44898</v>
      </c>
      <c r="B10020" s="66">
        <v>1932.6488999999999</v>
      </c>
      <c r="C10020" s="66">
        <v>1140.5899999999999</v>
      </c>
      <c r="D10020" s="70"/>
      <c r="E10020" s="111">
        <f t="shared" si="160"/>
        <v>138710</v>
      </c>
      <c r="F10020" s="69">
        <v>6.3497210098481888E-2</v>
      </c>
      <c r="G10020" s="69">
        <v>8.7455976552343578E-2</v>
      </c>
    </row>
    <row r="10021" spans="1:7" x14ac:dyDescent="0.3">
      <c r="A10021" s="24">
        <v>44899</v>
      </c>
      <c r="B10021" s="66">
        <v>1932.6488999999999</v>
      </c>
      <c r="C10021" s="66">
        <v>1140.5899999999999</v>
      </c>
      <c r="D10021" s="70"/>
      <c r="E10021" s="111">
        <f t="shared" si="160"/>
        <v>138710</v>
      </c>
      <c r="F10021" s="69">
        <v>6.3497210098481888E-2</v>
      </c>
      <c r="G10021" s="69">
        <v>8.7455976552343578E-2</v>
      </c>
    </row>
    <row r="10022" spans="1:7" x14ac:dyDescent="0.3">
      <c r="A10022" s="24">
        <v>44900</v>
      </c>
      <c r="B10022" s="66">
        <v>1932.6488999999999</v>
      </c>
      <c r="C10022" s="66">
        <v>1150.07</v>
      </c>
      <c r="D10022" s="70"/>
      <c r="E10022" s="111">
        <f t="shared" si="160"/>
        <v>138710</v>
      </c>
      <c r="F10022" s="69">
        <v>6.3497210098481888E-2</v>
      </c>
      <c r="G10022" s="69">
        <v>8.7670800094779247E-2</v>
      </c>
    </row>
    <row r="10023" spans="1:7" x14ac:dyDescent="0.3">
      <c r="A10023" s="24">
        <v>44901</v>
      </c>
      <c r="B10023" s="66">
        <v>1932.6488999999999</v>
      </c>
      <c r="C10023" s="66">
        <v>1160.1400000000001</v>
      </c>
      <c r="D10023" s="70"/>
      <c r="E10023" s="111">
        <f t="shared" si="160"/>
        <v>138710</v>
      </c>
      <c r="F10023" s="69">
        <v>6.3497210098481888E-2</v>
      </c>
      <c r="G10023" s="69">
        <v>8.4840980486574499E-2</v>
      </c>
    </row>
    <row r="10024" spans="1:7" x14ac:dyDescent="0.3">
      <c r="A10024" s="24">
        <v>44902</v>
      </c>
      <c r="B10024" s="66">
        <v>1932.6488999999999</v>
      </c>
      <c r="C10024" s="66">
        <v>1166.05</v>
      </c>
      <c r="D10024" s="70"/>
      <c r="E10024" s="111">
        <f t="shared" si="160"/>
        <v>138710</v>
      </c>
      <c r="F10024" s="69">
        <v>6.3497210098481888E-2</v>
      </c>
      <c r="G10024" s="69">
        <v>8.4840980486574499E-2</v>
      </c>
    </row>
    <row r="10025" spans="1:7" x14ac:dyDescent="0.3">
      <c r="A10025" s="24">
        <v>44903</v>
      </c>
      <c r="B10025" s="66">
        <v>1932.6488999999999</v>
      </c>
      <c r="C10025" s="66">
        <v>1166.05</v>
      </c>
      <c r="D10025" s="70"/>
      <c r="E10025" s="111">
        <f t="shared" si="160"/>
        <v>138710</v>
      </c>
      <c r="F10025" s="69">
        <v>6.3497210098481888E-2</v>
      </c>
      <c r="G10025" s="69">
        <v>8.403743072590171E-2</v>
      </c>
    </row>
    <row r="10026" spans="1:7" x14ac:dyDescent="0.3">
      <c r="A10026" s="24">
        <v>44904</v>
      </c>
      <c r="B10026" s="66">
        <v>1932.6488999999999</v>
      </c>
      <c r="C10026" s="66">
        <v>1190</v>
      </c>
      <c r="D10026" s="70"/>
      <c r="E10026" s="111">
        <f t="shared" si="160"/>
        <v>138710</v>
      </c>
      <c r="F10026" s="69">
        <v>6.3497210098481888E-2</v>
      </c>
      <c r="G10026" s="69">
        <v>8.3511390652743087E-2</v>
      </c>
    </row>
    <row r="10027" spans="1:7" x14ac:dyDescent="0.3">
      <c r="A10027" s="24">
        <v>44905</v>
      </c>
      <c r="B10027" s="66">
        <v>1932.6488999999999</v>
      </c>
      <c r="C10027" s="66">
        <v>1190</v>
      </c>
      <c r="D10027" s="70"/>
      <c r="E10027" s="111">
        <f t="shared" si="160"/>
        <v>138710</v>
      </c>
      <c r="F10027" s="69">
        <v>6.3497210098481888E-2</v>
      </c>
      <c r="G10027" s="69">
        <v>8.3511390652743087E-2</v>
      </c>
    </row>
    <row r="10028" spans="1:7" x14ac:dyDescent="0.3">
      <c r="A10028" s="24">
        <v>44906</v>
      </c>
      <c r="B10028" s="66">
        <v>1932.6488999999999</v>
      </c>
      <c r="C10028" s="66">
        <v>1190</v>
      </c>
      <c r="D10028" s="70"/>
      <c r="E10028" s="111">
        <f t="shared" si="160"/>
        <v>138710</v>
      </c>
      <c r="F10028" s="69">
        <v>6.3497210098481888E-2</v>
      </c>
      <c r="G10028" s="69">
        <v>8.3511390652743087E-2</v>
      </c>
    </row>
    <row r="10029" spans="1:7" x14ac:dyDescent="0.3">
      <c r="A10029" s="24">
        <v>44907</v>
      </c>
      <c r="B10029" s="66">
        <v>1932.6488999999999</v>
      </c>
      <c r="C10029" s="66">
        <v>1212.1500000000001</v>
      </c>
      <c r="D10029" s="70"/>
      <c r="E10029" s="111">
        <f t="shared" si="160"/>
        <v>138710</v>
      </c>
      <c r="F10029" s="69">
        <v>6.3497210098481888E-2</v>
      </c>
      <c r="G10029" s="69">
        <v>8.3477476122433628E-2</v>
      </c>
    </row>
    <row r="10030" spans="1:7" x14ac:dyDescent="0.3">
      <c r="A10030" s="24">
        <v>44908</v>
      </c>
      <c r="B10030" s="66">
        <v>1932.6488999999999</v>
      </c>
      <c r="C10030" s="66">
        <v>1201.3</v>
      </c>
      <c r="D10030" s="70"/>
      <c r="E10030" s="111">
        <f t="shared" si="160"/>
        <v>138710</v>
      </c>
      <c r="F10030" s="69">
        <v>6.3497210098481888E-2</v>
      </c>
      <c r="G10030" s="69">
        <v>8.5384615384615378E-2</v>
      </c>
    </row>
    <row r="10031" spans="1:7" x14ac:dyDescent="0.3">
      <c r="A10031" s="24">
        <v>44909</v>
      </c>
      <c r="B10031" s="66">
        <v>1932.6488999999999</v>
      </c>
      <c r="C10031" s="66">
        <v>1194.99</v>
      </c>
      <c r="D10031" s="70"/>
      <c r="E10031" s="111">
        <f t="shared" si="160"/>
        <v>138710</v>
      </c>
      <c r="F10031" s="69">
        <v>6.3497210098481888E-2</v>
      </c>
      <c r="G10031" s="69">
        <v>8.45282788976294E-2</v>
      </c>
    </row>
    <row r="10032" spans="1:7" x14ac:dyDescent="0.3">
      <c r="A10032" s="24">
        <v>44910</v>
      </c>
      <c r="B10032" s="66">
        <v>1932.6488999999999</v>
      </c>
      <c r="C10032" s="66">
        <v>1136.8599999999999</v>
      </c>
      <c r="D10032" s="70"/>
      <c r="E10032" s="111">
        <f t="shared" si="160"/>
        <v>138710</v>
      </c>
      <c r="F10032" s="69">
        <v>6.3497210098481888E-2</v>
      </c>
      <c r="G10032" s="69">
        <v>8.6391407557302416E-2</v>
      </c>
    </row>
    <row r="10033" spans="1:7" x14ac:dyDescent="0.3">
      <c r="A10033" s="24">
        <v>44911</v>
      </c>
      <c r="B10033" s="66">
        <v>1932.6488999999999</v>
      </c>
      <c r="C10033" s="66">
        <v>1174.83</v>
      </c>
      <c r="D10033" s="70"/>
      <c r="E10033" s="111">
        <f t="shared" si="160"/>
        <v>138710</v>
      </c>
      <c r="F10033" s="69">
        <v>6.3497210098481888E-2</v>
      </c>
      <c r="G10033" s="69">
        <v>8.6268536077346344E-2</v>
      </c>
    </row>
    <row r="10034" spans="1:7" x14ac:dyDescent="0.3">
      <c r="A10034" s="24">
        <v>44912</v>
      </c>
      <c r="B10034" s="66">
        <v>1932.6488999999999</v>
      </c>
      <c r="C10034" s="66">
        <v>1174.83</v>
      </c>
      <c r="D10034" s="70"/>
      <c r="E10034" s="111">
        <f t="shared" si="160"/>
        <v>138710</v>
      </c>
      <c r="F10034" s="69">
        <v>5.3200365217646983E-2</v>
      </c>
      <c r="G10034" s="69">
        <v>7.2279043740479373E-2</v>
      </c>
    </row>
    <row r="10035" spans="1:7" x14ac:dyDescent="0.3">
      <c r="A10035" s="24">
        <v>44913</v>
      </c>
      <c r="B10035" s="66">
        <v>1932.6488999999999</v>
      </c>
      <c r="C10035" s="66">
        <v>1174.83</v>
      </c>
      <c r="D10035" s="70"/>
      <c r="E10035" s="111">
        <f t="shared" si="160"/>
        <v>138710</v>
      </c>
      <c r="F10035" s="69">
        <v>5.3200365217646983E-2</v>
      </c>
      <c r="G10035" s="69">
        <v>7.2279043740479373E-2</v>
      </c>
    </row>
    <row r="10036" spans="1:7" x14ac:dyDescent="0.3">
      <c r="A10036" s="24">
        <v>44914</v>
      </c>
      <c r="B10036" s="66">
        <v>1932.6488999999999</v>
      </c>
      <c r="C10036" s="66">
        <v>1174.9000000000001</v>
      </c>
      <c r="D10036" s="70">
        <v>20</v>
      </c>
      <c r="E10036" s="111">
        <f t="shared" si="160"/>
        <v>138710</v>
      </c>
      <c r="F10036" s="69">
        <v>6.4641303974130204E-2</v>
      </c>
      <c r="G10036" s="69">
        <v>8.8281250000000006E-2</v>
      </c>
    </row>
    <row r="10037" spans="1:7" x14ac:dyDescent="0.3">
      <c r="A10037" s="24">
        <v>44915</v>
      </c>
      <c r="B10037" s="66">
        <v>1932.6488999999999</v>
      </c>
      <c r="C10037" s="66">
        <v>1200</v>
      </c>
      <c r="D10037" s="70"/>
      <c r="E10037" s="111">
        <f t="shared" si="160"/>
        <v>138710</v>
      </c>
      <c r="F10037" s="69">
        <v>6.4641303974130204E-2</v>
      </c>
      <c r="G10037" s="69">
        <v>8.8627450980392153E-2</v>
      </c>
    </row>
    <row r="10038" spans="1:7" x14ac:dyDescent="0.3">
      <c r="A10038" s="24">
        <v>44916</v>
      </c>
      <c r="B10038" s="66">
        <v>1932.6488999999999</v>
      </c>
      <c r="C10038" s="66">
        <v>1211.18</v>
      </c>
      <c r="D10038" s="70"/>
      <c r="E10038" s="111">
        <f t="shared" si="160"/>
        <v>138710</v>
      </c>
      <c r="F10038" s="69">
        <v>6.4641303974130204E-2</v>
      </c>
      <c r="G10038" s="69">
        <v>8.9682539682539683E-2</v>
      </c>
    </row>
    <row r="10039" spans="1:7" x14ac:dyDescent="0.3">
      <c r="A10039" s="24">
        <v>44917</v>
      </c>
      <c r="B10039" s="66">
        <v>1932.6488999999999</v>
      </c>
      <c r="C10039" s="66">
        <v>1230</v>
      </c>
      <c r="D10039" s="70"/>
      <c r="E10039" s="111">
        <f t="shared" si="160"/>
        <v>138710</v>
      </c>
      <c r="F10039" s="69">
        <v>6.4641303974130204E-2</v>
      </c>
      <c r="G10039" s="69">
        <v>8.7902171883751323E-2</v>
      </c>
    </row>
    <row r="10040" spans="1:7" x14ac:dyDescent="0.3">
      <c r="A10040" s="24">
        <v>44918</v>
      </c>
      <c r="B10040" s="66">
        <v>1932.6488999999999</v>
      </c>
      <c r="C10040" s="66">
        <v>1338.95</v>
      </c>
      <c r="D10040" s="70"/>
      <c r="E10040" s="111">
        <f t="shared" si="160"/>
        <v>138710</v>
      </c>
      <c r="F10040" s="69">
        <v>6.4641303974130204E-2</v>
      </c>
      <c r="G10040" s="69">
        <v>8.342869799549632E-2</v>
      </c>
    </row>
    <row r="10041" spans="1:7" x14ac:dyDescent="0.3">
      <c r="A10041" s="24">
        <v>44919</v>
      </c>
      <c r="B10041" s="66">
        <v>1932.6488999999999</v>
      </c>
      <c r="C10041" s="66">
        <v>1338.95</v>
      </c>
      <c r="D10041" s="70"/>
      <c r="E10041" s="111">
        <f t="shared" si="160"/>
        <v>138710</v>
      </c>
      <c r="F10041" s="69">
        <v>6.4641303974130204E-2</v>
      </c>
      <c r="G10041" s="69">
        <v>8.342869799549632E-2</v>
      </c>
    </row>
    <row r="10042" spans="1:7" x14ac:dyDescent="0.3">
      <c r="A10042" s="24">
        <v>44920</v>
      </c>
      <c r="B10042" s="66">
        <v>1932.6488999999999</v>
      </c>
      <c r="C10042" s="66">
        <v>1338.95</v>
      </c>
      <c r="D10042" s="70"/>
      <c r="E10042" s="111">
        <f t="shared" si="160"/>
        <v>138710</v>
      </c>
      <c r="F10042" s="69">
        <v>6.4641303974130204E-2</v>
      </c>
      <c r="G10042" s="69">
        <v>8.342869799549632E-2</v>
      </c>
    </row>
    <row r="10043" spans="1:7" x14ac:dyDescent="0.3">
      <c r="A10043" s="24">
        <v>44921</v>
      </c>
      <c r="B10043" s="66">
        <v>1932.6488999999999</v>
      </c>
      <c r="C10043" s="66">
        <v>1304.94</v>
      </c>
      <c r="D10043" s="70"/>
      <c r="E10043" s="111">
        <f t="shared" si="160"/>
        <v>138710</v>
      </c>
      <c r="F10043" s="69">
        <v>6.4641303974130204E-2</v>
      </c>
      <c r="G10043" s="69">
        <v>8.342869799549632E-2</v>
      </c>
    </row>
    <row r="10044" spans="1:7" x14ac:dyDescent="0.3">
      <c r="A10044" s="24">
        <v>44922</v>
      </c>
      <c r="B10044" s="66">
        <v>1932.6488999999999</v>
      </c>
      <c r="C10044" s="66">
        <v>1360</v>
      </c>
      <c r="D10044" s="70"/>
      <c r="E10044" s="111">
        <f t="shared" si="160"/>
        <v>138710</v>
      </c>
      <c r="F10044" s="69">
        <v>6.4641303974130204E-2</v>
      </c>
      <c r="G10044" s="69">
        <v>8.3923147192287981E-2</v>
      </c>
    </row>
    <row r="10045" spans="1:7" x14ac:dyDescent="0.3">
      <c r="A10045" s="24">
        <v>44923</v>
      </c>
      <c r="B10045" s="66">
        <v>1932.6488999999999</v>
      </c>
      <c r="C10045" s="66">
        <v>1352.92</v>
      </c>
      <c r="D10045" s="70"/>
      <c r="E10045" s="111">
        <f t="shared" si="160"/>
        <v>138710</v>
      </c>
      <c r="F10045" s="69">
        <v>6.4641303974130204E-2</v>
      </c>
      <c r="G10045" s="69">
        <v>8.432835820895522E-2</v>
      </c>
    </row>
    <row r="10046" spans="1:7" x14ac:dyDescent="0.3">
      <c r="A10046" s="24">
        <v>44924</v>
      </c>
      <c r="B10046" s="66">
        <v>1932.6488999999999</v>
      </c>
      <c r="C10046" s="66">
        <v>1380.61</v>
      </c>
      <c r="D10046" s="70"/>
      <c r="E10046" s="111">
        <f t="shared" si="160"/>
        <v>138710</v>
      </c>
      <c r="F10046" s="69">
        <v>6.4641303974130204E-2</v>
      </c>
      <c r="G10046" s="69">
        <v>8.4376213374749862E-2</v>
      </c>
    </row>
    <row r="10047" spans="1:7" x14ac:dyDescent="0.3">
      <c r="A10047" s="24">
        <v>44925</v>
      </c>
      <c r="B10047" s="66">
        <v>1932.6488999999999</v>
      </c>
      <c r="C10047" s="66">
        <v>1391.89</v>
      </c>
      <c r="D10047" s="70"/>
      <c r="E10047" s="111">
        <f t="shared" si="160"/>
        <v>138710</v>
      </c>
      <c r="F10047" s="69">
        <v>6.4641303974130204E-2</v>
      </c>
      <c r="G10047" s="69">
        <v>8.439133681852129E-2</v>
      </c>
    </row>
    <row r="10048" spans="1:7" x14ac:dyDescent="0.3">
      <c r="A10048" s="24">
        <v>44926</v>
      </c>
      <c r="B10048" s="66">
        <v>1932.6488999999999</v>
      </c>
      <c r="C10048" s="66">
        <v>1391.89</v>
      </c>
      <c r="D10048" s="70"/>
      <c r="E10048" s="111">
        <f t="shared" si="160"/>
        <v>138710</v>
      </c>
      <c r="F10048" s="69">
        <v>6.4641303974130204E-2</v>
      </c>
      <c r="G10048" s="69">
        <v>8.439133681852129E-2</v>
      </c>
    </row>
    <row r="10049" spans="1:7" x14ac:dyDescent="0.3">
      <c r="A10049" s="24">
        <v>44927</v>
      </c>
      <c r="B10049" s="66">
        <v>1932.6488999999999</v>
      </c>
      <c r="C10049" s="66">
        <v>1391.89</v>
      </c>
      <c r="D10049" s="70"/>
      <c r="E10049" s="111">
        <f t="shared" si="160"/>
        <v>138710</v>
      </c>
      <c r="F10049" s="69">
        <v>6.4641303974130204E-2</v>
      </c>
      <c r="G10049" s="69">
        <v>8.439133681852129E-2</v>
      </c>
    </row>
    <row r="10050" spans="1:7" x14ac:dyDescent="0.3">
      <c r="A10050" s="24">
        <v>44928</v>
      </c>
      <c r="B10050" s="66">
        <v>1932.6488999999999</v>
      </c>
      <c r="C10050" s="66">
        <v>1391.89</v>
      </c>
      <c r="D10050" s="70"/>
      <c r="E10050" s="111">
        <f t="shared" si="160"/>
        <v>138710</v>
      </c>
      <c r="F10050" s="69">
        <v>6.4641303974130204E-2</v>
      </c>
      <c r="G10050" s="69">
        <v>8.439133681852129E-2</v>
      </c>
    </row>
    <row r="10051" spans="1:7" x14ac:dyDescent="0.3">
      <c r="A10051" s="24">
        <v>44929</v>
      </c>
      <c r="B10051" s="66">
        <v>1932.6488999999999</v>
      </c>
      <c r="C10051" s="66">
        <v>1364.93</v>
      </c>
      <c r="D10051" s="70"/>
      <c r="E10051" s="111">
        <f t="shared" si="160"/>
        <v>138710</v>
      </c>
      <c r="F10051" s="69">
        <v>6.4641303974130204E-2</v>
      </c>
      <c r="G10051" s="69">
        <v>8.439133681852129E-2</v>
      </c>
    </row>
    <row r="10052" spans="1:7" x14ac:dyDescent="0.3">
      <c r="A10052" s="24">
        <v>44930</v>
      </c>
      <c r="B10052" s="66">
        <v>1932.6488999999999</v>
      </c>
      <c r="C10052" s="66">
        <v>1350.39</v>
      </c>
      <c r="D10052" s="70"/>
      <c r="E10052" s="111">
        <f t="shared" si="160"/>
        <v>138710</v>
      </c>
      <c r="F10052" s="69">
        <v>6.4641303974130204E-2</v>
      </c>
      <c r="G10052" s="69">
        <v>8.4887092654637231E-2</v>
      </c>
    </row>
    <row r="10053" spans="1:7" x14ac:dyDescent="0.3">
      <c r="A10053" s="24">
        <v>44931</v>
      </c>
      <c r="B10053" s="66">
        <v>1932.6488999999999</v>
      </c>
      <c r="C10053" s="66">
        <v>1350.44</v>
      </c>
      <c r="D10053" s="70"/>
      <c r="E10053" s="111">
        <f t="shared" si="160"/>
        <v>138710</v>
      </c>
      <c r="F10053" s="69">
        <v>6.4641303974130204E-2</v>
      </c>
      <c r="G10053" s="69">
        <v>8.5299756933436E-2</v>
      </c>
    </row>
    <row r="10054" spans="1:7" x14ac:dyDescent="0.3">
      <c r="A10054" s="24">
        <v>44932</v>
      </c>
      <c r="B10054" s="66">
        <v>1932.6488999999999</v>
      </c>
      <c r="C10054" s="66">
        <v>1367.23</v>
      </c>
      <c r="D10054" s="70"/>
      <c r="E10054" s="111">
        <f t="shared" si="160"/>
        <v>138710</v>
      </c>
      <c r="F10054" s="69">
        <v>6.4641303974130204E-2</v>
      </c>
      <c r="G10054" s="69">
        <v>8.9669018163927652E-2</v>
      </c>
    </row>
    <row r="10055" spans="1:7" x14ac:dyDescent="0.3">
      <c r="A10055" s="24">
        <v>44933</v>
      </c>
      <c r="B10055" s="66">
        <v>1932.6488999999999</v>
      </c>
      <c r="C10055" s="66">
        <v>1367.23</v>
      </c>
      <c r="D10055" s="70"/>
      <c r="E10055" s="111">
        <f t="shared" si="160"/>
        <v>138710</v>
      </c>
      <c r="F10055" s="69">
        <v>6.4641303974130204E-2</v>
      </c>
      <c r="G10055" s="69">
        <v>8.7227702900900067E-2</v>
      </c>
    </row>
    <row r="10056" spans="1:7" x14ac:dyDescent="0.3">
      <c r="A10056" s="24">
        <v>44934</v>
      </c>
      <c r="B10056" s="66">
        <v>1932.6488999999999</v>
      </c>
      <c r="C10056" s="66">
        <v>1367.23</v>
      </c>
      <c r="D10056" s="70"/>
      <c r="E10056" s="111">
        <f t="shared" si="160"/>
        <v>138710</v>
      </c>
      <c r="F10056" s="69">
        <v>6.4641303974130204E-2</v>
      </c>
      <c r="G10056" s="69">
        <v>8.7227702900900067E-2</v>
      </c>
    </row>
    <row r="10057" spans="1:7" x14ac:dyDescent="0.3">
      <c r="A10057" s="24">
        <v>44935</v>
      </c>
      <c r="B10057" s="66">
        <v>1932.6488999999999</v>
      </c>
      <c r="C10057" s="66">
        <v>1350.84</v>
      </c>
      <c r="D10057" s="70"/>
      <c r="E10057" s="111">
        <f t="shared" ref="E10057:E10120" si="161">+E10056</f>
        <v>138710</v>
      </c>
      <c r="F10057" s="69">
        <v>6.4641303974130204E-2</v>
      </c>
      <c r="G10057" s="69">
        <v>8.7227702900900067E-2</v>
      </c>
    </row>
    <row r="10058" spans="1:7" x14ac:dyDescent="0.3">
      <c r="A10058" s="24">
        <v>44936</v>
      </c>
      <c r="B10058" s="66">
        <v>1932.6488999999999</v>
      </c>
      <c r="C10058" s="66">
        <v>1365.46</v>
      </c>
      <c r="D10058" s="70"/>
      <c r="E10058" s="111">
        <f t="shared" si="161"/>
        <v>138710</v>
      </c>
      <c r="F10058" s="69">
        <v>6.4641303974130204E-2</v>
      </c>
      <c r="G10058" s="69">
        <v>8.6193745232646835E-2</v>
      </c>
    </row>
    <row r="10059" spans="1:7" x14ac:dyDescent="0.3">
      <c r="A10059" s="24">
        <v>44937</v>
      </c>
      <c r="B10059" s="66">
        <v>1932.6488999999999</v>
      </c>
      <c r="C10059" s="66">
        <v>1350</v>
      </c>
      <c r="D10059" s="70"/>
      <c r="E10059" s="111">
        <f t="shared" si="161"/>
        <v>138710</v>
      </c>
      <c r="F10059" s="69">
        <v>6.4641303974130204E-2</v>
      </c>
      <c r="G10059" s="69">
        <v>8.3706803955702055E-2</v>
      </c>
    </row>
    <row r="10060" spans="1:7" x14ac:dyDescent="0.3">
      <c r="A10060" s="24">
        <v>44938</v>
      </c>
      <c r="B10060" s="66">
        <v>1932.6488999999999</v>
      </c>
      <c r="C10060" s="66">
        <v>1360.94</v>
      </c>
      <c r="D10060" s="70"/>
      <c r="E10060" s="111">
        <f t="shared" si="161"/>
        <v>138710</v>
      </c>
      <c r="F10060" s="69">
        <v>6.4641303974130204E-2</v>
      </c>
      <c r="G10060" s="69">
        <v>8.3671474691230041E-2</v>
      </c>
    </row>
    <row r="10061" spans="1:7" x14ac:dyDescent="0.3">
      <c r="A10061" s="24">
        <v>44939</v>
      </c>
      <c r="B10061" s="66">
        <v>1932.6488999999999</v>
      </c>
      <c r="C10061" s="66">
        <v>1385</v>
      </c>
      <c r="D10061" s="70"/>
      <c r="E10061" s="111">
        <f t="shared" si="161"/>
        <v>138710</v>
      </c>
      <c r="F10061" s="69">
        <v>6.4641303974130204E-2</v>
      </c>
      <c r="G10061" s="69">
        <v>8.1555472155662695E-2</v>
      </c>
    </row>
    <row r="10062" spans="1:7" x14ac:dyDescent="0.3">
      <c r="A10062" s="24">
        <v>44940</v>
      </c>
      <c r="B10062" s="66">
        <v>1932.6488999999999</v>
      </c>
      <c r="C10062" s="66">
        <v>1385</v>
      </c>
      <c r="D10062" s="70"/>
      <c r="E10062" s="111">
        <f t="shared" si="161"/>
        <v>138710</v>
      </c>
      <c r="F10062" s="69">
        <v>6.4641303974130204E-2</v>
      </c>
      <c r="G10062" s="69">
        <v>8.0673372789513892E-2</v>
      </c>
    </row>
    <row r="10063" spans="1:7" x14ac:dyDescent="0.3">
      <c r="A10063" s="24">
        <v>44941</v>
      </c>
      <c r="B10063" s="66">
        <v>1932.6488999999999</v>
      </c>
      <c r="C10063" s="66">
        <v>1385</v>
      </c>
      <c r="D10063" s="70"/>
      <c r="E10063" s="111">
        <f t="shared" si="161"/>
        <v>138710</v>
      </c>
      <c r="F10063" s="69">
        <v>6.4641303974130204E-2</v>
      </c>
      <c r="G10063" s="69">
        <v>8.0673372789513892E-2</v>
      </c>
    </row>
    <row r="10064" spans="1:7" x14ac:dyDescent="0.3">
      <c r="A10064" s="24">
        <v>44942</v>
      </c>
      <c r="B10064" s="66">
        <v>1932.6488999999999</v>
      </c>
      <c r="C10064" s="66">
        <v>1399.55</v>
      </c>
      <c r="D10064" s="70"/>
      <c r="E10064" s="111">
        <f t="shared" si="161"/>
        <v>138710</v>
      </c>
      <c r="F10064" s="69">
        <v>6.4641303974130204E-2</v>
      </c>
      <c r="G10064" s="69">
        <v>8.0673372789513892E-2</v>
      </c>
    </row>
    <row r="10065" spans="1:7" x14ac:dyDescent="0.3">
      <c r="A10065" s="24">
        <v>44943</v>
      </c>
      <c r="B10065" s="66">
        <v>1932.6488999999999</v>
      </c>
      <c r="C10065" s="66">
        <v>1398.77</v>
      </c>
      <c r="D10065" s="70"/>
      <c r="E10065" s="111">
        <f t="shared" si="161"/>
        <v>138710</v>
      </c>
      <c r="F10065" s="69">
        <v>6.4641303974130204E-2</v>
      </c>
      <c r="G10065" s="69">
        <v>8.0673372789513892E-2</v>
      </c>
    </row>
    <row r="10066" spans="1:7" x14ac:dyDescent="0.3">
      <c r="A10066" s="24">
        <v>44944</v>
      </c>
      <c r="B10066" s="66">
        <v>1932.6488999999999</v>
      </c>
      <c r="C10066" s="66">
        <v>1372.67</v>
      </c>
      <c r="D10066" s="70"/>
      <c r="E10066" s="111">
        <f t="shared" si="161"/>
        <v>138710</v>
      </c>
      <c r="F10066" s="69">
        <v>6.4641303974130204E-2</v>
      </c>
      <c r="G10066" s="69">
        <v>8.0661279730462832E-2</v>
      </c>
    </row>
    <row r="10067" spans="1:7" x14ac:dyDescent="0.3">
      <c r="A10067" s="24">
        <v>44945</v>
      </c>
      <c r="B10067" s="66">
        <v>1932.6488999999999</v>
      </c>
      <c r="C10067" s="66">
        <v>1380</v>
      </c>
      <c r="D10067" s="70"/>
      <c r="E10067" s="111">
        <f t="shared" si="161"/>
        <v>138710</v>
      </c>
      <c r="F10067" s="69">
        <v>6.4641303974130204E-2</v>
      </c>
      <c r="G10067" s="69">
        <v>8.0714285714285711E-2</v>
      </c>
    </row>
    <row r="10068" spans="1:7" x14ac:dyDescent="0.3">
      <c r="A10068" s="24">
        <v>44946</v>
      </c>
      <c r="B10068" s="66">
        <v>1932.6488999999999</v>
      </c>
      <c r="C10068" s="66">
        <v>1394.96</v>
      </c>
      <c r="D10068" s="70"/>
      <c r="E10068" s="111">
        <f t="shared" si="161"/>
        <v>138710</v>
      </c>
      <c r="F10068" s="69">
        <v>6.4641303974130204E-2</v>
      </c>
      <c r="G10068" s="69">
        <v>8.0771979985704068E-2</v>
      </c>
    </row>
    <row r="10069" spans="1:7" x14ac:dyDescent="0.3">
      <c r="A10069" s="24">
        <v>44947</v>
      </c>
      <c r="B10069" s="66">
        <v>1932.6488999999999</v>
      </c>
      <c r="C10069" s="66">
        <v>1394.96</v>
      </c>
      <c r="D10069" s="70"/>
      <c r="E10069" s="111">
        <f t="shared" si="161"/>
        <v>138710</v>
      </c>
      <c r="F10069" s="69">
        <v>6.4641303974130204E-2</v>
      </c>
      <c r="G10069" s="69">
        <v>8.0714285714285711E-2</v>
      </c>
    </row>
    <row r="10070" spans="1:7" x14ac:dyDescent="0.3">
      <c r="A10070" s="24">
        <v>44948</v>
      </c>
      <c r="B10070" s="66">
        <v>1932.6488999999999</v>
      </c>
      <c r="C10070" s="66">
        <v>1394.96</v>
      </c>
      <c r="D10070" s="70"/>
      <c r="E10070" s="111">
        <f t="shared" si="161"/>
        <v>138710</v>
      </c>
      <c r="F10070" s="69">
        <v>6.4641303974130204E-2</v>
      </c>
      <c r="G10070" s="69">
        <v>8.0714285714285711E-2</v>
      </c>
    </row>
    <row r="10071" spans="1:7" x14ac:dyDescent="0.3">
      <c r="A10071" s="24">
        <v>44949</v>
      </c>
      <c r="B10071" s="66">
        <v>1932.6488999999999</v>
      </c>
      <c r="C10071" s="66">
        <v>1361.98</v>
      </c>
      <c r="D10071" s="70"/>
      <c r="E10071" s="111">
        <f t="shared" si="161"/>
        <v>138710</v>
      </c>
      <c r="F10071" s="69">
        <v>6.4641303974130204E-2</v>
      </c>
      <c r="G10071" s="69">
        <v>8.0714285714285711E-2</v>
      </c>
    </row>
    <row r="10072" spans="1:7" x14ac:dyDescent="0.3">
      <c r="A10072" s="24">
        <v>44950</v>
      </c>
      <c r="B10072" s="66">
        <v>1932.6488999999999</v>
      </c>
      <c r="C10072" s="66">
        <v>1352.24</v>
      </c>
      <c r="D10072" s="70"/>
      <c r="E10072" s="111">
        <f t="shared" si="161"/>
        <v>138710</v>
      </c>
      <c r="F10072" s="69">
        <v>6.4641303974130204E-2</v>
      </c>
      <c r="G10072" s="69">
        <v>8.0725817973996292E-2</v>
      </c>
    </row>
    <row r="10073" spans="1:7" x14ac:dyDescent="0.3">
      <c r="A10073" s="24">
        <v>44951</v>
      </c>
      <c r="B10073" s="66">
        <v>1932.6488999999999</v>
      </c>
      <c r="C10073" s="66">
        <v>1330.66</v>
      </c>
      <c r="D10073" s="70"/>
      <c r="E10073" s="111">
        <f t="shared" si="161"/>
        <v>138710</v>
      </c>
      <c r="F10073" s="69">
        <v>6.4641303974130204E-2</v>
      </c>
      <c r="G10073" s="69">
        <v>8.1281514569531657E-2</v>
      </c>
    </row>
    <row r="10074" spans="1:7" x14ac:dyDescent="0.3">
      <c r="A10074" s="24">
        <v>44952</v>
      </c>
      <c r="B10074" s="66">
        <v>1932.6488999999999</v>
      </c>
      <c r="C10074" s="66">
        <v>1357.91</v>
      </c>
      <c r="D10074" s="70"/>
      <c r="E10074" s="111">
        <f t="shared" si="161"/>
        <v>138710</v>
      </c>
      <c r="F10074" s="69">
        <v>6.4641303974130204E-2</v>
      </c>
      <c r="G10074" s="69">
        <v>8.2428804855275442E-2</v>
      </c>
    </row>
    <row r="10075" spans="1:7" x14ac:dyDescent="0.3">
      <c r="A10075" s="24">
        <v>44953</v>
      </c>
      <c r="B10075" s="66">
        <v>1932.6488999999999</v>
      </c>
      <c r="C10075" s="66">
        <v>1359.68</v>
      </c>
      <c r="D10075" s="70"/>
      <c r="E10075" s="111">
        <f t="shared" si="161"/>
        <v>138710</v>
      </c>
      <c r="F10075" s="69">
        <v>6.4641303974130204E-2</v>
      </c>
      <c r="G10075" s="69">
        <v>8.2428804855275442E-2</v>
      </c>
    </row>
    <row r="10076" spans="1:7" x14ac:dyDescent="0.3">
      <c r="A10076" s="24">
        <v>44954</v>
      </c>
      <c r="B10076" s="66">
        <v>1932.6488999999999</v>
      </c>
      <c r="C10076" s="66">
        <v>1359.68</v>
      </c>
      <c r="D10076" s="70"/>
      <c r="E10076" s="111">
        <f t="shared" si="161"/>
        <v>138710</v>
      </c>
      <c r="F10076" s="69">
        <v>6.4641303974130204E-2</v>
      </c>
      <c r="G10076" s="69">
        <v>8.2428804855275442E-2</v>
      </c>
    </row>
    <row r="10077" spans="1:7" x14ac:dyDescent="0.3">
      <c r="A10077" s="24">
        <v>44955</v>
      </c>
      <c r="B10077" s="66">
        <v>1932.6488999999999</v>
      </c>
      <c r="C10077" s="66">
        <v>1359.68</v>
      </c>
      <c r="D10077" s="70"/>
      <c r="E10077" s="111">
        <f t="shared" si="161"/>
        <v>138710</v>
      </c>
      <c r="F10077" s="69">
        <v>6.4641303974130204E-2</v>
      </c>
      <c r="G10077" s="69">
        <v>8.2428804855275442E-2</v>
      </c>
    </row>
    <row r="10078" spans="1:7" x14ac:dyDescent="0.3">
      <c r="A10078" s="24">
        <v>44956</v>
      </c>
      <c r="B10078" s="66">
        <v>1932.6488999999999</v>
      </c>
      <c r="C10078" s="66">
        <v>1350</v>
      </c>
      <c r="D10078" s="70"/>
      <c r="E10078" s="111">
        <f t="shared" si="161"/>
        <v>138710</v>
      </c>
      <c r="F10078" s="69">
        <v>6.4641303974130204E-2</v>
      </c>
      <c r="G10078" s="69">
        <v>8.2428804855275442E-2</v>
      </c>
    </row>
    <row r="10079" spans="1:7" x14ac:dyDescent="0.3">
      <c r="A10079" s="24">
        <v>44957</v>
      </c>
      <c r="B10079" s="66">
        <v>1961.1702</v>
      </c>
      <c r="C10079" s="66">
        <v>1365</v>
      </c>
      <c r="D10079" s="70"/>
      <c r="E10079" s="111">
        <f t="shared" si="161"/>
        <v>138710</v>
      </c>
      <c r="F10079" s="69">
        <v>6.4641303974130204E-2</v>
      </c>
      <c r="G10079" s="69">
        <v>8.2130449318971413E-2</v>
      </c>
    </row>
    <row r="10080" spans="1:7" x14ac:dyDescent="0.3">
      <c r="A10080" s="24">
        <v>44958</v>
      </c>
      <c r="B10080" s="66">
        <f>+B10079</f>
        <v>1961.1702</v>
      </c>
      <c r="C10080" s="66">
        <v>1397.84</v>
      </c>
      <c r="D10080" s="70"/>
      <c r="E10080" s="111">
        <f t="shared" si="161"/>
        <v>138710</v>
      </c>
      <c r="F10080" s="69">
        <v>6.4641303974130204E-2</v>
      </c>
      <c r="G10080" s="69">
        <v>8.0714285714285711E-2</v>
      </c>
    </row>
    <row r="10081" spans="1:7" x14ac:dyDescent="0.3">
      <c r="A10081" s="24">
        <v>44959</v>
      </c>
      <c r="B10081" s="66">
        <f t="shared" ref="B10081:B10144" si="162">+B10080</f>
        <v>1961.1702</v>
      </c>
      <c r="C10081" s="66">
        <v>1390</v>
      </c>
      <c r="D10081" s="70"/>
      <c r="E10081" s="111">
        <f t="shared" si="161"/>
        <v>138710</v>
      </c>
      <c r="F10081" s="69">
        <v>6.4641303974130204E-2</v>
      </c>
      <c r="G10081" s="69">
        <v>8.0765052318600275E-2</v>
      </c>
    </row>
    <row r="10082" spans="1:7" x14ac:dyDescent="0.3">
      <c r="A10082" s="24">
        <v>44960</v>
      </c>
      <c r="B10082" s="66">
        <f t="shared" si="162"/>
        <v>1961.1702</v>
      </c>
      <c r="C10082" s="66">
        <v>1390</v>
      </c>
      <c r="D10082" s="70"/>
      <c r="E10082" s="111">
        <f t="shared" si="161"/>
        <v>138710</v>
      </c>
      <c r="F10082" s="69">
        <v>6.4641303974130204E-2</v>
      </c>
      <c r="G10082" s="69">
        <v>8.0765052318600275E-2</v>
      </c>
    </row>
    <row r="10083" spans="1:7" x14ac:dyDescent="0.3">
      <c r="A10083" s="24">
        <v>44961</v>
      </c>
      <c r="B10083" s="66">
        <f t="shared" si="162"/>
        <v>1961.1702</v>
      </c>
      <c r="C10083" s="66">
        <v>1390</v>
      </c>
      <c r="D10083" s="70"/>
      <c r="E10083" s="111">
        <f t="shared" si="161"/>
        <v>138710</v>
      </c>
      <c r="F10083" s="69">
        <v>6.4641303974130204E-2</v>
      </c>
      <c r="G10083" s="69">
        <v>8.0765052318600275E-2</v>
      </c>
    </row>
    <row r="10084" spans="1:7" x14ac:dyDescent="0.3">
      <c r="A10084" s="24">
        <v>44962</v>
      </c>
      <c r="B10084" s="66">
        <f t="shared" si="162"/>
        <v>1961.1702</v>
      </c>
      <c r="C10084" s="66">
        <v>1390</v>
      </c>
      <c r="D10084" s="70"/>
      <c r="E10084" s="111">
        <f t="shared" si="161"/>
        <v>138710</v>
      </c>
      <c r="F10084" s="69">
        <v>6.4641303974130204E-2</v>
      </c>
      <c r="G10084" s="69">
        <v>8.0765052318600275E-2</v>
      </c>
    </row>
    <row r="10085" spans="1:7" x14ac:dyDescent="0.3">
      <c r="A10085" s="24">
        <v>44963</v>
      </c>
      <c r="B10085" s="66">
        <f t="shared" si="162"/>
        <v>1961.1702</v>
      </c>
      <c r="C10085" s="66">
        <v>1398.88</v>
      </c>
      <c r="D10085" s="70"/>
      <c r="E10085" s="111">
        <f t="shared" si="161"/>
        <v>138710</v>
      </c>
      <c r="F10085" s="69">
        <v>6.4641303974130204E-2</v>
      </c>
      <c r="G10085" s="69">
        <v>8.0765052318600275E-2</v>
      </c>
    </row>
    <row r="10086" spans="1:7" x14ac:dyDescent="0.3">
      <c r="A10086" s="24">
        <v>44964</v>
      </c>
      <c r="B10086" s="66">
        <f t="shared" si="162"/>
        <v>1961.1702</v>
      </c>
      <c r="C10086" s="66">
        <v>1423.3</v>
      </c>
      <c r="D10086" s="70"/>
      <c r="E10086" s="111">
        <f t="shared" si="161"/>
        <v>138710</v>
      </c>
      <c r="F10086" s="69">
        <v>6.4641303974130204E-2</v>
      </c>
      <c r="G10086" s="69">
        <v>8.074312254376563E-2</v>
      </c>
    </row>
    <row r="10087" spans="1:7" x14ac:dyDescent="0.3">
      <c r="A10087" s="24">
        <v>44965</v>
      </c>
      <c r="B10087" s="66">
        <f t="shared" si="162"/>
        <v>1961.1702</v>
      </c>
      <c r="C10087" s="66">
        <v>1401.54</v>
      </c>
      <c r="D10087" s="70"/>
      <c r="E10087" s="111">
        <f t="shared" si="161"/>
        <v>138710</v>
      </c>
      <c r="F10087" s="69">
        <v>6.4641303974130204E-2</v>
      </c>
      <c r="G10087" s="69">
        <v>8.0765052318600275E-2</v>
      </c>
    </row>
    <row r="10088" spans="1:7" x14ac:dyDescent="0.3">
      <c r="A10088" s="24">
        <v>44966</v>
      </c>
      <c r="B10088" s="66">
        <f t="shared" si="162"/>
        <v>1961.1702</v>
      </c>
      <c r="C10088" s="66">
        <v>1402.06</v>
      </c>
      <c r="D10088" s="70"/>
      <c r="E10088" s="111">
        <f t="shared" si="161"/>
        <v>138710</v>
      </c>
      <c r="F10088" s="69">
        <v>6.4641303974130204E-2</v>
      </c>
      <c r="G10088" s="69">
        <v>8.1294964028776978E-2</v>
      </c>
    </row>
    <row r="10089" spans="1:7" x14ac:dyDescent="0.3">
      <c r="A10089" s="24">
        <v>44967</v>
      </c>
      <c r="B10089" s="66">
        <f t="shared" si="162"/>
        <v>1961.1702</v>
      </c>
      <c r="C10089" s="66">
        <v>1390.03</v>
      </c>
      <c r="D10089" s="70"/>
      <c r="E10089" s="111">
        <f t="shared" si="161"/>
        <v>138710</v>
      </c>
      <c r="F10089" s="69">
        <v>6.4641303974130204E-2</v>
      </c>
      <c r="G10089" s="69">
        <v>8.1294964028776978E-2</v>
      </c>
    </row>
    <row r="10090" spans="1:7" x14ac:dyDescent="0.3">
      <c r="A10090" s="24">
        <v>44968</v>
      </c>
      <c r="B10090" s="66">
        <f t="shared" si="162"/>
        <v>1961.1702</v>
      </c>
      <c r="C10090" s="66">
        <v>1390.03</v>
      </c>
      <c r="D10090" s="70"/>
      <c r="E10090" s="111">
        <f t="shared" si="161"/>
        <v>138710</v>
      </c>
      <c r="F10090" s="69">
        <v>6.4641303974130204E-2</v>
      </c>
      <c r="G10090" s="69">
        <v>8.0900356534314641E-2</v>
      </c>
    </row>
    <row r="10091" spans="1:7" x14ac:dyDescent="0.3">
      <c r="A10091" s="24">
        <v>44969</v>
      </c>
      <c r="B10091" s="66">
        <f t="shared" si="162"/>
        <v>1961.1702</v>
      </c>
      <c r="C10091" s="66">
        <v>1390.03</v>
      </c>
      <c r="D10091" s="70"/>
      <c r="E10091" s="111">
        <f t="shared" si="161"/>
        <v>138710</v>
      </c>
      <c r="F10091" s="69">
        <v>6.4641303974130204E-2</v>
      </c>
      <c r="G10091" s="69">
        <v>8.0900356534314641E-2</v>
      </c>
    </row>
    <row r="10092" spans="1:7" x14ac:dyDescent="0.3">
      <c r="A10092" s="24">
        <v>44970</v>
      </c>
      <c r="B10092" s="66">
        <f t="shared" si="162"/>
        <v>1961.1702</v>
      </c>
      <c r="C10092" s="66">
        <v>1390</v>
      </c>
      <c r="D10092" s="70"/>
      <c r="E10092" s="111">
        <f t="shared" si="161"/>
        <v>138710</v>
      </c>
      <c r="F10092" s="69">
        <v>6.4641303974130204E-2</v>
      </c>
      <c r="G10092" s="69">
        <v>8.0900356534314641E-2</v>
      </c>
    </row>
    <row r="10093" spans="1:7" x14ac:dyDescent="0.3">
      <c r="A10093" s="24">
        <v>44971</v>
      </c>
      <c r="B10093" s="66">
        <f t="shared" si="162"/>
        <v>1961.1702</v>
      </c>
      <c r="C10093" s="66">
        <v>1390.01</v>
      </c>
      <c r="D10093" s="70"/>
      <c r="E10093" s="111">
        <f t="shared" si="161"/>
        <v>138710</v>
      </c>
      <c r="F10093" s="69">
        <v>6.4641303974130204E-2</v>
      </c>
      <c r="G10093" s="69">
        <v>8.0844792307582236E-2</v>
      </c>
    </row>
    <row r="10094" spans="1:7" x14ac:dyDescent="0.3">
      <c r="A10094" s="24">
        <v>44972</v>
      </c>
      <c r="B10094" s="66">
        <f t="shared" si="162"/>
        <v>1961.1702</v>
      </c>
      <c r="C10094" s="66">
        <v>1407.6</v>
      </c>
      <c r="D10094" s="70"/>
      <c r="E10094" s="111">
        <f t="shared" si="161"/>
        <v>138710</v>
      </c>
      <c r="F10094" s="69">
        <v>6.4641303974130204E-2</v>
      </c>
      <c r="G10094" s="69">
        <v>8.0714285714285711E-2</v>
      </c>
    </row>
    <row r="10095" spans="1:7" x14ac:dyDescent="0.3">
      <c r="A10095" s="24">
        <v>44973</v>
      </c>
      <c r="B10095" s="66">
        <f t="shared" si="162"/>
        <v>1961.1702</v>
      </c>
      <c r="C10095" s="66">
        <v>1400</v>
      </c>
      <c r="E10095" s="111">
        <f t="shared" si="161"/>
        <v>138710</v>
      </c>
      <c r="F10095" s="69">
        <v>6.4641303974130204E-2</v>
      </c>
      <c r="G10095" s="69">
        <v>8.5261783857605286E-2</v>
      </c>
    </row>
    <row r="10096" spans="1:7" x14ac:dyDescent="0.3">
      <c r="A10096" s="24">
        <v>44974</v>
      </c>
      <c r="B10096" s="66">
        <f t="shared" si="162"/>
        <v>1961.1702</v>
      </c>
      <c r="C10096" s="66">
        <v>1397.06</v>
      </c>
      <c r="E10096" s="111">
        <f t="shared" si="161"/>
        <v>138710</v>
      </c>
      <c r="F10096" s="69">
        <v>6.4641303974130204E-2</v>
      </c>
      <c r="G10096" s="69">
        <v>8.8353727667227017E-2</v>
      </c>
    </row>
    <row r="10097" spans="1:7" x14ac:dyDescent="0.3">
      <c r="A10097" s="24">
        <v>44975</v>
      </c>
      <c r="B10097" s="66">
        <f t="shared" si="162"/>
        <v>1961.1702</v>
      </c>
      <c r="C10097" s="66">
        <v>1397.06</v>
      </c>
      <c r="E10097" s="111">
        <f t="shared" si="161"/>
        <v>138710</v>
      </c>
      <c r="F10097" s="69">
        <v>6.4641303974130204E-2</v>
      </c>
      <c r="G10097" s="69">
        <v>8.8353727667227017E-2</v>
      </c>
    </row>
    <row r="10098" spans="1:7" x14ac:dyDescent="0.3">
      <c r="A10098" s="24">
        <v>44976</v>
      </c>
      <c r="B10098" s="66">
        <f t="shared" si="162"/>
        <v>1961.1702</v>
      </c>
      <c r="C10098" s="66">
        <v>1397.06</v>
      </c>
      <c r="E10098" s="111">
        <f t="shared" si="161"/>
        <v>138710</v>
      </c>
      <c r="F10098" s="69">
        <v>6.4641303974130204E-2</v>
      </c>
      <c r="G10098" s="69">
        <v>8.8353727667227017E-2</v>
      </c>
    </row>
    <row r="10099" spans="1:7" x14ac:dyDescent="0.3">
      <c r="A10099" s="24">
        <v>44977</v>
      </c>
      <c r="B10099" s="66">
        <f t="shared" si="162"/>
        <v>1961.1702</v>
      </c>
      <c r="C10099" s="66">
        <v>1376.13</v>
      </c>
      <c r="E10099" s="111">
        <f t="shared" si="161"/>
        <v>138710</v>
      </c>
      <c r="F10099" s="69">
        <v>6.4641303974130204E-2</v>
      </c>
      <c r="G10099" s="69">
        <v>8.8353727667227017E-2</v>
      </c>
    </row>
    <row r="10100" spans="1:7" x14ac:dyDescent="0.3">
      <c r="A10100" s="24">
        <v>44978</v>
      </c>
      <c r="B10100" s="66">
        <f t="shared" si="162"/>
        <v>1961.1702</v>
      </c>
      <c r="C10100" s="66">
        <v>1395.23</v>
      </c>
      <c r="E10100" s="111">
        <f t="shared" si="161"/>
        <v>138710</v>
      </c>
      <c r="F10100" s="69">
        <v>6.4641303974130204E-2</v>
      </c>
      <c r="G10100" s="69">
        <v>8.439133681852129E-2</v>
      </c>
    </row>
    <row r="10101" spans="1:7" x14ac:dyDescent="0.3">
      <c r="A10101" s="24">
        <v>44979</v>
      </c>
      <c r="B10101" s="66">
        <f t="shared" si="162"/>
        <v>1961.1702</v>
      </c>
      <c r="C10101" s="66">
        <v>1400</v>
      </c>
      <c r="E10101" s="111">
        <f t="shared" si="161"/>
        <v>138710</v>
      </c>
      <c r="F10101" s="69">
        <v>6.4641303974130204E-2</v>
      </c>
      <c r="G10101" s="69">
        <v>8.6696332668405707E-2</v>
      </c>
    </row>
    <row r="10102" spans="1:7" x14ac:dyDescent="0.3">
      <c r="A10102" s="24">
        <v>44980</v>
      </c>
      <c r="B10102" s="66">
        <f t="shared" si="162"/>
        <v>1961.1702</v>
      </c>
      <c r="C10102" s="66">
        <v>1400</v>
      </c>
      <c r="E10102" s="111">
        <f t="shared" si="161"/>
        <v>138710</v>
      </c>
      <c r="F10102" s="69">
        <v>6.4641303974130204E-2</v>
      </c>
      <c r="G10102" s="69">
        <v>8.6923076923076922E-2</v>
      </c>
    </row>
    <row r="10103" spans="1:7" x14ac:dyDescent="0.3">
      <c r="A10103" s="24">
        <v>44981</v>
      </c>
      <c r="B10103" s="66">
        <f t="shared" si="162"/>
        <v>1961.1702</v>
      </c>
      <c r="C10103" s="66">
        <v>1407.49</v>
      </c>
      <c r="E10103" s="111">
        <f t="shared" si="161"/>
        <v>138710</v>
      </c>
      <c r="F10103" s="69">
        <v>6.4641303974130204E-2</v>
      </c>
      <c r="G10103" s="69">
        <v>8.6923076923076922E-2</v>
      </c>
    </row>
    <row r="10104" spans="1:7" x14ac:dyDescent="0.3">
      <c r="A10104" s="24">
        <v>44982</v>
      </c>
      <c r="B10104" s="66">
        <f t="shared" si="162"/>
        <v>1961.1702</v>
      </c>
      <c r="C10104" s="66">
        <v>1407.49</v>
      </c>
      <c r="E10104" s="111">
        <f t="shared" si="161"/>
        <v>138710</v>
      </c>
      <c r="F10104" s="69">
        <v>6.4641303974130204E-2</v>
      </c>
      <c r="G10104" s="69">
        <v>8.6933776464795678E-2</v>
      </c>
    </row>
    <row r="10105" spans="1:7" x14ac:dyDescent="0.3">
      <c r="A10105" s="24">
        <v>44983</v>
      </c>
      <c r="B10105" s="66">
        <f t="shared" si="162"/>
        <v>1961.1702</v>
      </c>
      <c r="C10105" s="66">
        <v>1407.49</v>
      </c>
      <c r="E10105" s="111">
        <f t="shared" si="161"/>
        <v>138710</v>
      </c>
      <c r="F10105" s="69">
        <v>6.4641303974130204E-2</v>
      </c>
      <c r="G10105" s="69">
        <v>8.6933776464795678E-2</v>
      </c>
    </row>
    <row r="10106" spans="1:7" x14ac:dyDescent="0.3">
      <c r="A10106" s="24">
        <v>44984</v>
      </c>
      <c r="B10106" s="66">
        <f t="shared" si="162"/>
        <v>1961.1702</v>
      </c>
      <c r="C10106" s="66">
        <v>1417.26</v>
      </c>
      <c r="E10106" s="111">
        <f t="shared" si="161"/>
        <v>138710</v>
      </c>
      <c r="F10106" s="69">
        <v>6.4641303974130204E-2</v>
      </c>
      <c r="G10106" s="69">
        <v>8.6933776464795678E-2</v>
      </c>
    </row>
    <row r="10107" spans="1:7" x14ac:dyDescent="0.3">
      <c r="A10107" s="24">
        <v>44985</v>
      </c>
      <c r="B10107" s="66">
        <v>1999.8797</v>
      </c>
      <c r="C10107" s="66">
        <v>1417.26</v>
      </c>
      <c r="E10107" s="111">
        <f t="shared" si="161"/>
        <v>138710</v>
      </c>
      <c r="F10107" s="69">
        <v>6.4641303974130204E-2</v>
      </c>
      <c r="G10107" s="69">
        <v>8.7083847102342793E-2</v>
      </c>
    </row>
    <row r="10108" spans="1:7" x14ac:dyDescent="0.3">
      <c r="A10108" s="24">
        <v>44986</v>
      </c>
      <c r="B10108" s="66">
        <f t="shared" si="162"/>
        <v>1999.8797</v>
      </c>
      <c r="C10108" s="66">
        <v>1415.87</v>
      </c>
      <c r="E10108" s="111">
        <f t="shared" si="161"/>
        <v>138710</v>
      </c>
      <c r="F10108" s="69">
        <v>6.4641303974130204E-2</v>
      </c>
      <c r="G10108" s="69">
        <v>8.7636981254992585E-2</v>
      </c>
    </row>
    <row r="10109" spans="1:7" x14ac:dyDescent="0.3">
      <c r="A10109" s="24">
        <v>44987</v>
      </c>
      <c r="B10109" s="66">
        <f t="shared" si="162"/>
        <v>1999.8797</v>
      </c>
      <c r="C10109" s="66">
        <v>1416.8</v>
      </c>
      <c r="E10109" s="111">
        <f t="shared" si="161"/>
        <v>138710</v>
      </c>
      <c r="F10109" s="69">
        <v>6.4641303974130204E-2</v>
      </c>
      <c r="G10109" s="69">
        <v>8.7268121650217023E-2</v>
      </c>
    </row>
    <row r="10110" spans="1:7" x14ac:dyDescent="0.3">
      <c r="A10110" s="24">
        <v>44988</v>
      </c>
      <c r="B10110" s="66">
        <f t="shared" si="162"/>
        <v>1999.8797</v>
      </c>
      <c r="C10110" s="66">
        <v>1399.61</v>
      </c>
      <c r="E10110" s="111">
        <f t="shared" si="161"/>
        <v>138710</v>
      </c>
      <c r="F10110" s="69">
        <v>6.4641303974130204E-2</v>
      </c>
      <c r="G10110" s="69">
        <v>8.7157732356343998E-2</v>
      </c>
    </row>
    <row r="10111" spans="1:7" x14ac:dyDescent="0.3">
      <c r="A10111" s="24">
        <v>44989</v>
      </c>
      <c r="B10111" s="66">
        <f t="shared" si="162"/>
        <v>1999.8797</v>
      </c>
      <c r="C10111" s="66">
        <v>1399.61</v>
      </c>
      <c r="E10111" s="111">
        <f t="shared" si="161"/>
        <v>138710</v>
      </c>
      <c r="F10111" s="69">
        <v>6.4641303974130204E-2</v>
      </c>
      <c r="G10111" s="69">
        <v>8.7670977802949773E-2</v>
      </c>
    </row>
    <row r="10112" spans="1:7" x14ac:dyDescent="0.3">
      <c r="A10112" s="24">
        <v>44990</v>
      </c>
      <c r="B10112" s="66">
        <f t="shared" si="162"/>
        <v>1999.8797</v>
      </c>
      <c r="C10112" s="66">
        <v>1399.61</v>
      </c>
      <c r="E10112" s="111">
        <f t="shared" si="161"/>
        <v>138710</v>
      </c>
      <c r="F10112" s="69">
        <v>6.4641303974130204E-2</v>
      </c>
      <c r="G10112" s="69">
        <v>8.7670977802949773E-2</v>
      </c>
    </row>
    <row r="10113" spans="1:7" x14ac:dyDescent="0.3">
      <c r="A10113" s="24">
        <v>44991</v>
      </c>
      <c r="B10113" s="66">
        <f t="shared" si="162"/>
        <v>1999.8797</v>
      </c>
      <c r="C10113" s="66">
        <v>1399.97</v>
      </c>
      <c r="E10113" s="111">
        <f t="shared" si="161"/>
        <v>138710</v>
      </c>
      <c r="F10113" s="69">
        <v>6.4641303974130204E-2</v>
      </c>
      <c r="G10113" s="69">
        <v>8.7670977802949773E-2</v>
      </c>
    </row>
    <row r="10114" spans="1:7" x14ac:dyDescent="0.3">
      <c r="A10114" s="24">
        <v>44992</v>
      </c>
      <c r="B10114" s="66">
        <f t="shared" si="162"/>
        <v>1999.8797</v>
      </c>
      <c r="C10114" s="66">
        <v>1393.49</v>
      </c>
      <c r="E10114" s="111">
        <f t="shared" si="161"/>
        <v>138710</v>
      </c>
      <c r="F10114" s="69">
        <v>6.4641303974130204E-2</v>
      </c>
      <c r="G10114" s="69">
        <v>8.8784826437449907E-2</v>
      </c>
    </row>
    <row r="10115" spans="1:7" x14ac:dyDescent="0.3">
      <c r="A10115" s="24">
        <v>44993</v>
      </c>
      <c r="B10115" s="66">
        <f t="shared" si="162"/>
        <v>1999.8797</v>
      </c>
      <c r="C10115" s="66">
        <v>1400</v>
      </c>
      <c r="E10115" s="111">
        <f t="shared" si="161"/>
        <v>138710</v>
      </c>
      <c r="F10115" s="69">
        <v>6.4641303974130204E-2</v>
      </c>
      <c r="G10115" s="69">
        <v>8.7630864676231102E-2</v>
      </c>
    </row>
    <row r="10116" spans="1:7" x14ac:dyDescent="0.3">
      <c r="A10116" s="24">
        <v>44994</v>
      </c>
      <c r="B10116" s="66">
        <f t="shared" si="162"/>
        <v>1999.8797</v>
      </c>
      <c r="C10116" s="66">
        <v>1400</v>
      </c>
      <c r="E10116" s="111">
        <f t="shared" si="161"/>
        <v>138710</v>
      </c>
      <c r="F10116" s="69">
        <v>6.4641303974130204E-2</v>
      </c>
      <c r="G10116" s="69">
        <v>8.8092676614122886E-2</v>
      </c>
    </row>
    <row r="10117" spans="1:7" x14ac:dyDescent="0.3">
      <c r="A10117" s="24">
        <v>44995</v>
      </c>
      <c r="B10117" s="66">
        <f t="shared" si="162"/>
        <v>1999.8797</v>
      </c>
      <c r="C10117" s="66">
        <v>1400</v>
      </c>
      <c r="E10117" s="111">
        <f t="shared" si="161"/>
        <v>138710</v>
      </c>
      <c r="F10117" s="69">
        <v>6.4641303974130204E-2</v>
      </c>
      <c r="G10117" s="69">
        <v>8.4883904359126516E-2</v>
      </c>
    </row>
    <row r="10118" spans="1:7" x14ac:dyDescent="0.3">
      <c r="A10118" s="24">
        <v>44996</v>
      </c>
      <c r="B10118" s="66">
        <f t="shared" si="162"/>
        <v>1999.8797</v>
      </c>
      <c r="C10118" s="66">
        <v>1400</v>
      </c>
      <c r="E10118" s="111">
        <f t="shared" si="161"/>
        <v>138710</v>
      </c>
      <c r="F10118" s="69">
        <v>6.4641303974130204E-2</v>
      </c>
      <c r="G10118" s="69">
        <v>8.4883904359126516E-2</v>
      </c>
    </row>
    <row r="10119" spans="1:7" x14ac:dyDescent="0.3">
      <c r="A10119" s="24">
        <v>44997</v>
      </c>
      <c r="B10119" s="66">
        <f t="shared" si="162"/>
        <v>1999.8797</v>
      </c>
      <c r="C10119" s="66">
        <v>1400</v>
      </c>
      <c r="E10119" s="111">
        <f t="shared" si="161"/>
        <v>138710</v>
      </c>
      <c r="F10119" s="69">
        <v>6.4641303974130204E-2</v>
      </c>
      <c r="G10119" s="69">
        <v>8.4883904359126516E-2</v>
      </c>
    </row>
    <row r="10120" spans="1:7" x14ac:dyDescent="0.3">
      <c r="A10120" s="24">
        <v>44998</v>
      </c>
      <c r="B10120" s="66">
        <f t="shared" si="162"/>
        <v>1999.8797</v>
      </c>
      <c r="C10120" s="66">
        <v>1395.05</v>
      </c>
      <c r="E10120" s="111">
        <f t="shared" si="161"/>
        <v>138710</v>
      </c>
      <c r="F10120" s="69">
        <v>6.4641303974130204E-2</v>
      </c>
      <c r="G10120" s="69">
        <v>8.4883904359126516E-2</v>
      </c>
    </row>
    <row r="10121" spans="1:7" x14ac:dyDescent="0.3">
      <c r="A10121" s="24">
        <v>44999</v>
      </c>
      <c r="B10121" s="66">
        <f t="shared" si="162"/>
        <v>1999.8797</v>
      </c>
      <c r="C10121" s="66">
        <v>1375.42</v>
      </c>
      <c r="E10121" s="111">
        <f t="shared" ref="E10121:E10184" si="163">+E10120</f>
        <v>138710</v>
      </c>
      <c r="F10121" s="69">
        <v>6.4641303974130204E-2</v>
      </c>
      <c r="G10121" s="69">
        <v>8.4639756716876277E-2</v>
      </c>
    </row>
    <row r="10122" spans="1:7" x14ac:dyDescent="0.3">
      <c r="A10122" s="24">
        <v>45000</v>
      </c>
      <c r="B10122" s="66">
        <f t="shared" si="162"/>
        <v>1999.8797</v>
      </c>
      <c r="C10122" s="66">
        <v>1377.07</v>
      </c>
      <c r="E10122" s="111">
        <f t="shared" si="163"/>
        <v>138710</v>
      </c>
      <c r="F10122" s="69">
        <v>6.4641303974130204E-2</v>
      </c>
      <c r="G10122" s="69">
        <v>8.2342310831292995E-2</v>
      </c>
    </row>
    <row r="10123" spans="1:7" x14ac:dyDescent="0.3">
      <c r="A10123" s="24">
        <v>45001</v>
      </c>
      <c r="B10123" s="66">
        <f t="shared" si="162"/>
        <v>1999.8797</v>
      </c>
      <c r="C10123" s="66">
        <v>1350</v>
      </c>
      <c r="E10123" s="111">
        <f t="shared" si="163"/>
        <v>138710</v>
      </c>
      <c r="F10123" s="69">
        <v>6.4641303974130204E-2</v>
      </c>
      <c r="G10123" s="69">
        <v>8.1707616885276724E-2</v>
      </c>
    </row>
    <row r="10124" spans="1:7" x14ac:dyDescent="0.3">
      <c r="A10124" s="24">
        <v>45002</v>
      </c>
      <c r="B10124" s="66">
        <f t="shared" si="162"/>
        <v>1999.8797</v>
      </c>
      <c r="C10124" s="66">
        <v>1339.08</v>
      </c>
      <c r="E10124" s="111">
        <f t="shared" si="163"/>
        <v>138710</v>
      </c>
      <c r="F10124" s="69">
        <v>6.4641303974130204E-2</v>
      </c>
      <c r="G10124" s="69">
        <v>8.0714285714285711E-2</v>
      </c>
    </row>
    <row r="10125" spans="1:7" x14ac:dyDescent="0.3">
      <c r="A10125" s="24">
        <v>45003</v>
      </c>
      <c r="B10125" s="66">
        <f t="shared" si="162"/>
        <v>1999.8797</v>
      </c>
      <c r="C10125" s="66">
        <v>1339.08</v>
      </c>
      <c r="E10125" s="111">
        <f t="shared" si="163"/>
        <v>138710</v>
      </c>
      <c r="F10125" s="69">
        <v>6.4641303974130204E-2</v>
      </c>
      <c r="G10125" s="69">
        <v>8.1237688536139982E-2</v>
      </c>
    </row>
    <row r="10126" spans="1:7" x14ac:dyDescent="0.3">
      <c r="A10126" s="24">
        <v>45004</v>
      </c>
      <c r="B10126" s="66">
        <f t="shared" si="162"/>
        <v>1999.8797</v>
      </c>
      <c r="C10126" s="66">
        <v>1339.08</v>
      </c>
      <c r="E10126" s="111">
        <f t="shared" si="163"/>
        <v>138710</v>
      </c>
      <c r="F10126" s="69">
        <v>6.4641303974130204E-2</v>
      </c>
      <c r="G10126" s="69">
        <v>8.1237688536139982E-2</v>
      </c>
    </row>
    <row r="10127" spans="1:7" x14ac:dyDescent="0.3">
      <c r="A10127" s="24">
        <v>45005</v>
      </c>
      <c r="B10127" s="66">
        <f t="shared" si="162"/>
        <v>1999.8797</v>
      </c>
      <c r="C10127" s="66">
        <v>1330.91</v>
      </c>
      <c r="E10127" s="111">
        <f t="shared" si="163"/>
        <v>138710</v>
      </c>
      <c r="F10127" s="69">
        <v>6.4641303974130204E-2</v>
      </c>
      <c r="G10127" s="69">
        <v>8.1237688536139982E-2</v>
      </c>
    </row>
    <row r="10128" spans="1:7" x14ac:dyDescent="0.3">
      <c r="A10128" s="24">
        <v>45006</v>
      </c>
      <c r="B10128" s="66">
        <f t="shared" si="162"/>
        <v>1999.8797</v>
      </c>
      <c r="C10128" s="66">
        <v>1349</v>
      </c>
      <c r="E10128" s="111">
        <f t="shared" si="163"/>
        <v>138710</v>
      </c>
      <c r="F10128" s="69">
        <v>6.4641303974130204E-2</v>
      </c>
      <c r="G10128" s="69">
        <v>8.0714285714285711E-2</v>
      </c>
    </row>
    <row r="10129" spans="1:7" x14ac:dyDescent="0.3">
      <c r="A10129" s="24">
        <v>45007</v>
      </c>
      <c r="B10129" s="66">
        <f t="shared" si="162"/>
        <v>1999.8797</v>
      </c>
      <c r="C10129" s="66">
        <v>1352.83</v>
      </c>
      <c r="E10129" s="111">
        <f t="shared" si="163"/>
        <v>138710</v>
      </c>
      <c r="F10129" s="69">
        <v>6.4641303974130204E-2</v>
      </c>
      <c r="G10129" s="69">
        <v>8.0714285714285711E-2</v>
      </c>
    </row>
    <row r="10130" spans="1:7" x14ac:dyDescent="0.3">
      <c r="A10130" s="24">
        <v>45008</v>
      </c>
      <c r="B10130" s="66">
        <f t="shared" si="162"/>
        <v>1999.8797</v>
      </c>
      <c r="C10130" s="66">
        <v>1358.22</v>
      </c>
      <c r="E10130" s="111">
        <f t="shared" si="163"/>
        <v>138710</v>
      </c>
      <c r="F10130" s="69">
        <v>6.409946239837612E-2</v>
      </c>
      <c r="G10130" s="69">
        <v>8.0714285714285711E-2</v>
      </c>
    </row>
    <row r="10131" spans="1:7" x14ac:dyDescent="0.3">
      <c r="A10131" s="24">
        <v>45009</v>
      </c>
      <c r="B10131" s="66">
        <f t="shared" si="162"/>
        <v>1999.8797</v>
      </c>
      <c r="C10131" s="66">
        <v>1391.81</v>
      </c>
      <c r="E10131" s="111">
        <f t="shared" si="163"/>
        <v>138710</v>
      </c>
      <c r="F10131" s="69">
        <v>6.409946239837612E-2</v>
      </c>
      <c r="G10131" s="69">
        <v>8.0905569596689306E-2</v>
      </c>
    </row>
    <row r="10132" spans="1:7" x14ac:dyDescent="0.3">
      <c r="A10132" s="24">
        <v>45010</v>
      </c>
      <c r="B10132" s="66">
        <f t="shared" si="162"/>
        <v>1999.8797</v>
      </c>
      <c r="C10132" s="66">
        <v>1391.81</v>
      </c>
      <c r="E10132" s="111">
        <f t="shared" si="163"/>
        <v>138710</v>
      </c>
      <c r="F10132" s="69">
        <v>6.409946239837612E-2</v>
      </c>
      <c r="G10132" s="69">
        <v>7.9515867989585542E-2</v>
      </c>
    </row>
    <row r="10133" spans="1:7" x14ac:dyDescent="0.3">
      <c r="A10133" s="24">
        <v>45011</v>
      </c>
      <c r="B10133" s="66">
        <f t="shared" si="162"/>
        <v>1999.8797</v>
      </c>
      <c r="C10133" s="66">
        <v>1391.81</v>
      </c>
      <c r="E10133" s="111">
        <f t="shared" si="163"/>
        <v>138710</v>
      </c>
      <c r="F10133" s="69">
        <v>6.409946239837612E-2</v>
      </c>
      <c r="G10133" s="69">
        <v>7.9515867989585542E-2</v>
      </c>
    </row>
    <row r="10134" spans="1:7" x14ac:dyDescent="0.3">
      <c r="A10134" s="24">
        <v>45012</v>
      </c>
      <c r="B10134" s="66">
        <f t="shared" si="162"/>
        <v>1999.8797</v>
      </c>
      <c r="C10134" s="66">
        <v>1391.81</v>
      </c>
      <c r="E10134" s="111">
        <f t="shared" si="163"/>
        <v>138710</v>
      </c>
      <c r="F10134" s="69">
        <v>6.409946239837612E-2</v>
      </c>
      <c r="G10134" s="69">
        <v>7.9515867989585542E-2</v>
      </c>
    </row>
    <row r="10135" spans="1:7" x14ac:dyDescent="0.3">
      <c r="A10135" s="24">
        <v>45013</v>
      </c>
      <c r="B10135" s="66">
        <f t="shared" si="162"/>
        <v>1999.8797</v>
      </c>
      <c r="C10135" s="66">
        <v>1390</v>
      </c>
      <c r="E10135" s="111">
        <f t="shared" si="163"/>
        <v>138710</v>
      </c>
      <c r="F10135" s="69">
        <v>6.409946239837612E-2</v>
      </c>
      <c r="G10135" s="69">
        <v>7.9718937833338041E-2</v>
      </c>
    </row>
    <row r="10136" spans="1:7" x14ac:dyDescent="0.3">
      <c r="A10136" s="24">
        <v>45014</v>
      </c>
      <c r="B10136" s="66">
        <f t="shared" si="162"/>
        <v>1999.8797</v>
      </c>
      <c r="C10136" s="66">
        <v>1400</v>
      </c>
      <c r="D10136" s="71">
        <v>14</v>
      </c>
      <c r="E10136" s="111">
        <f t="shared" si="163"/>
        <v>138710</v>
      </c>
      <c r="F10136" s="69">
        <v>6.409946239837612E-2</v>
      </c>
      <c r="G10136" s="69">
        <v>8.2078548444502547E-2</v>
      </c>
    </row>
    <row r="10137" spans="1:7" x14ac:dyDescent="0.3">
      <c r="A10137" s="24">
        <v>45015</v>
      </c>
      <c r="B10137" s="66">
        <f t="shared" si="162"/>
        <v>1999.8797</v>
      </c>
      <c r="C10137" s="66">
        <v>1400</v>
      </c>
      <c r="E10137" s="111">
        <f t="shared" si="163"/>
        <v>138710</v>
      </c>
      <c r="F10137" s="69">
        <v>6.409946239837612E-2</v>
      </c>
      <c r="G10137" s="69">
        <v>8.5469439002806125E-2</v>
      </c>
    </row>
    <row r="10138" spans="1:7" x14ac:dyDescent="0.3">
      <c r="A10138" s="24">
        <v>45016</v>
      </c>
      <c r="B10138" s="66">
        <v>1952.5328</v>
      </c>
      <c r="C10138" s="66">
        <v>1400.48</v>
      </c>
      <c r="E10138" s="111">
        <f t="shared" si="163"/>
        <v>138710</v>
      </c>
      <c r="F10138" s="69">
        <v>6.409946239837612E-2</v>
      </c>
      <c r="G10138" s="69">
        <v>8.5469439002806125E-2</v>
      </c>
    </row>
    <row r="10139" spans="1:7" x14ac:dyDescent="0.3">
      <c r="A10139" s="24">
        <v>45017</v>
      </c>
      <c r="B10139" s="66">
        <f t="shared" si="162"/>
        <v>1952.5328</v>
      </c>
      <c r="C10139" s="66">
        <v>1400.48</v>
      </c>
      <c r="E10139" s="111">
        <f t="shared" si="163"/>
        <v>138710</v>
      </c>
      <c r="F10139" s="69">
        <v>6.409946239837612E-2</v>
      </c>
      <c r="G10139" s="69">
        <v>8.2215900409624343E-2</v>
      </c>
    </row>
    <row r="10140" spans="1:7" x14ac:dyDescent="0.3">
      <c r="A10140" s="24">
        <v>45018</v>
      </c>
      <c r="B10140" s="66">
        <f t="shared" si="162"/>
        <v>1952.5328</v>
      </c>
      <c r="C10140" s="66">
        <v>1400.48</v>
      </c>
      <c r="E10140" s="111">
        <f t="shared" si="163"/>
        <v>138710</v>
      </c>
      <c r="F10140" s="69">
        <v>6.409946239837612E-2</v>
      </c>
      <c r="G10140" s="69">
        <v>8.2215900409624343E-2</v>
      </c>
    </row>
    <row r="10141" spans="1:7" x14ac:dyDescent="0.3">
      <c r="A10141" s="24">
        <v>45019</v>
      </c>
      <c r="B10141" s="66">
        <f t="shared" si="162"/>
        <v>1952.5328</v>
      </c>
      <c r="C10141" s="66">
        <v>1419.67</v>
      </c>
      <c r="E10141" s="111">
        <f t="shared" si="163"/>
        <v>138710</v>
      </c>
      <c r="F10141" s="69">
        <v>6.409946239837612E-2</v>
      </c>
      <c r="G10141" s="69">
        <v>8.2215900409624343E-2</v>
      </c>
    </row>
    <row r="10142" spans="1:7" x14ac:dyDescent="0.3">
      <c r="A10142" s="24">
        <v>45020</v>
      </c>
      <c r="B10142" s="66">
        <f t="shared" si="162"/>
        <v>1952.5328</v>
      </c>
      <c r="C10142" s="66">
        <v>1413.24</v>
      </c>
      <c r="E10142" s="111">
        <f t="shared" si="163"/>
        <v>138710</v>
      </c>
      <c r="F10142" s="69">
        <v>6.409946239837612E-2</v>
      </c>
      <c r="G10142" s="69">
        <v>8.2215900409624343E-2</v>
      </c>
    </row>
    <row r="10143" spans="1:7" x14ac:dyDescent="0.3">
      <c r="A10143" s="24">
        <v>45021</v>
      </c>
      <c r="B10143" s="66">
        <f t="shared" si="162"/>
        <v>1952.5328</v>
      </c>
      <c r="C10143" s="66">
        <v>1399.95</v>
      </c>
      <c r="E10143" s="111">
        <f t="shared" si="163"/>
        <v>138710</v>
      </c>
      <c r="F10143" s="69">
        <v>6.409946239837612E-2</v>
      </c>
      <c r="G10143" s="69">
        <v>8.2215900409624343E-2</v>
      </c>
    </row>
    <row r="10144" spans="1:7" x14ac:dyDescent="0.3">
      <c r="A10144" s="24">
        <v>45022</v>
      </c>
      <c r="B10144" s="66">
        <f t="shared" si="162"/>
        <v>1952.5328</v>
      </c>
      <c r="C10144" s="66">
        <v>1407.56</v>
      </c>
      <c r="E10144" s="111">
        <f t="shared" si="163"/>
        <v>138710</v>
      </c>
      <c r="F10144" s="69">
        <v>6.409946239837612E-2</v>
      </c>
      <c r="G10144" s="69">
        <v>8.3703703703703697E-2</v>
      </c>
    </row>
    <row r="10145" spans="1:7" x14ac:dyDescent="0.3">
      <c r="A10145" s="24">
        <v>45023</v>
      </c>
      <c r="B10145" s="66">
        <f t="shared" ref="B10145:B10208" si="164">+B10144</f>
        <v>1952.5328</v>
      </c>
      <c r="C10145" s="66">
        <v>1407.56</v>
      </c>
      <c r="E10145" s="111">
        <f t="shared" si="163"/>
        <v>138710</v>
      </c>
      <c r="F10145" s="69">
        <v>6.409946239837612E-2</v>
      </c>
      <c r="G10145" s="69">
        <v>8.3722308661183964E-2</v>
      </c>
    </row>
    <row r="10146" spans="1:7" x14ac:dyDescent="0.3">
      <c r="A10146" s="24">
        <v>45024</v>
      </c>
      <c r="B10146" s="66">
        <f t="shared" si="164"/>
        <v>1952.5328</v>
      </c>
      <c r="C10146" s="66">
        <v>1407.56</v>
      </c>
      <c r="E10146" s="111">
        <f t="shared" si="163"/>
        <v>138710</v>
      </c>
      <c r="F10146" s="69">
        <v>6.409946239837612E-2</v>
      </c>
      <c r="G10146" s="69">
        <v>8.3722308661183964E-2</v>
      </c>
    </row>
    <row r="10147" spans="1:7" x14ac:dyDescent="0.3">
      <c r="A10147" s="24">
        <v>45025</v>
      </c>
      <c r="B10147" s="66">
        <f t="shared" si="164"/>
        <v>1952.5328</v>
      </c>
      <c r="C10147" s="66">
        <v>1407.56</v>
      </c>
      <c r="E10147" s="111">
        <f t="shared" si="163"/>
        <v>138710</v>
      </c>
      <c r="F10147" s="69">
        <v>6.409946239837612E-2</v>
      </c>
      <c r="G10147" s="69">
        <v>8.3722308661183964E-2</v>
      </c>
    </row>
    <row r="10148" spans="1:7" x14ac:dyDescent="0.3">
      <c r="A10148" s="24">
        <v>45026</v>
      </c>
      <c r="B10148" s="66">
        <f t="shared" si="164"/>
        <v>1952.5328</v>
      </c>
      <c r="C10148" s="66">
        <v>1415</v>
      </c>
      <c r="E10148" s="111">
        <f t="shared" si="163"/>
        <v>138710</v>
      </c>
      <c r="F10148" s="69">
        <v>6.409946239837612E-2</v>
      </c>
      <c r="G10148" s="69">
        <v>8.3722308661183964E-2</v>
      </c>
    </row>
    <row r="10149" spans="1:7" x14ac:dyDescent="0.3">
      <c r="A10149" s="24">
        <v>45027</v>
      </c>
      <c r="B10149" s="66">
        <f t="shared" si="164"/>
        <v>1952.5328</v>
      </c>
      <c r="C10149" s="66">
        <v>1416.88</v>
      </c>
      <c r="E10149" s="111">
        <f t="shared" si="163"/>
        <v>138710</v>
      </c>
      <c r="F10149" s="69">
        <v>6.409946239837612E-2</v>
      </c>
      <c r="G10149" s="69">
        <v>8.3734716561689515E-2</v>
      </c>
    </row>
    <row r="10150" spans="1:7" x14ac:dyDescent="0.3">
      <c r="A10150" s="24">
        <v>45028</v>
      </c>
      <c r="B10150" s="66">
        <f t="shared" si="164"/>
        <v>1952.5328</v>
      </c>
      <c r="C10150" s="66">
        <v>1400</v>
      </c>
      <c r="E10150" s="111">
        <f t="shared" si="163"/>
        <v>138710</v>
      </c>
      <c r="F10150" s="69">
        <v>6.409946239837612E-2</v>
      </c>
      <c r="G10150" s="69">
        <v>8.4349130756081719E-2</v>
      </c>
    </row>
    <row r="10151" spans="1:7" x14ac:dyDescent="0.3">
      <c r="A10151" s="24">
        <v>45029</v>
      </c>
      <c r="B10151" s="66">
        <f t="shared" si="164"/>
        <v>1952.5328</v>
      </c>
      <c r="C10151" s="66">
        <v>1390</v>
      </c>
      <c r="E10151" s="111">
        <f t="shared" si="163"/>
        <v>138710</v>
      </c>
      <c r="F10151" s="69">
        <v>6.409946239837612E-2</v>
      </c>
      <c r="G10151" s="69">
        <v>8.593155893536121E-2</v>
      </c>
    </row>
    <row r="10152" spans="1:7" x14ac:dyDescent="0.3">
      <c r="A10152" s="24">
        <v>45030</v>
      </c>
      <c r="B10152" s="66">
        <f t="shared" si="164"/>
        <v>1952.5328</v>
      </c>
      <c r="C10152" s="66">
        <v>1399.95</v>
      </c>
      <c r="E10152" s="111">
        <f t="shared" si="163"/>
        <v>138710</v>
      </c>
      <c r="F10152" s="69">
        <v>6.409946239837612E-2</v>
      </c>
      <c r="G10152" s="69">
        <v>8.6923076923076922E-2</v>
      </c>
    </row>
    <row r="10153" spans="1:7" x14ac:dyDescent="0.3">
      <c r="A10153" s="24">
        <v>45031</v>
      </c>
      <c r="B10153" s="66">
        <f t="shared" si="164"/>
        <v>1952.5328</v>
      </c>
      <c r="C10153" s="66">
        <v>1399.95</v>
      </c>
      <c r="E10153" s="111">
        <f t="shared" si="163"/>
        <v>138710</v>
      </c>
      <c r="F10153" s="69">
        <v>6.409946239837612E-2</v>
      </c>
      <c r="G10153" s="69">
        <v>8.6923076923076922E-2</v>
      </c>
    </row>
    <row r="10154" spans="1:7" x14ac:dyDescent="0.3">
      <c r="A10154" s="24">
        <v>45032</v>
      </c>
      <c r="B10154" s="66">
        <f t="shared" si="164"/>
        <v>1952.5328</v>
      </c>
      <c r="C10154" s="66">
        <v>1399.95</v>
      </c>
      <c r="E10154" s="111">
        <f t="shared" si="163"/>
        <v>138710</v>
      </c>
      <c r="F10154" s="69">
        <v>6.409946239837612E-2</v>
      </c>
      <c r="G10154" s="69">
        <v>8.6923076923076922E-2</v>
      </c>
    </row>
    <row r="10155" spans="1:7" x14ac:dyDescent="0.3">
      <c r="A10155" s="24">
        <v>45033</v>
      </c>
      <c r="B10155" s="66">
        <f t="shared" si="164"/>
        <v>1952.5328</v>
      </c>
      <c r="C10155" s="66">
        <v>1382.27</v>
      </c>
      <c r="E10155" s="111">
        <f t="shared" si="163"/>
        <v>138710</v>
      </c>
      <c r="F10155" s="69">
        <v>6.409946239837612E-2</v>
      </c>
      <c r="G10155" s="69">
        <v>8.6923076923076922E-2</v>
      </c>
    </row>
    <row r="10156" spans="1:7" x14ac:dyDescent="0.3">
      <c r="A10156" s="24">
        <v>45034</v>
      </c>
      <c r="B10156" s="66">
        <f t="shared" si="164"/>
        <v>1952.5328</v>
      </c>
      <c r="C10156" s="66">
        <v>1385.59</v>
      </c>
      <c r="E10156" s="111">
        <f t="shared" si="163"/>
        <v>138710</v>
      </c>
      <c r="F10156" s="69">
        <v>6.409946239837612E-2</v>
      </c>
      <c r="G10156" s="69">
        <v>8.692708894256658E-2</v>
      </c>
    </row>
    <row r="10157" spans="1:7" x14ac:dyDescent="0.3">
      <c r="A10157" s="24">
        <v>45035</v>
      </c>
      <c r="B10157" s="66">
        <f t="shared" si="164"/>
        <v>1952.5328</v>
      </c>
      <c r="C10157" s="66">
        <v>1385.59</v>
      </c>
      <c r="E10157" s="111">
        <f t="shared" si="163"/>
        <v>138710</v>
      </c>
      <c r="F10157" s="69">
        <v>6.409946239837612E-2</v>
      </c>
      <c r="G10157" s="69">
        <v>8.7666216698474755E-2</v>
      </c>
    </row>
    <row r="10158" spans="1:7" x14ac:dyDescent="0.3">
      <c r="A10158" s="24">
        <v>45036</v>
      </c>
      <c r="B10158" s="66">
        <f t="shared" si="164"/>
        <v>1952.5328</v>
      </c>
      <c r="C10158" s="66">
        <v>1401.57</v>
      </c>
      <c r="E10158" s="111">
        <f t="shared" si="163"/>
        <v>138710</v>
      </c>
      <c r="F10158" s="69">
        <v>6.409946239837612E-2</v>
      </c>
      <c r="G10158" s="69">
        <v>8.7666216698474755E-2</v>
      </c>
    </row>
    <row r="10159" spans="1:7" x14ac:dyDescent="0.3">
      <c r="A10159" s="24">
        <v>45037</v>
      </c>
      <c r="B10159" s="66">
        <f t="shared" si="164"/>
        <v>1952.5328</v>
      </c>
      <c r="C10159" s="66">
        <v>1399.91</v>
      </c>
      <c r="E10159" s="111">
        <f t="shared" si="163"/>
        <v>138710</v>
      </c>
      <c r="F10159" s="69">
        <v>6.409946239837612E-2</v>
      </c>
      <c r="G10159" s="69">
        <v>8.7666216698474755E-2</v>
      </c>
    </row>
    <row r="10160" spans="1:7" x14ac:dyDescent="0.3">
      <c r="A10160" s="24">
        <v>45038</v>
      </c>
      <c r="B10160" s="66">
        <f t="shared" si="164"/>
        <v>1952.5328</v>
      </c>
      <c r="C10160" s="66">
        <v>1399.91</v>
      </c>
      <c r="E10160" s="111">
        <f t="shared" si="163"/>
        <v>138710</v>
      </c>
      <c r="F10160" s="69">
        <v>6.409946239837612E-2</v>
      </c>
      <c r="G10160" s="69">
        <v>9.0016888124143643E-2</v>
      </c>
    </row>
    <row r="10161" spans="1:7" x14ac:dyDescent="0.3">
      <c r="A10161" s="24">
        <v>45039</v>
      </c>
      <c r="B10161" s="66">
        <f t="shared" si="164"/>
        <v>1952.5328</v>
      </c>
      <c r="C10161" s="66">
        <v>1399.91</v>
      </c>
      <c r="E10161" s="111">
        <f t="shared" si="163"/>
        <v>138710</v>
      </c>
      <c r="F10161" s="69">
        <v>6.409946239837612E-2</v>
      </c>
      <c r="G10161" s="69">
        <v>9.0016888124143643E-2</v>
      </c>
    </row>
    <row r="10162" spans="1:7" x14ac:dyDescent="0.3">
      <c r="A10162" s="24">
        <v>45040</v>
      </c>
      <c r="B10162" s="66">
        <f t="shared" si="164"/>
        <v>1952.5328</v>
      </c>
      <c r="C10162" s="66">
        <v>1408.66</v>
      </c>
      <c r="D10162" s="71">
        <v>54</v>
      </c>
      <c r="E10162" s="111">
        <f t="shared" si="163"/>
        <v>138710</v>
      </c>
      <c r="F10162" s="69">
        <v>6.409946239837612E-2</v>
      </c>
      <c r="G10162" s="69">
        <v>9.0016888124143643E-2</v>
      </c>
    </row>
    <row r="10163" spans="1:7" x14ac:dyDescent="0.3">
      <c r="A10163" s="24">
        <v>45041</v>
      </c>
      <c r="B10163" s="66">
        <f t="shared" si="164"/>
        <v>1952.5328</v>
      </c>
      <c r="C10163" s="66">
        <v>1395.07</v>
      </c>
      <c r="E10163" s="111">
        <f t="shared" si="163"/>
        <v>138710</v>
      </c>
      <c r="F10163" s="69">
        <v>6.409946239837612E-2</v>
      </c>
      <c r="G10163" s="69">
        <v>8.8548278402056188E-2</v>
      </c>
    </row>
    <row r="10164" spans="1:7" x14ac:dyDescent="0.3">
      <c r="A10164" s="24">
        <v>45042</v>
      </c>
      <c r="B10164" s="66">
        <f t="shared" si="164"/>
        <v>1952.5328</v>
      </c>
      <c r="C10164" s="66">
        <v>1395.74</v>
      </c>
      <c r="E10164" s="111">
        <f t="shared" si="163"/>
        <v>138710</v>
      </c>
      <c r="F10164" s="69">
        <v>6.409946239837612E-2</v>
      </c>
      <c r="G10164" s="69">
        <v>8.9867266842159677E-2</v>
      </c>
    </row>
    <row r="10165" spans="1:7" x14ac:dyDescent="0.3">
      <c r="A10165" s="24">
        <v>45043</v>
      </c>
      <c r="B10165" s="66">
        <f t="shared" si="164"/>
        <v>1952.5328</v>
      </c>
      <c r="C10165" s="66">
        <v>1395.74</v>
      </c>
      <c r="E10165" s="111">
        <f t="shared" si="163"/>
        <v>138710</v>
      </c>
      <c r="F10165" s="69">
        <v>6.409946239837612E-2</v>
      </c>
      <c r="G10165" s="69">
        <v>8.9867266842159677E-2</v>
      </c>
    </row>
    <row r="10166" spans="1:7" x14ac:dyDescent="0.3">
      <c r="A10166" s="24">
        <v>45044</v>
      </c>
      <c r="B10166" s="66">
        <f t="shared" si="164"/>
        <v>1952.5328</v>
      </c>
      <c r="C10166" s="66">
        <v>1406.73</v>
      </c>
      <c r="E10166" s="111">
        <f t="shared" si="163"/>
        <v>138710</v>
      </c>
      <c r="F10166" s="69">
        <v>6.409946239837612E-2</v>
      </c>
      <c r="G10166" s="69">
        <v>8.6923076923076922E-2</v>
      </c>
    </row>
    <row r="10167" spans="1:7" x14ac:dyDescent="0.3">
      <c r="A10167" s="24">
        <v>45045</v>
      </c>
      <c r="B10167" s="66">
        <f t="shared" si="164"/>
        <v>1952.5328</v>
      </c>
      <c r="C10167" s="66">
        <v>1406.73</v>
      </c>
      <c r="E10167" s="111">
        <f t="shared" si="163"/>
        <v>138710</v>
      </c>
      <c r="F10167" s="69">
        <v>6.409946239837612E-2</v>
      </c>
      <c r="G10167" s="69">
        <v>8.5599575789712903E-2</v>
      </c>
    </row>
    <row r="10168" spans="1:7" x14ac:dyDescent="0.3">
      <c r="A10168" s="24">
        <v>45046</v>
      </c>
      <c r="B10168" s="66">
        <v>1973.0037</v>
      </c>
      <c r="C10168" s="66">
        <v>1406.73</v>
      </c>
      <c r="E10168" s="111">
        <f t="shared" si="163"/>
        <v>138710</v>
      </c>
      <c r="F10168" s="69">
        <v>6.409946239837612E-2</v>
      </c>
      <c r="G10168" s="69">
        <v>8.5599575789712903E-2</v>
      </c>
    </row>
    <row r="10169" spans="1:7" x14ac:dyDescent="0.3">
      <c r="A10169" s="24">
        <v>45047</v>
      </c>
      <c r="B10169" s="66">
        <f t="shared" si="164"/>
        <v>1973.0037</v>
      </c>
      <c r="C10169" s="66">
        <v>1406.73</v>
      </c>
      <c r="E10169" s="111">
        <f t="shared" si="163"/>
        <v>138710</v>
      </c>
      <c r="F10169" s="69">
        <v>6.409946239837612E-2</v>
      </c>
      <c r="G10169" s="69">
        <v>8.5599575789712903E-2</v>
      </c>
    </row>
    <row r="10170" spans="1:7" x14ac:dyDescent="0.3">
      <c r="A10170" s="24">
        <v>45048</v>
      </c>
      <c r="B10170" s="66">
        <f t="shared" si="164"/>
        <v>1973.0037</v>
      </c>
      <c r="C10170" s="66">
        <v>1412.97</v>
      </c>
      <c r="E10170" s="111">
        <f t="shared" si="163"/>
        <v>138710</v>
      </c>
      <c r="F10170" s="69">
        <v>6.409946239837612E-2</v>
      </c>
      <c r="G10170" s="69">
        <v>8.7937743190661485E-2</v>
      </c>
    </row>
    <row r="10171" spans="1:7" x14ac:dyDescent="0.3">
      <c r="A10171" s="24">
        <v>45049</v>
      </c>
      <c r="B10171" s="66">
        <f t="shared" si="164"/>
        <v>1973.0037</v>
      </c>
      <c r="C10171" s="66">
        <v>1412.97</v>
      </c>
      <c r="E10171" s="111">
        <f t="shared" si="163"/>
        <v>138710</v>
      </c>
      <c r="F10171" s="69">
        <v>6.409946239837612E-2</v>
      </c>
      <c r="G10171" s="69">
        <v>8.7937743190661485E-2</v>
      </c>
    </row>
    <row r="10172" spans="1:7" x14ac:dyDescent="0.3">
      <c r="A10172" s="24">
        <v>45050</v>
      </c>
      <c r="B10172" s="66">
        <f t="shared" si="164"/>
        <v>1973.0037</v>
      </c>
      <c r="C10172" s="66">
        <v>1404.96</v>
      </c>
      <c r="E10172" s="111">
        <f t="shared" si="163"/>
        <v>138710</v>
      </c>
      <c r="F10172" s="69">
        <v>7.0339233074324242E-2</v>
      </c>
      <c r="G10172" s="69">
        <v>9.7325128720331541E-2</v>
      </c>
    </row>
    <row r="10173" spans="1:7" x14ac:dyDescent="0.3">
      <c r="A10173" s="24">
        <v>45051</v>
      </c>
      <c r="B10173" s="66">
        <f t="shared" si="164"/>
        <v>1973.0037</v>
      </c>
      <c r="C10173" s="66">
        <v>1406.24</v>
      </c>
      <c r="E10173" s="111">
        <f t="shared" si="163"/>
        <v>138710</v>
      </c>
      <c r="F10173" s="69">
        <v>7.0339233074324242E-2</v>
      </c>
      <c r="G10173" s="69">
        <v>9.7325128720331541E-2</v>
      </c>
    </row>
    <row r="10174" spans="1:7" x14ac:dyDescent="0.3">
      <c r="A10174" s="24">
        <v>45052</v>
      </c>
      <c r="B10174" s="66">
        <f t="shared" si="164"/>
        <v>1973.0037</v>
      </c>
      <c r="C10174" s="66">
        <v>1406.24</v>
      </c>
      <c r="E10174" s="111">
        <f t="shared" si="163"/>
        <v>138710</v>
      </c>
      <c r="F10174" s="69">
        <v>7.0339233074324242E-2</v>
      </c>
      <c r="G10174" s="69">
        <v>9.8408012316873808E-2</v>
      </c>
    </row>
    <row r="10175" spans="1:7" x14ac:dyDescent="0.3">
      <c r="A10175" s="24">
        <v>45053</v>
      </c>
      <c r="B10175" s="66">
        <f t="shared" si="164"/>
        <v>1973.0037</v>
      </c>
      <c r="C10175" s="66">
        <v>1406.24</v>
      </c>
      <c r="E10175" s="111">
        <f t="shared" si="163"/>
        <v>138710</v>
      </c>
      <c r="F10175" s="69">
        <v>7.0339233074324242E-2</v>
      </c>
      <c r="G10175" s="69">
        <v>9.8408012316873808E-2</v>
      </c>
    </row>
    <row r="10176" spans="1:7" x14ac:dyDescent="0.3">
      <c r="A10176" s="24">
        <v>45054</v>
      </c>
      <c r="B10176" s="66">
        <f t="shared" si="164"/>
        <v>1973.0037</v>
      </c>
      <c r="C10176" s="66">
        <v>1420</v>
      </c>
      <c r="E10176" s="111">
        <f t="shared" si="163"/>
        <v>138710</v>
      </c>
      <c r="F10176" s="69">
        <v>7.0339233074324242E-2</v>
      </c>
      <c r="G10176" s="69">
        <v>9.8408012316873808E-2</v>
      </c>
    </row>
    <row r="10177" spans="1:7" x14ac:dyDescent="0.3">
      <c r="A10177" s="24">
        <v>45055</v>
      </c>
      <c r="B10177" s="66">
        <f t="shared" si="164"/>
        <v>1973.0037</v>
      </c>
      <c r="C10177" s="66">
        <v>1414.54</v>
      </c>
      <c r="E10177" s="111">
        <f t="shared" si="163"/>
        <v>138710</v>
      </c>
      <c r="F10177" s="69">
        <v>7.0339233074324242E-2</v>
      </c>
      <c r="G10177" s="69">
        <v>9.9244461518760402E-2</v>
      </c>
    </row>
    <row r="10178" spans="1:7" x14ac:dyDescent="0.3">
      <c r="A10178" s="24">
        <v>45056</v>
      </c>
      <c r="B10178" s="66">
        <f t="shared" si="164"/>
        <v>1973.0037</v>
      </c>
      <c r="C10178" s="66">
        <v>1401.62</v>
      </c>
      <c r="E10178" s="111">
        <f t="shared" si="163"/>
        <v>138710</v>
      </c>
      <c r="F10178" s="69">
        <v>7.0339233074324242E-2</v>
      </c>
      <c r="G10178" s="69">
        <v>9.9948413721949958E-2</v>
      </c>
    </row>
    <row r="10179" spans="1:7" x14ac:dyDescent="0.3">
      <c r="A10179" s="24">
        <v>45057</v>
      </c>
      <c r="B10179" s="66">
        <f t="shared" si="164"/>
        <v>1973.0037</v>
      </c>
      <c r="C10179" s="66">
        <v>1395.29</v>
      </c>
      <c r="E10179" s="111">
        <f t="shared" si="163"/>
        <v>138710</v>
      </c>
      <c r="F10179" s="69">
        <v>7.0339233074324242E-2</v>
      </c>
      <c r="G10179" s="69">
        <v>0.1</v>
      </c>
    </row>
    <row r="10180" spans="1:7" x14ac:dyDescent="0.3">
      <c r="A10180" s="24">
        <v>45058</v>
      </c>
      <c r="B10180" s="66">
        <f t="shared" si="164"/>
        <v>1973.0037</v>
      </c>
      <c r="C10180" s="66">
        <v>1411.27</v>
      </c>
      <c r="E10180" s="111">
        <f t="shared" si="163"/>
        <v>138710</v>
      </c>
      <c r="F10180" s="69">
        <v>7.0339233074324242E-2</v>
      </c>
      <c r="G10180" s="69">
        <v>0.10008878844135927</v>
      </c>
    </row>
    <row r="10181" spans="1:7" x14ac:dyDescent="0.3">
      <c r="A10181" s="24">
        <v>45059</v>
      </c>
      <c r="B10181" s="66">
        <f t="shared" si="164"/>
        <v>1973.0037</v>
      </c>
      <c r="C10181" s="66">
        <v>1411.27</v>
      </c>
      <c r="E10181" s="111">
        <f t="shared" si="163"/>
        <v>138710</v>
      </c>
      <c r="F10181" s="69">
        <v>7.0339233074324242E-2</v>
      </c>
      <c r="G10181" s="69">
        <v>9.9811645765249452E-2</v>
      </c>
    </row>
    <row r="10182" spans="1:7" x14ac:dyDescent="0.3">
      <c r="A10182" s="24">
        <v>45060</v>
      </c>
      <c r="B10182" s="66">
        <f t="shared" si="164"/>
        <v>1973.0037</v>
      </c>
      <c r="C10182" s="66">
        <v>1411.27</v>
      </c>
      <c r="E10182" s="111">
        <f t="shared" si="163"/>
        <v>138710</v>
      </c>
      <c r="F10182" s="69">
        <v>7.0339233074324242E-2</v>
      </c>
      <c r="G10182" s="69">
        <v>9.9811645765249452E-2</v>
      </c>
    </row>
    <row r="10183" spans="1:7" x14ac:dyDescent="0.3">
      <c r="A10183" s="24">
        <v>45061</v>
      </c>
      <c r="B10183" s="66">
        <f t="shared" si="164"/>
        <v>1973.0037</v>
      </c>
      <c r="C10183" s="66">
        <v>1404.36</v>
      </c>
      <c r="E10183" s="111">
        <f t="shared" si="163"/>
        <v>138710</v>
      </c>
      <c r="F10183" s="69">
        <v>7.0339233074324242E-2</v>
      </c>
      <c r="G10183" s="69">
        <v>9.9811645765249452E-2</v>
      </c>
    </row>
    <row r="10184" spans="1:7" x14ac:dyDescent="0.3">
      <c r="A10184" s="24">
        <v>45062</v>
      </c>
      <c r="B10184" s="66">
        <f t="shared" si="164"/>
        <v>1973.0037</v>
      </c>
      <c r="C10184" s="66">
        <v>1399.97</v>
      </c>
      <c r="E10184" s="111">
        <f t="shared" si="163"/>
        <v>138710</v>
      </c>
      <c r="F10184" s="69">
        <v>7.0339233074324242E-2</v>
      </c>
      <c r="G10184" s="69">
        <v>0.1</v>
      </c>
    </row>
    <row r="10185" spans="1:7" x14ac:dyDescent="0.3">
      <c r="A10185" s="24">
        <v>45063</v>
      </c>
      <c r="B10185" s="66">
        <f t="shared" si="164"/>
        <v>1973.0037</v>
      </c>
      <c r="C10185" s="66">
        <v>1400</v>
      </c>
      <c r="E10185" s="111">
        <f t="shared" ref="E10185:E10248" si="165">+E10184</f>
        <v>138710</v>
      </c>
      <c r="F10185" s="69">
        <v>7.0339233074324242E-2</v>
      </c>
      <c r="G10185" s="69">
        <v>0.10105949470252648</v>
      </c>
    </row>
    <row r="10186" spans="1:7" x14ac:dyDescent="0.3">
      <c r="A10186" s="24">
        <v>45064</v>
      </c>
      <c r="B10186" s="66">
        <f t="shared" si="164"/>
        <v>1973.0037</v>
      </c>
      <c r="C10186" s="66">
        <v>1400</v>
      </c>
      <c r="E10186" s="111">
        <f t="shared" si="165"/>
        <v>138710</v>
      </c>
      <c r="F10186" s="69">
        <f t="shared" ref="F10186:F10249" si="166">+SUM(D9823:D10186)/B9822</f>
        <v>7.0339233074324242E-2</v>
      </c>
      <c r="G10186" s="69">
        <f t="shared" ref="G10186:G10249" si="167">+SUM(D9823:D10186)/C9822</f>
        <v>0.10089503661513426</v>
      </c>
    </row>
    <row r="10187" spans="1:7" x14ac:dyDescent="0.3">
      <c r="A10187" s="24">
        <v>45065</v>
      </c>
      <c r="B10187" s="66">
        <f t="shared" si="164"/>
        <v>1973.0037</v>
      </c>
      <c r="C10187" s="66">
        <v>1403.14</v>
      </c>
      <c r="E10187" s="111">
        <f t="shared" si="165"/>
        <v>138710</v>
      </c>
      <c r="F10187" s="69">
        <f t="shared" si="166"/>
        <v>7.0339233074324242E-2</v>
      </c>
      <c r="G10187" s="69">
        <f t="shared" si="167"/>
        <v>0.10040485829959514</v>
      </c>
    </row>
    <row r="10188" spans="1:7" x14ac:dyDescent="0.3">
      <c r="A10188" s="24">
        <v>45066</v>
      </c>
      <c r="B10188" s="66">
        <f t="shared" si="164"/>
        <v>1973.0037</v>
      </c>
      <c r="C10188" s="66">
        <v>1403.14</v>
      </c>
      <c r="E10188" s="111">
        <f t="shared" si="165"/>
        <v>138710</v>
      </c>
      <c r="F10188" s="69">
        <f t="shared" si="166"/>
        <v>7.0339233074324242E-2</v>
      </c>
      <c r="G10188" s="69">
        <f t="shared" si="167"/>
        <v>0.10040485829959514</v>
      </c>
    </row>
    <row r="10189" spans="1:7" x14ac:dyDescent="0.3">
      <c r="A10189" s="24">
        <v>45067</v>
      </c>
      <c r="B10189" s="66">
        <f t="shared" si="164"/>
        <v>1973.0037</v>
      </c>
      <c r="C10189" s="66">
        <v>1403.14</v>
      </c>
      <c r="E10189" s="111">
        <f t="shared" si="165"/>
        <v>138710</v>
      </c>
      <c r="F10189" s="69">
        <f t="shared" si="166"/>
        <v>7.0339233074324242E-2</v>
      </c>
      <c r="G10189" s="69">
        <f t="shared" si="167"/>
        <v>0.10040485829959514</v>
      </c>
    </row>
    <row r="10190" spans="1:7" x14ac:dyDescent="0.3">
      <c r="A10190" s="24">
        <v>45068</v>
      </c>
      <c r="B10190" s="66">
        <f t="shared" si="164"/>
        <v>1973.0037</v>
      </c>
      <c r="C10190" s="66">
        <v>1400</v>
      </c>
      <c r="E10190" s="111">
        <f t="shared" si="165"/>
        <v>138710</v>
      </c>
      <c r="F10190" s="69">
        <f t="shared" si="166"/>
        <v>6.9828318470206568E-2</v>
      </c>
      <c r="G10190" s="69">
        <f t="shared" si="167"/>
        <v>0.10040485829959514</v>
      </c>
    </row>
    <row r="10191" spans="1:7" x14ac:dyDescent="0.3">
      <c r="A10191" s="24">
        <v>45069</v>
      </c>
      <c r="B10191" s="66">
        <f t="shared" si="164"/>
        <v>1973.0037</v>
      </c>
      <c r="C10191" s="66">
        <v>1400</v>
      </c>
      <c r="E10191" s="111">
        <f t="shared" si="165"/>
        <v>138710</v>
      </c>
      <c r="F10191" s="69">
        <f t="shared" si="166"/>
        <v>6.9828318470206568E-2</v>
      </c>
      <c r="G10191" s="69">
        <f t="shared" si="167"/>
        <v>0.10084334311947496</v>
      </c>
    </row>
    <row r="10192" spans="1:7" x14ac:dyDescent="0.3">
      <c r="A10192" s="24">
        <v>45070</v>
      </c>
      <c r="B10192" s="66">
        <f t="shared" si="164"/>
        <v>1973.0037</v>
      </c>
      <c r="C10192" s="66">
        <v>1402.39</v>
      </c>
      <c r="E10192" s="111">
        <f t="shared" si="165"/>
        <v>138710</v>
      </c>
      <c r="F10192" s="69">
        <f t="shared" si="166"/>
        <v>6.9828318470206568E-2</v>
      </c>
      <c r="G10192" s="69">
        <f t="shared" si="167"/>
        <v>0.10176028886791678</v>
      </c>
    </row>
    <row r="10193" spans="1:7" x14ac:dyDescent="0.3">
      <c r="A10193" s="24">
        <v>45071</v>
      </c>
      <c r="B10193" s="66">
        <f t="shared" si="164"/>
        <v>1973.0037</v>
      </c>
      <c r="C10193" s="66">
        <v>1400</v>
      </c>
      <c r="E10193" s="111">
        <f t="shared" si="165"/>
        <v>138710</v>
      </c>
      <c r="F10193" s="69">
        <f t="shared" si="166"/>
        <v>6.9828318470206568E-2</v>
      </c>
      <c r="G10193" s="69">
        <f t="shared" si="167"/>
        <v>0.10228660045534035</v>
      </c>
    </row>
    <row r="10194" spans="1:7" x14ac:dyDescent="0.3">
      <c r="A10194" s="24">
        <v>45072</v>
      </c>
      <c r="B10194" s="66">
        <f t="shared" si="164"/>
        <v>1973.0037</v>
      </c>
      <c r="C10194" s="66">
        <v>1400</v>
      </c>
      <c r="E10194" s="111">
        <f t="shared" si="165"/>
        <v>138710</v>
      </c>
      <c r="F10194" s="69">
        <f t="shared" si="166"/>
        <v>6.9828318470206568E-2</v>
      </c>
      <c r="G10194" s="69">
        <f t="shared" si="167"/>
        <v>0.10509365200440715</v>
      </c>
    </row>
    <row r="10195" spans="1:7" x14ac:dyDescent="0.3">
      <c r="A10195" s="24">
        <v>45073</v>
      </c>
      <c r="B10195" s="66">
        <f t="shared" si="164"/>
        <v>1973.0037</v>
      </c>
      <c r="C10195" s="66">
        <v>1400</v>
      </c>
      <c r="E10195" s="111">
        <f t="shared" si="165"/>
        <v>138710</v>
      </c>
      <c r="F10195" s="69">
        <f t="shared" si="166"/>
        <v>6.9828318470206568E-2</v>
      </c>
      <c r="G10195" s="69">
        <f t="shared" si="167"/>
        <v>0.10509365200440715</v>
      </c>
    </row>
    <row r="10196" spans="1:7" x14ac:dyDescent="0.3">
      <c r="A10196" s="24">
        <v>45074</v>
      </c>
      <c r="B10196" s="66">
        <f t="shared" si="164"/>
        <v>1973.0037</v>
      </c>
      <c r="C10196" s="66">
        <v>1400</v>
      </c>
      <c r="E10196" s="111">
        <f t="shared" si="165"/>
        <v>138710</v>
      </c>
      <c r="F10196" s="69">
        <f t="shared" si="166"/>
        <v>6.9828318470206568E-2</v>
      </c>
      <c r="G10196" s="69">
        <f t="shared" si="167"/>
        <v>0.10509365200440715</v>
      </c>
    </row>
    <row r="10197" spans="1:7" x14ac:dyDescent="0.3">
      <c r="A10197" s="24">
        <v>45075</v>
      </c>
      <c r="B10197" s="66">
        <f t="shared" si="164"/>
        <v>1973.0037</v>
      </c>
      <c r="C10197" s="66">
        <v>1431.36</v>
      </c>
      <c r="E10197" s="111">
        <f t="shared" si="165"/>
        <v>138710</v>
      </c>
      <c r="F10197" s="69">
        <f t="shared" si="166"/>
        <v>6.9828318470206568E-2</v>
      </c>
      <c r="G10197" s="69">
        <f t="shared" si="167"/>
        <v>0.1062553556126821</v>
      </c>
    </row>
    <row r="10198" spans="1:7" x14ac:dyDescent="0.3">
      <c r="A10198" s="24">
        <v>45076</v>
      </c>
      <c r="B10198" s="66">
        <f t="shared" si="164"/>
        <v>1973.0037</v>
      </c>
      <c r="C10198" s="66">
        <v>1440.57</v>
      </c>
      <c r="E10198" s="111">
        <f t="shared" si="165"/>
        <v>138710</v>
      </c>
      <c r="F10198" s="69">
        <f t="shared" si="166"/>
        <v>6.9828318470206568E-2</v>
      </c>
      <c r="G10198" s="69">
        <f t="shared" si="167"/>
        <v>0.10724231574213412</v>
      </c>
    </row>
    <row r="10199" spans="1:7" x14ac:dyDescent="0.3">
      <c r="A10199" s="24">
        <v>45077</v>
      </c>
      <c r="B10199" s="66">
        <v>1979.6197</v>
      </c>
      <c r="C10199" s="66">
        <v>1435.61</v>
      </c>
      <c r="E10199" s="111">
        <f t="shared" si="165"/>
        <v>138710</v>
      </c>
      <c r="F10199" s="69">
        <f t="shared" si="166"/>
        <v>6.9828318470206568E-2</v>
      </c>
      <c r="G10199" s="69">
        <f t="shared" si="167"/>
        <v>0.1070211021447374</v>
      </c>
    </row>
    <row r="10200" spans="1:7" x14ac:dyDescent="0.3">
      <c r="A10200" s="24">
        <v>45078</v>
      </c>
      <c r="B10200" s="66">
        <f t="shared" si="164"/>
        <v>1979.6197</v>
      </c>
      <c r="C10200" s="66">
        <v>1427.85</v>
      </c>
      <c r="E10200" s="111">
        <f t="shared" si="165"/>
        <v>138710</v>
      </c>
      <c r="F10200" s="69">
        <f t="shared" si="166"/>
        <v>6.9828318470206568E-2</v>
      </c>
      <c r="G10200" s="69">
        <f t="shared" si="167"/>
        <v>0.10782608695652174</v>
      </c>
    </row>
    <row r="10201" spans="1:7" x14ac:dyDescent="0.3">
      <c r="A10201" s="24">
        <v>45079</v>
      </c>
      <c r="B10201" s="66">
        <f t="shared" si="164"/>
        <v>1979.6197</v>
      </c>
      <c r="C10201" s="66">
        <v>1429.97</v>
      </c>
      <c r="E10201" s="111">
        <f t="shared" si="165"/>
        <v>138710</v>
      </c>
      <c r="F10201" s="69">
        <f t="shared" si="166"/>
        <v>6.9828318470206568E-2</v>
      </c>
      <c r="G10201" s="69">
        <f t="shared" si="167"/>
        <v>0.10782608695652174</v>
      </c>
    </row>
    <row r="10202" spans="1:7" x14ac:dyDescent="0.3">
      <c r="A10202" s="24">
        <v>45080</v>
      </c>
      <c r="B10202" s="66">
        <f t="shared" si="164"/>
        <v>1979.6197</v>
      </c>
      <c r="C10202" s="66">
        <v>1429.97</v>
      </c>
      <c r="E10202" s="111">
        <f t="shared" si="165"/>
        <v>138710</v>
      </c>
      <c r="F10202" s="69">
        <f t="shared" si="166"/>
        <v>6.9828318470206568E-2</v>
      </c>
      <c r="G10202" s="69">
        <f t="shared" si="167"/>
        <v>0.10782608695652174</v>
      </c>
    </row>
    <row r="10203" spans="1:7" x14ac:dyDescent="0.3">
      <c r="A10203" s="24">
        <v>45081</v>
      </c>
      <c r="B10203" s="66">
        <f t="shared" si="164"/>
        <v>1979.6197</v>
      </c>
      <c r="C10203" s="66">
        <v>1429.97</v>
      </c>
      <c r="E10203" s="111">
        <f t="shared" si="165"/>
        <v>138710</v>
      </c>
      <c r="F10203" s="69">
        <f t="shared" si="166"/>
        <v>6.9828318470206568E-2</v>
      </c>
      <c r="G10203" s="69">
        <f t="shared" si="167"/>
        <v>0.10782608695652174</v>
      </c>
    </row>
    <row r="10204" spans="1:7" x14ac:dyDescent="0.3">
      <c r="A10204" s="24">
        <v>45082</v>
      </c>
      <c r="B10204" s="66">
        <f t="shared" si="164"/>
        <v>1979.6197</v>
      </c>
      <c r="C10204" s="66">
        <v>1474.06</v>
      </c>
      <c r="E10204" s="111">
        <f t="shared" si="165"/>
        <v>138710</v>
      </c>
      <c r="F10204" s="69">
        <f t="shared" si="166"/>
        <v>6.9828318470206568E-2</v>
      </c>
      <c r="G10204" s="69">
        <f t="shared" si="167"/>
        <v>0.10973451327433628</v>
      </c>
    </row>
    <row r="10205" spans="1:7" x14ac:dyDescent="0.3">
      <c r="A10205" s="24">
        <v>45083</v>
      </c>
      <c r="B10205" s="66">
        <f t="shared" si="164"/>
        <v>1979.6197</v>
      </c>
      <c r="C10205" s="66">
        <v>1486.59</v>
      </c>
      <c r="E10205" s="111">
        <f t="shared" si="165"/>
        <v>138710</v>
      </c>
      <c r="F10205" s="69">
        <f t="shared" si="166"/>
        <v>6.9828318470206568E-2</v>
      </c>
      <c r="G10205" s="69">
        <f t="shared" si="167"/>
        <v>0.10976073929168917</v>
      </c>
    </row>
    <row r="10206" spans="1:7" x14ac:dyDescent="0.3">
      <c r="A10206" s="24">
        <v>45084</v>
      </c>
      <c r="B10206" s="66">
        <f t="shared" si="164"/>
        <v>1979.6197</v>
      </c>
      <c r="C10206" s="66">
        <v>1501.82</v>
      </c>
      <c r="E10206" s="111">
        <f t="shared" si="165"/>
        <v>138710</v>
      </c>
      <c r="F10206" s="69">
        <f t="shared" si="166"/>
        <v>6.9828318470206568E-2</v>
      </c>
      <c r="G10206" s="69">
        <f t="shared" si="167"/>
        <v>0.10973451327433628</v>
      </c>
    </row>
    <row r="10207" spans="1:7" x14ac:dyDescent="0.3">
      <c r="A10207" s="24">
        <v>45085</v>
      </c>
      <c r="B10207" s="66">
        <f t="shared" si="164"/>
        <v>1979.6197</v>
      </c>
      <c r="C10207" s="66">
        <v>1518</v>
      </c>
      <c r="E10207" s="111">
        <f t="shared" si="165"/>
        <v>138710</v>
      </c>
      <c r="F10207" s="69">
        <f t="shared" si="166"/>
        <v>6.9828318470206568E-2</v>
      </c>
      <c r="G10207" s="69">
        <f t="shared" si="167"/>
        <v>0.10334280642392218</v>
      </c>
    </row>
    <row r="10208" spans="1:7" x14ac:dyDescent="0.3">
      <c r="A10208" s="24">
        <v>45086</v>
      </c>
      <c r="B10208" s="66">
        <f t="shared" si="164"/>
        <v>1979.6197</v>
      </c>
      <c r="C10208" s="66">
        <v>1536.09</v>
      </c>
      <c r="E10208" s="111">
        <f t="shared" si="165"/>
        <v>138710</v>
      </c>
      <c r="F10208" s="69">
        <f t="shared" si="166"/>
        <v>6.9828318470206568E-2</v>
      </c>
      <c r="G10208" s="69">
        <f t="shared" si="167"/>
        <v>0.10392919404586295</v>
      </c>
    </row>
    <row r="10209" spans="1:7" x14ac:dyDescent="0.3">
      <c r="A10209" s="24">
        <v>45087</v>
      </c>
      <c r="B10209" s="66">
        <f t="shared" ref="B10209:B10272" si="168">+B10208</f>
        <v>1979.6197</v>
      </c>
      <c r="C10209" s="66">
        <v>1536.09</v>
      </c>
      <c r="E10209" s="111">
        <f t="shared" si="165"/>
        <v>138710</v>
      </c>
      <c r="F10209" s="69">
        <f t="shared" si="166"/>
        <v>6.9828318470206568E-2</v>
      </c>
      <c r="G10209" s="69">
        <f t="shared" si="167"/>
        <v>0.10392919404586295</v>
      </c>
    </row>
    <row r="10210" spans="1:7" x14ac:dyDescent="0.3">
      <c r="A10210" s="24">
        <v>45088</v>
      </c>
      <c r="B10210" s="66">
        <f t="shared" si="168"/>
        <v>1979.6197</v>
      </c>
      <c r="C10210" s="66">
        <v>1536.09</v>
      </c>
      <c r="E10210" s="111">
        <f t="shared" si="165"/>
        <v>138710</v>
      </c>
      <c r="F10210" s="69">
        <f t="shared" si="166"/>
        <v>6.9828318470206568E-2</v>
      </c>
      <c r="G10210" s="69">
        <f t="shared" si="167"/>
        <v>0.10392919404586295</v>
      </c>
    </row>
    <row r="10211" spans="1:7" x14ac:dyDescent="0.3">
      <c r="A10211" s="24">
        <v>45089</v>
      </c>
      <c r="B10211" s="66">
        <f t="shared" si="168"/>
        <v>1979.6197</v>
      </c>
      <c r="C10211" s="66">
        <v>1578.81</v>
      </c>
      <c r="E10211" s="111">
        <f t="shared" si="165"/>
        <v>138710</v>
      </c>
      <c r="F10211" s="69">
        <f t="shared" si="166"/>
        <v>6.9828318470206568E-2</v>
      </c>
      <c r="G10211" s="69">
        <f t="shared" si="167"/>
        <v>0.10509810569140146</v>
      </c>
    </row>
    <row r="10212" spans="1:7" x14ac:dyDescent="0.3">
      <c r="A10212" s="24">
        <v>45090</v>
      </c>
      <c r="B10212" s="66">
        <f t="shared" si="168"/>
        <v>1979.6197</v>
      </c>
      <c r="C10212" s="66">
        <v>1599.97</v>
      </c>
      <c r="E10212" s="111">
        <f t="shared" si="165"/>
        <v>138710</v>
      </c>
      <c r="F10212" s="69">
        <f t="shared" si="166"/>
        <v>6.9828318470206568E-2</v>
      </c>
      <c r="G10212" s="69">
        <f t="shared" si="167"/>
        <v>0.10650724936439222</v>
      </c>
    </row>
    <row r="10213" spans="1:7" x14ac:dyDescent="0.3">
      <c r="A10213" s="24">
        <v>45091</v>
      </c>
      <c r="B10213" s="66">
        <f t="shared" si="168"/>
        <v>1979.6197</v>
      </c>
      <c r="C10213" s="66">
        <v>1599.89</v>
      </c>
      <c r="E10213" s="111">
        <f t="shared" si="165"/>
        <v>138710</v>
      </c>
      <c r="F10213" s="69">
        <f t="shared" si="166"/>
        <v>6.9828318470206568E-2</v>
      </c>
      <c r="G10213" s="69">
        <f t="shared" si="167"/>
        <v>0.10545652469723772</v>
      </c>
    </row>
    <row r="10214" spans="1:7" x14ac:dyDescent="0.3">
      <c r="A10214" s="24">
        <v>45092</v>
      </c>
      <c r="B10214" s="66">
        <f t="shared" si="168"/>
        <v>1979.6197</v>
      </c>
      <c r="C10214" s="66">
        <v>1590.13</v>
      </c>
      <c r="E10214" s="111">
        <f t="shared" si="165"/>
        <v>138710</v>
      </c>
      <c r="F10214" s="69">
        <f t="shared" si="166"/>
        <v>6.9828318470206568E-2</v>
      </c>
      <c r="G10214" s="69">
        <f t="shared" si="167"/>
        <v>0.10643776824034334</v>
      </c>
    </row>
    <row r="10215" spans="1:7" x14ac:dyDescent="0.3">
      <c r="A10215" s="24">
        <v>45093</v>
      </c>
      <c r="B10215" s="66">
        <f t="shared" si="168"/>
        <v>1979.6197</v>
      </c>
      <c r="C10215" s="66">
        <v>1590</v>
      </c>
      <c r="E10215" s="111">
        <f t="shared" si="165"/>
        <v>138710</v>
      </c>
      <c r="F10215" s="69">
        <f t="shared" si="166"/>
        <v>6.9828318470206568E-2</v>
      </c>
      <c r="G10215" s="69">
        <f t="shared" si="167"/>
        <v>0.10791523432400679</v>
      </c>
    </row>
    <row r="10216" spans="1:7" x14ac:dyDescent="0.3">
      <c r="A10216" s="24">
        <v>45094</v>
      </c>
      <c r="B10216" s="66">
        <f t="shared" si="168"/>
        <v>1979.6197</v>
      </c>
      <c r="C10216" s="66">
        <v>1590</v>
      </c>
      <c r="E10216" s="111">
        <f t="shared" si="165"/>
        <v>138710</v>
      </c>
      <c r="F10216" s="69">
        <f t="shared" si="166"/>
        <v>6.9828318470206568E-2</v>
      </c>
      <c r="G10216" s="69">
        <f t="shared" si="167"/>
        <v>0.10791523432400679</v>
      </c>
    </row>
    <row r="10217" spans="1:7" x14ac:dyDescent="0.3">
      <c r="A10217" s="24">
        <v>45095</v>
      </c>
      <c r="B10217" s="66">
        <f t="shared" si="168"/>
        <v>1979.6197</v>
      </c>
      <c r="C10217" s="66">
        <v>1590</v>
      </c>
      <c r="E10217" s="111">
        <f t="shared" si="165"/>
        <v>138710</v>
      </c>
      <c r="F10217" s="69">
        <f t="shared" si="166"/>
        <v>6.9828318470206568E-2</v>
      </c>
      <c r="G10217" s="69">
        <f t="shared" si="167"/>
        <v>0.10791523432400679</v>
      </c>
    </row>
    <row r="10218" spans="1:7" x14ac:dyDescent="0.3">
      <c r="A10218" s="24">
        <v>45096</v>
      </c>
      <c r="B10218" s="66">
        <f t="shared" si="168"/>
        <v>1979.6197</v>
      </c>
      <c r="C10218" s="66">
        <v>1601.175</v>
      </c>
      <c r="E10218" s="111">
        <f t="shared" si="165"/>
        <v>138710</v>
      </c>
      <c r="F10218" s="69">
        <f t="shared" si="166"/>
        <v>6.9828318470206568E-2</v>
      </c>
      <c r="G10218" s="69">
        <f t="shared" si="167"/>
        <v>0.10973451327433628</v>
      </c>
    </row>
    <row r="10219" spans="1:7" x14ac:dyDescent="0.3">
      <c r="A10219" s="24">
        <v>45097</v>
      </c>
      <c r="B10219" s="66">
        <f t="shared" si="168"/>
        <v>1979.6197</v>
      </c>
      <c r="C10219" s="66">
        <v>1634.92</v>
      </c>
      <c r="E10219" s="111">
        <f t="shared" si="165"/>
        <v>138710</v>
      </c>
      <c r="F10219" s="69">
        <f t="shared" si="166"/>
        <v>6.9828318470206568E-2</v>
      </c>
      <c r="G10219" s="69">
        <f t="shared" si="167"/>
        <v>0.10973451327433628</v>
      </c>
    </row>
    <row r="10220" spans="1:7" x14ac:dyDescent="0.3">
      <c r="A10220" s="24">
        <v>45098</v>
      </c>
      <c r="B10220" s="66">
        <f t="shared" si="168"/>
        <v>1979.6197</v>
      </c>
      <c r="C10220" s="66">
        <v>1634.92</v>
      </c>
      <c r="E10220" s="111">
        <f t="shared" si="165"/>
        <v>138710</v>
      </c>
      <c r="F10220" s="69">
        <f t="shared" si="166"/>
        <v>6.9828318470206568E-2</v>
      </c>
      <c r="G10220" s="69">
        <f t="shared" si="167"/>
        <v>0.10970247626799254</v>
      </c>
    </row>
    <row r="10221" spans="1:7" x14ac:dyDescent="0.3">
      <c r="A10221" s="24">
        <v>45099</v>
      </c>
      <c r="B10221" s="66">
        <f t="shared" si="168"/>
        <v>1979.6197</v>
      </c>
      <c r="C10221" s="66">
        <v>1635</v>
      </c>
      <c r="E10221" s="111">
        <f t="shared" si="165"/>
        <v>138710</v>
      </c>
      <c r="F10221" s="69">
        <f t="shared" si="166"/>
        <v>6.9828318470206568E-2</v>
      </c>
      <c r="G10221" s="69">
        <f t="shared" si="167"/>
        <v>0.10782608695652174</v>
      </c>
    </row>
    <row r="10222" spans="1:7" x14ac:dyDescent="0.3">
      <c r="A10222" s="24">
        <v>45100</v>
      </c>
      <c r="B10222" s="66">
        <f t="shared" si="168"/>
        <v>1979.6197</v>
      </c>
      <c r="C10222" s="66">
        <v>1620.44</v>
      </c>
      <c r="D10222" s="71">
        <v>16</v>
      </c>
      <c r="E10222" s="111">
        <f t="shared" si="165"/>
        <v>138710</v>
      </c>
      <c r="F10222" s="69">
        <f t="shared" si="166"/>
        <v>6.9828318470206568E-2</v>
      </c>
      <c r="G10222" s="69">
        <f t="shared" si="167"/>
        <v>0.10944492007872973</v>
      </c>
    </row>
    <row r="10223" spans="1:7" x14ac:dyDescent="0.3">
      <c r="A10223" s="24">
        <v>45101</v>
      </c>
      <c r="B10223" s="66">
        <f t="shared" si="168"/>
        <v>1979.6197</v>
      </c>
      <c r="C10223" s="66">
        <v>1620.44</v>
      </c>
      <c r="E10223" s="111">
        <f t="shared" si="165"/>
        <v>138710</v>
      </c>
      <c r="F10223" s="69">
        <f t="shared" si="166"/>
        <v>6.9828318470206568E-2</v>
      </c>
      <c r="G10223" s="69">
        <f t="shared" si="167"/>
        <v>0.10944492007872973</v>
      </c>
    </row>
    <row r="10224" spans="1:7" x14ac:dyDescent="0.3">
      <c r="A10224" s="24">
        <v>45102</v>
      </c>
      <c r="B10224" s="66">
        <f t="shared" si="168"/>
        <v>1979.6197</v>
      </c>
      <c r="C10224" s="66">
        <v>1620.44</v>
      </c>
      <c r="E10224" s="111">
        <f t="shared" si="165"/>
        <v>138710</v>
      </c>
      <c r="F10224" s="69">
        <f t="shared" si="166"/>
        <v>6.9828318470206568E-2</v>
      </c>
      <c r="G10224" s="69">
        <f t="shared" si="167"/>
        <v>0.10944492007872973</v>
      </c>
    </row>
    <row r="10225" spans="1:7" x14ac:dyDescent="0.3">
      <c r="A10225" s="24">
        <v>45103</v>
      </c>
      <c r="B10225" s="66">
        <f t="shared" si="168"/>
        <v>1979.6197</v>
      </c>
      <c r="C10225" s="66">
        <v>1620.44</v>
      </c>
      <c r="E10225" s="111">
        <f t="shared" si="165"/>
        <v>138710</v>
      </c>
      <c r="F10225" s="69">
        <f t="shared" si="166"/>
        <v>6.9828318470206568E-2</v>
      </c>
      <c r="G10225" s="69">
        <f t="shared" si="167"/>
        <v>0.10944492007872973</v>
      </c>
    </row>
    <row r="10226" spans="1:7" x14ac:dyDescent="0.3">
      <c r="A10226" s="24">
        <v>45104</v>
      </c>
      <c r="B10226" s="66">
        <f t="shared" si="168"/>
        <v>1979.6197</v>
      </c>
      <c r="C10226" s="66">
        <v>1646.72</v>
      </c>
      <c r="E10226" s="111">
        <f t="shared" si="165"/>
        <v>138710</v>
      </c>
      <c r="F10226" s="69">
        <f t="shared" si="166"/>
        <v>6.9828318470206568E-2</v>
      </c>
      <c r="G10226" s="69">
        <f t="shared" si="167"/>
        <v>0.10944492007872973</v>
      </c>
    </row>
    <row r="10227" spans="1:7" x14ac:dyDescent="0.3">
      <c r="A10227" s="24">
        <v>45105</v>
      </c>
      <c r="B10227" s="66">
        <f t="shared" si="168"/>
        <v>1979.6197</v>
      </c>
      <c r="C10227" s="66">
        <v>1670</v>
      </c>
      <c r="E10227" s="111">
        <f t="shared" si="165"/>
        <v>138710</v>
      </c>
      <c r="F10227" s="69">
        <f t="shared" si="166"/>
        <v>6.9828318470206568E-2</v>
      </c>
      <c r="G10227" s="69">
        <f t="shared" si="167"/>
        <v>0.10735651887829753</v>
      </c>
    </row>
    <row r="10228" spans="1:7" x14ac:dyDescent="0.3">
      <c r="A10228" s="24">
        <v>45106</v>
      </c>
      <c r="B10228" s="66">
        <f t="shared" si="168"/>
        <v>1979.6197</v>
      </c>
      <c r="C10228" s="66">
        <v>1600.9</v>
      </c>
      <c r="E10228" s="111">
        <f t="shared" si="165"/>
        <v>138710</v>
      </c>
      <c r="F10228" s="69">
        <f t="shared" si="166"/>
        <v>6.9828318470206568E-2</v>
      </c>
      <c r="G10228" s="69">
        <f t="shared" si="167"/>
        <v>0.10735651887829753</v>
      </c>
    </row>
    <row r="10229" spans="1:7" x14ac:dyDescent="0.3">
      <c r="A10229" s="24">
        <v>45107</v>
      </c>
      <c r="B10229" s="66">
        <v>1977.2832000000001</v>
      </c>
      <c r="C10229" s="66">
        <v>1604.75</v>
      </c>
      <c r="E10229" s="111">
        <f t="shared" si="165"/>
        <v>138710</v>
      </c>
      <c r="F10229" s="69">
        <f t="shared" si="166"/>
        <v>6.9828318470206568E-2</v>
      </c>
      <c r="G10229" s="69">
        <f t="shared" si="167"/>
        <v>0.10682196052756265</v>
      </c>
    </row>
    <row r="10230" spans="1:7" x14ac:dyDescent="0.3">
      <c r="A10230" s="24">
        <v>45108</v>
      </c>
      <c r="B10230" s="66">
        <f t="shared" si="168"/>
        <v>1977.2832000000001</v>
      </c>
      <c r="C10230" s="66">
        <v>1604.75</v>
      </c>
      <c r="E10230" s="111">
        <f t="shared" si="165"/>
        <v>138710</v>
      </c>
      <c r="F10230" s="69">
        <f t="shared" si="166"/>
        <v>6.9828318470206568E-2</v>
      </c>
      <c r="G10230" s="69">
        <f t="shared" si="167"/>
        <v>0.10682196052756265</v>
      </c>
    </row>
    <row r="10231" spans="1:7" x14ac:dyDescent="0.3">
      <c r="A10231" s="24">
        <v>45109</v>
      </c>
      <c r="B10231" s="66">
        <f t="shared" si="168"/>
        <v>1977.2832000000001</v>
      </c>
      <c r="C10231" s="66">
        <v>1604.75</v>
      </c>
      <c r="E10231" s="111">
        <f t="shared" si="165"/>
        <v>138710</v>
      </c>
      <c r="F10231" s="69">
        <f t="shared" si="166"/>
        <v>6.9828318470206568E-2</v>
      </c>
      <c r="G10231" s="69">
        <f t="shared" si="167"/>
        <v>0.10682196052756265</v>
      </c>
    </row>
    <row r="10232" spans="1:7" x14ac:dyDescent="0.3">
      <c r="A10232" s="24">
        <v>45110</v>
      </c>
      <c r="B10232" s="66">
        <f t="shared" si="168"/>
        <v>1977.2832000000001</v>
      </c>
      <c r="C10232" s="66">
        <v>1619.77</v>
      </c>
      <c r="E10232" s="111">
        <f t="shared" si="165"/>
        <v>138710</v>
      </c>
      <c r="F10232" s="69">
        <f t="shared" si="166"/>
        <v>6.9828318470206568E-2</v>
      </c>
      <c r="G10232" s="69">
        <f t="shared" si="167"/>
        <v>0.1062553556126821</v>
      </c>
    </row>
    <row r="10233" spans="1:7" x14ac:dyDescent="0.3">
      <c r="A10233" s="24">
        <v>45111</v>
      </c>
      <c r="B10233" s="66">
        <f t="shared" si="168"/>
        <v>1977.2832000000001</v>
      </c>
      <c r="C10233" s="66">
        <v>1607.32</v>
      </c>
      <c r="E10233" s="111">
        <f t="shared" si="165"/>
        <v>138710</v>
      </c>
      <c r="F10233" s="69">
        <f t="shared" si="166"/>
        <v>6.9828318470206568E-2</v>
      </c>
      <c r="G10233" s="69">
        <f t="shared" si="167"/>
        <v>0.1062553556126821</v>
      </c>
    </row>
    <row r="10234" spans="1:7" x14ac:dyDescent="0.3">
      <c r="A10234" s="24">
        <v>45112</v>
      </c>
      <c r="B10234" s="66">
        <f t="shared" si="168"/>
        <v>1977.2832000000001</v>
      </c>
      <c r="C10234" s="66">
        <v>1618.79</v>
      </c>
      <c r="E10234" s="111">
        <f t="shared" si="165"/>
        <v>138710</v>
      </c>
      <c r="F10234" s="69">
        <f t="shared" si="166"/>
        <v>6.9828318470206568E-2</v>
      </c>
      <c r="G10234" s="69">
        <f t="shared" si="167"/>
        <v>0.10420168067226891</v>
      </c>
    </row>
    <row r="10235" spans="1:7" x14ac:dyDescent="0.3">
      <c r="A10235" s="24">
        <v>45113</v>
      </c>
      <c r="B10235" s="66">
        <f t="shared" si="168"/>
        <v>1977.2832000000001</v>
      </c>
      <c r="C10235" s="66">
        <v>1599.53</v>
      </c>
      <c r="E10235" s="111">
        <f t="shared" si="165"/>
        <v>138710</v>
      </c>
      <c r="F10235" s="69">
        <f t="shared" si="166"/>
        <v>6.9828318470206568E-2</v>
      </c>
      <c r="G10235" s="69">
        <f t="shared" si="167"/>
        <v>0.10498332119816448</v>
      </c>
    </row>
    <row r="10236" spans="1:7" x14ac:dyDescent="0.3">
      <c r="A10236" s="24">
        <v>45114</v>
      </c>
      <c r="B10236" s="66">
        <f t="shared" si="168"/>
        <v>1977.2832000000001</v>
      </c>
      <c r="C10236" s="66">
        <v>1599.29</v>
      </c>
      <c r="E10236" s="111">
        <f t="shared" si="165"/>
        <v>138710</v>
      </c>
      <c r="F10236" s="69">
        <f t="shared" si="166"/>
        <v>6.9828318470206568E-2</v>
      </c>
      <c r="G10236" s="69">
        <f t="shared" si="167"/>
        <v>0.10526315789473684</v>
      </c>
    </row>
    <row r="10237" spans="1:7" x14ac:dyDescent="0.3">
      <c r="A10237" s="24">
        <v>45115</v>
      </c>
      <c r="B10237" s="66">
        <f t="shared" si="168"/>
        <v>1977.2832000000001</v>
      </c>
      <c r="C10237" s="66">
        <v>1599.29</v>
      </c>
      <c r="E10237" s="111">
        <f t="shared" si="165"/>
        <v>138710</v>
      </c>
      <c r="F10237" s="69">
        <f t="shared" si="166"/>
        <v>6.9828318470206568E-2</v>
      </c>
      <c r="G10237" s="69">
        <f t="shared" si="167"/>
        <v>0.10526315789473684</v>
      </c>
    </row>
    <row r="10238" spans="1:7" x14ac:dyDescent="0.3">
      <c r="A10238" s="24">
        <v>45116</v>
      </c>
      <c r="B10238" s="66">
        <f t="shared" si="168"/>
        <v>1977.2832000000001</v>
      </c>
      <c r="C10238" s="66">
        <v>1599.29</v>
      </c>
      <c r="E10238" s="111">
        <f t="shared" si="165"/>
        <v>138710</v>
      </c>
      <c r="F10238" s="69">
        <f t="shared" si="166"/>
        <v>6.9828318470206568E-2</v>
      </c>
      <c r="G10238" s="69">
        <f t="shared" si="167"/>
        <v>0.10526315789473684</v>
      </c>
    </row>
    <row r="10239" spans="1:7" x14ac:dyDescent="0.3">
      <c r="A10239" s="24">
        <v>45117</v>
      </c>
      <c r="B10239" s="66">
        <f t="shared" si="168"/>
        <v>1977.2832000000001</v>
      </c>
      <c r="C10239" s="66">
        <v>1599.74</v>
      </c>
      <c r="E10239" s="111">
        <f t="shared" si="165"/>
        <v>138710</v>
      </c>
      <c r="F10239" s="69">
        <f t="shared" si="166"/>
        <v>6.9828318470206568E-2</v>
      </c>
      <c r="G10239" s="69">
        <f t="shared" si="167"/>
        <v>0.10689655172413794</v>
      </c>
    </row>
    <row r="10240" spans="1:7" x14ac:dyDescent="0.3">
      <c r="A10240" s="24">
        <v>45118</v>
      </c>
      <c r="B10240" s="66">
        <f t="shared" si="168"/>
        <v>1977.2832000000001</v>
      </c>
      <c r="C10240" s="66">
        <v>1622.63</v>
      </c>
      <c r="E10240" s="111">
        <f t="shared" si="165"/>
        <v>138710</v>
      </c>
      <c r="F10240" s="69">
        <f t="shared" si="166"/>
        <v>6.9828318470206568E-2</v>
      </c>
      <c r="G10240" s="69">
        <f t="shared" si="167"/>
        <v>0.10689655172413794</v>
      </c>
    </row>
    <row r="10241" spans="1:7" x14ac:dyDescent="0.3">
      <c r="A10241" s="24">
        <v>45119</v>
      </c>
      <c r="B10241" s="66">
        <f t="shared" si="168"/>
        <v>1977.2832000000001</v>
      </c>
      <c r="C10241" s="66">
        <v>1600</v>
      </c>
      <c r="E10241" s="111">
        <f t="shared" si="165"/>
        <v>138710</v>
      </c>
      <c r="F10241" s="69">
        <f t="shared" si="166"/>
        <v>6.9828318470206568E-2</v>
      </c>
      <c r="G10241" s="69">
        <f t="shared" si="167"/>
        <v>0.11088655589934363</v>
      </c>
    </row>
    <row r="10242" spans="1:7" x14ac:dyDescent="0.3">
      <c r="A10242" s="24">
        <v>45120</v>
      </c>
      <c r="B10242" s="66">
        <f t="shared" si="168"/>
        <v>1977.2832000000001</v>
      </c>
      <c r="C10242" s="66">
        <v>1609.94</v>
      </c>
      <c r="E10242" s="111">
        <f t="shared" si="165"/>
        <v>138710</v>
      </c>
      <c r="F10242" s="69">
        <f t="shared" si="166"/>
        <v>6.9828318470206568E-2</v>
      </c>
      <c r="G10242" s="69">
        <f t="shared" si="167"/>
        <v>0.11022222222222222</v>
      </c>
    </row>
    <row r="10243" spans="1:7" x14ac:dyDescent="0.3">
      <c r="A10243" s="24">
        <v>45121</v>
      </c>
      <c r="B10243" s="66">
        <f t="shared" si="168"/>
        <v>1977.2832000000001</v>
      </c>
      <c r="C10243" s="66">
        <v>1622.04</v>
      </c>
      <c r="E10243" s="111">
        <f t="shared" si="165"/>
        <v>138710</v>
      </c>
      <c r="F10243" s="69">
        <f t="shared" si="166"/>
        <v>6.9828318470206568E-2</v>
      </c>
      <c r="G10243" s="69">
        <f t="shared" si="167"/>
        <v>0.11022222222222222</v>
      </c>
    </row>
    <row r="10244" spans="1:7" x14ac:dyDescent="0.3">
      <c r="A10244" s="24">
        <v>45122</v>
      </c>
      <c r="B10244" s="66">
        <f t="shared" si="168"/>
        <v>1977.2832000000001</v>
      </c>
      <c r="C10244" s="66">
        <v>1622.04</v>
      </c>
      <c r="E10244" s="111">
        <f t="shared" si="165"/>
        <v>138710</v>
      </c>
      <c r="F10244" s="69">
        <f t="shared" si="166"/>
        <v>6.9828318470206568E-2</v>
      </c>
      <c r="G10244" s="69">
        <f t="shared" si="167"/>
        <v>0.11022222222222222</v>
      </c>
    </row>
    <row r="10245" spans="1:7" x14ac:dyDescent="0.3">
      <c r="A10245" s="24">
        <v>45123</v>
      </c>
      <c r="B10245" s="66">
        <f t="shared" si="168"/>
        <v>1977.2832000000001</v>
      </c>
      <c r="C10245" s="66">
        <v>1622.04</v>
      </c>
      <c r="E10245" s="111">
        <f t="shared" si="165"/>
        <v>138710</v>
      </c>
      <c r="F10245" s="69">
        <f t="shared" si="166"/>
        <v>6.9828318470206568E-2</v>
      </c>
      <c r="G10245" s="69">
        <f t="shared" si="167"/>
        <v>0.11022222222222222</v>
      </c>
    </row>
    <row r="10246" spans="1:7" x14ac:dyDescent="0.3">
      <c r="A10246" s="24">
        <v>45124</v>
      </c>
      <c r="B10246" s="66">
        <f t="shared" si="168"/>
        <v>1977.2832000000001</v>
      </c>
      <c r="C10246" s="66">
        <v>1607.42</v>
      </c>
      <c r="E10246" s="111">
        <f t="shared" si="165"/>
        <v>138710</v>
      </c>
      <c r="F10246" s="69">
        <f t="shared" si="166"/>
        <v>6.9828318470206568E-2</v>
      </c>
      <c r="G10246" s="69">
        <f t="shared" si="167"/>
        <v>0.11022222222222222</v>
      </c>
    </row>
    <row r="10247" spans="1:7" x14ac:dyDescent="0.3">
      <c r="A10247" s="24">
        <v>45125</v>
      </c>
      <c r="B10247" s="66">
        <f t="shared" si="168"/>
        <v>1977.2832000000001</v>
      </c>
      <c r="C10247" s="66">
        <v>1599.96</v>
      </c>
      <c r="E10247" s="111">
        <f t="shared" si="165"/>
        <v>138710</v>
      </c>
      <c r="F10247" s="69">
        <f t="shared" si="166"/>
        <v>6.9828318470206568E-2</v>
      </c>
      <c r="G10247" s="69">
        <f t="shared" si="167"/>
        <v>0.10719503444937196</v>
      </c>
    </row>
    <row r="10248" spans="1:7" x14ac:dyDescent="0.3">
      <c r="A10248" s="24">
        <v>45126</v>
      </c>
      <c r="B10248" s="66">
        <f t="shared" si="168"/>
        <v>1977.2832000000001</v>
      </c>
      <c r="C10248" s="66">
        <v>1600.53</v>
      </c>
      <c r="E10248" s="111">
        <f t="shared" si="165"/>
        <v>138710</v>
      </c>
      <c r="F10248" s="69">
        <f t="shared" si="166"/>
        <v>6.9828318470206568E-2</v>
      </c>
      <c r="G10248" s="69">
        <f t="shared" si="167"/>
        <v>0.10402771835334189</v>
      </c>
    </row>
    <row r="10249" spans="1:7" x14ac:dyDescent="0.3">
      <c r="A10249" s="24">
        <v>45127</v>
      </c>
      <c r="B10249" s="66">
        <f t="shared" si="168"/>
        <v>1977.2832000000001</v>
      </c>
      <c r="C10249" s="66">
        <v>1609.3</v>
      </c>
      <c r="E10249" s="111">
        <f t="shared" ref="E10249:E10312" si="169">+E10248</f>
        <v>138710</v>
      </c>
      <c r="F10249" s="69">
        <f t="shared" si="166"/>
        <v>6.9828318470206568E-2</v>
      </c>
      <c r="G10249" s="69">
        <f t="shared" si="167"/>
        <v>0.10040729734325531</v>
      </c>
    </row>
    <row r="10250" spans="1:7" x14ac:dyDescent="0.3">
      <c r="A10250" s="24">
        <v>45128</v>
      </c>
      <c r="B10250" s="66">
        <f t="shared" si="168"/>
        <v>1977.2832000000001</v>
      </c>
      <c r="C10250" s="66">
        <v>1609.08</v>
      </c>
      <c r="E10250" s="111">
        <f t="shared" si="169"/>
        <v>138710</v>
      </c>
      <c r="F10250" s="69">
        <f t="shared" ref="F10250:F10282" si="170">+SUM(D9887:D10250)/B9886</f>
        <v>6.9828318470206568E-2</v>
      </c>
      <c r="G10250" s="69">
        <f t="shared" ref="G10250:G10282" si="171">+SUM(D9887:D10250)/C9886</f>
        <v>9.9199999999999997E-2</v>
      </c>
    </row>
    <row r="10251" spans="1:7" x14ac:dyDescent="0.3">
      <c r="A10251" s="24">
        <v>45129</v>
      </c>
      <c r="B10251" s="66">
        <f t="shared" si="168"/>
        <v>1977.2832000000001</v>
      </c>
      <c r="C10251" s="66">
        <v>1609.08</v>
      </c>
      <c r="E10251" s="111">
        <f t="shared" si="169"/>
        <v>138710</v>
      </c>
      <c r="F10251" s="69">
        <f t="shared" si="170"/>
        <v>6.9828318470206568E-2</v>
      </c>
      <c r="G10251" s="69">
        <f t="shared" si="171"/>
        <v>9.9199999999999997E-2</v>
      </c>
    </row>
    <row r="10252" spans="1:7" x14ac:dyDescent="0.3">
      <c r="A10252" s="24">
        <v>45130</v>
      </c>
      <c r="B10252" s="66">
        <f t="shared" si="168"/>
        <v>1977.2832000000001</v>
      </c>
      <c r="C10252" s="66">
        <v>1609.08</v>
      </c>
      <c r="E10252" s="111">
        <f t="shared" si="169"/>
        <v>138710</v>
      </c>
      <c r="F10252" s="69">
        <f t="shared" si="170"/>
        <v>6.9828318470206568E-2</v>
      </c>
      <c r="G10252" s="69">
        <f t="shared" si="171"/>
        <v>9.9199999999999997E-2</v>
      </c>
    </row>
    <row r="10253" spans="1:7" x14ac:dyDescent="0.3">
      <c r="A10253" s="24">
        <v>45131</v>
      </c>
      <c r="B10253" s="66">
        <f t="shared" si="168"/>
        <v>1977.2832000000001</v>
      </c>
      <c r="C10253" s="66">
        <v>1619.56</v>
      </c>
      <c r="E10253" s="111">
        <f t="shared" si="169"/>
        <v>138710</v>
      </c>
      <c r="F10253" s="69">
        <f t="shared" si="170"/>
        <v>6.9828318470206568E-2</v>
      </c>
      <c r="G10253" s="69">
        <f t="shared" si="171"/>
        <v>9.8211598472968051E-2</v>
      </c>
    </row>
    <row r="10254" spans="1:7" x14ac:dyDescent="0.3">
      <c r="A10254" s="24">
        <v>45132</v>
      </c>
      <c r="B10254" s="66">
        <f t="shared" si="168"/>
        <v>1977.2832000000001</v>
      </c>
      <c r="C10254" s="66">
        <v>1608.75</v>
      </c>
      <c r="E10254" s="111">
        <f t="shared" si="169"/>
        <v>138710</v>
      </c>
      <c r="F10254" s="69">
        <f t="shared" si="170"/>
        <v>6.9828318470206568E-2</v>
      </c>
      <c r="G10254" s="69">
        <f t="shared" si="171"/>
        <v>0.10168518594448317</v>
      </c>
    </row>
    <row r="10255" spans="1:7" x14ac:dyDescent="0.3">
      <c r="A10255" s="24">
        <v>45133</v>
      </c>
      <c r="B10255" s="66">
        <f t="shared" si="168"/>
        <v>1977.2832000000001</v>
      </c>
      <c r="C10255" s="66">
        <v>1609.65</v>
      </c>
      <c r="E10255" s="111">
        <f t="shared" si="169"/>
        <v>138710</v>
      </c>
      <c r="F10255" s="69">
        <f t="shared" si="170"/>
        <v>6.9828318470206568E-2</v>
      </c>
      <c r="G10255" s="69">
        <f t="shared" si="171"/>
        <v>0.10163934426229508</v>
      </c>
    </row>
    <row r="10256" spans="1:7" x14ac:dyDescent="0.3">
      <c r="A10256" s="24">
        <v>45134</v>
      </c>
      <c r="B10256" s="66">
        <f t="shared" si="168"/>
        <v>1977.2832000000001</v>
      </c>
      <c r="C10256" s="66">
        <v>1612.31</v>
      </c>
      <c r="E10256" s="111">
        <f t="shared" si="169"/>
        <v>138710</v>
      </c>
      <c r="F10256" s="69">
        <f t="shared" si="170"/>
        <v>6.9828318470206568E-2</v>
      </c>
      <c r="G10256" s="69">
        <f t="shared" si="171"/>
        <v>0.10367892976588629</v>
      </c>
    </row>
    <row r="10257" spans="1:7" x14ac:dyDescent="0.3">
      <c r="A10257" s="24">
        <v>45135</v>
      </c>
      <c r="B10257" s="66">
        <f t="shared" si="168"/>
        <v>1977.2832000000001</v>
      </c>
      <c r="C10257" s="66">
        <v>1608.98</v>
      </c>
      <c r="E10257" s="111">
        <f t="shared" si="169"/>
        <v>138710</v>
      </c>
      <c r="F10257" s="69">
        <f t="shared" si="170"/>
        <v>6.9828318470206568E-2</v>
      </c>
      <c r="G10257" s="69">
        <f t="shared" si="171"/>
        <v>0.10403731919320736</v>
      </c>
    </row>
    <row r="10258" spans="1:7" x14ac:dyDescent="0.3">
      <c r="A10258" s="24">
        <v>45136</v>
      </c>
      <c r="B10258" s="66">
        <f t="shared" si="168"/>
        <v>1977.2832000000001</v>
      </c>
      <c r="C10258" s="66">
        <v>1608.98</v>
      </c>
      <c r="E10258" s="111">
        <f t="shared" si="169"/>
        <v>138710</v>
      </c>
      <c r="F10258" s="69">
        <f t="shared" si="170"/>
        <v>6.9828318470206568E-2</v>
      </c>
      <c r="G10258" s="69">
        <f t="shared" si="171"/>
        <v>0.10403731919320736</v>
      </c>
    </row>
    <row r="10259" spans="1:7" x14ac:dyDescent="0.3">
      <c r="A10259" s="24">
        <v>45137</v>
      </c>
      <c r="B10259" s="66">
        <f t="shared" si="168"/>
        <v>1977.2832000000001</v>
      </c>
      <c r="C10259" s="66">
        <v>1608.98</v>
      </c>
      <c r="E10259" s="111">
        <f t="shared" si="169"/>
        <v>138710</v>
      </c>
      <c r="F10259" s="69">
        <f t="shared" si="170"/>
        <v>6.9828318470206568E-2</v>
      </c>
      <c r="G10259" s="69">
        <f t="shared" si="171"/>
        <v>0.10403731919320736</v>
      </c>
    </row>
    <row r="10260" spans="1:7" x14ac:dyDescent="0.3">
      <c r="A10260" s="24">
        <v>45138</v>
      </c>
      <c r="B10260" s="66">
        <v>1989.0967000000001</v>
      </c>
      <c r="C10260" s="66">
        <v>1617.99</v>
      </c>
      <c r="E10260" s="111">
        <f t="shared" si="169"/>
        <v>138710</v>
      </c>
      <c r="F10260" s="69">
        <f t="shared" si="170"/>
        <v>6.9828318470206568E-2</v>
      </c>
      <c r="G10260" s="69">
        <f t="shared" si="171"/>
        <v>0.10605088732093222</v>
      </c>
    </row>
    <row r="10261" spans="1:7" x14ac:dyDescent="0.3">
      <c r="A10261" s="24">
        <v>45139</v>
      </c>
      <c r="B10261" s="66">
        <f t="shared" si="168"/>
        <v>1989.0967000000001</v>
      </c>
      <c r="C10261" s="66">
        <v>1616.98</v>
      </c>
      <c r="E10261" s="111">
        <f t="shared" si="169"/>
        <v>138710</v>
      </c>
      <c r="F10261" s="69">
        <f t="shared" si="170"/>
        <v>6.9828318470206568E-2</v>
      </c>
      <c r="G10261" s="69">
        <f t="shared" si="171"/>
        <v>0.10351880452477356</v>
      </c>
    </row>
    <row r="10262" spans="1:7" x14ac:dyDescent="0.3">
      <c r="A10262" s="24">
        <v>45140</v>
      </c>
      <c r="B10262" s="66">
        <f t="shared" si="168"/>
        <v>1989.0967000000001</v>
      </c>
      <c r="C10262" s="66">
        <v>1618.51</v>
      </c>
      <c r="E10262" s="111">
        <f t="shared" si="169"/>
        <v>138710</v>
      </c>
      <c r="F10262" s="69">
        <f t="shared" si="170"/>
        <v>6.9828318470206568E-2</v>
      </c>
      <c r="G10262" s="69">
        <f t="shared" si="171"/>
        <v>0.10689655172413794</v>
      </c>
    </row>
    <row r="10263" spans="1:7" x14ac:dyDescent="0.3">
      <c r="A10263" s="24">
        <v>45141</v>
      </c>
      <c r="B10263" s="66">
        <f t="shared" si="168"/>
        <v>1989.0967000000001</v>
      </c>
      <c r="C10263" s="66">
        <v>1603.43</v>
      </c>
      <c r="E10263" s="111">
        <f t="shared" si="169"/>
        <v>138710</v>
      </c>
      <c r="F10263" s="69">
        <f t="shared" si="170"/>
        <v>6.9828318470206568E-2</v>
      </c>
      <c r="G10263" s="69">
        <f t="shared" si="171"/>
        <v>0.10618165626257696</v>
      </c>
    </row>
    <row r="10264" spans="1:7" x14ac:dyDescent="0.3">
      <c r="A10264" s="24">
        <v>45142</v>
      </c>
      <c r="B10264" s="66">
        <f t="shared" si="168"/>
        <v>1989.0967000000001</v>
      </c>
      <c r="C10264" s="66">
        <v>1620.03</v>
      </c>
      <c r="E10264" s="111">
        <f t="shared" si="169"/>
        <v>138710</v>
      </c>
      <c r="F10264" s="69">
        <f t="shared" si="170"/>
        <v>6.9828318470206568E-2</v>
      </c>
      <c r="G10264" s="69">
        <f t="shared" si="171"/>
        <v>0.10420168067226891</v>
      </c>
    </row>
    <row r="10265" spans="1:7" x14ac:dyDescent="0.3">
      <c r="A10265" s="24">
        <v>45143</v>
      </c>
      <c r="B10265" s="66">
        <f t="shared" si="168"/>
        <v>1989.0967000000001</v>
      </c>
      <c r="C10265" s="66">
        <v>1620.03</v>
      </c>
      <c r="E10265" s="111">
        <f t="shared" si="169"/>
        <v>138710</v>
      </c>
      <c r="F10265" s="69">
        <f t="shared" si="170"/>
        <v>6.9828318470206568E-2</v>
      </c>
      <c r="G10265" s="69">
        <f t="shared" si="171"/>
        <v>0.10420168067226891</v>
      </c>
    </row>
    <row r="10266" spans="1:7" x14ac:dyDescent="0.3">
      <c r="A10266" s="24">
        <v>45144</v>
      </c>
      <c r="B10266" s="66">
        <f t="shared" si="168"/>
        <v>1989.0967000000001</v>
      </c>
      <c r="C10266" s="66">
        <v>1620.03</v>
      </c>
      <c r="E10266" s="111">
        <f t="shared" si="169"/>
        <v>138710</v>
      </c>
      <c r="F10266" s="69">
        <f t="shared" si="170"/>
        <v>6.9828318470206568E-2</v>
      </c>
      <c r="G10266" s="69">
        <f t="shared" si="171"/>
        <v>0.10420168067226891</v>
      </c>
    </row>
    <row r="10267" spans="1:7" x14ac:dyDescent="0.3">
      <c r="A10267" s="24">
        <v>45145</v>
      </c>
      <c r="B10267" s="66">
        <f t="shared" si="168"/>
        <v>1989.0967000000001</v>
      </c>
      <c r="C10267" s="66">
        <v>1632.01</v>
      </c>
      <c r="E10267" s="111">
        <f t="shared" si="169"/>
        <v>138710</v>
      </c>
      <c r="F10267" s="69">
        <f t="shared" si="170"/>
        <v>6.9828318470206568E-2</v>
      </c>
      <c r="G10267" s="69">
        <f t="shared" si="171"/>
        <v>0.10420168067226891</v>
      </c>
    </row>
    <row r="10268" spans="1:7" x14ac:dyDescent="0.3">
      <c r="A10268" s="24">
        <v>45146</v>
      </c>
      <c r="B10268" s="66">
        <f t="shared" si="168"/>
        <v>1989.0967000000001</v>
      </c>
      <c r="C10268" s="66">
        <v>1669.53</v>
      </c>
      <c r="E10268" s="111">
        <f t="shared" si="169"/>
        <v>138710</v>
      </c>
      <c r="F10268" s="69">
        <f t="shared" si="170"/>
        <v>6.9828318470206568E-2</v>
      </c>
      <c r="G10268" s="69">
        <f t="shared" si="171"/>
        <v>0.10454518628434604</v>
      </c>
    </row>
    <row r="10269" spans="1:7" x14ac:dyDescent="0.3">
      <c r="A10269" s="24">
        <v>45147</v>
      </c>
      <c r="B10269" s="66">
        <f t="shared" si="168"/>
        <v>1989.0967000000001</v>
      </c>
      <c r="C10269" s="66">
        <v>1665.07</v>
      </c>
      <c r="E10269" s="111">
        <f t="shared" si="169"/>
        <v>138710</v>
      </c>
      <c r="F10269" s="69">
        <f t="shared" si="170"/>
        <v>6.9828318470206568E-2</v>
      </c>
      <c r="G10269" s="69">
        <f t="shared" si="171"/>
        <v>0.10677688797037803</v>
      </c>
    </row>
    <row r="10270" spans="1:7" x14ac:dyDescent="0.3">
      <c r="A10270" s="24">
        <v>45148</v>
      </c>
      <c r="B10270" s="66">
        <f t="shared" si="168"/>
        <v>1989.0967000000001</v>
      </c>
      <c r="C10270" s="66">
        <v>1644.46</v>
      </c>
      <c r="E10270" s="111">
        <f t="shared" si="169"/>
        <v>138710</v>
      </c>
      <c r="F10270" s="69">
        <f t="shared" si="170"/>
        <v>6.9828318470206568E-2</v>
      </c>
      <c r="G10270" s="69">
        <f t="shared" si="171"/>
        <v>0.10521760528124496</v>
      </c>
    </row>
    <row r="10271" spans="1:7" x14ac:dyDescent="0.3">
      <c r="A10271" s="24">
        <v>45149</v>
      </c>
      <c r="B10271" s="66">
        <f t="shared" si="168"/>
        <v>1989.0967000000001</v>
      </c>
      <c r="C10271" s="66">
        <v>1650</v>
      </c>
      <c r="E10271" s="111">
        <f t="shared" si="169"/>
        <v>138710</v>
      </c>
      <c r="F10271" s="69">
        <f t="shared" si="170"/>
        <v>6.9828318470206568E-2</v>
      </c>
      <c r="G10271" s="69">
        <f t="shared" si="171"/>
        <v>0.10508474576271186</v>
      </c>
    </row>
    <row r="10272" spans="1:7" x14ac:dyDescent="0.3">
      <c r="A10272" s="24">
        <v>45150</v>
      </c>
      <c r="B10272" s="66">
        <f t="shared" si="168"/>
        <v>1989.0967000000001</v>
      </c>
      <c r="C10272" s="66">
        <v>1650</v>
      </c>
      <c r="E10272" s="111">
        <f t="shared" si="169"/>
        <v>138710</v>
      </c>
      <c r="F10272" s="69">
        <f t="shared" si="170"/>
        <v>6.9828318470206568E-2</v>
      </c>
      <c r="G10272" s="69">
        <f t="shared" si="171"/>
        <v>0.10508474576271186</v>
      </c>
    </row>
    <row r="10273" spans="1:7" x14ac:dyDescent="0.3">
      <c r="A10273" s="24">
        <v>45151</v>
      </c>
      <c r="B10273" s="66">
        <f t="shared" ref="B10273:B10336" si="172">+B10272</f>
        <v>1989.0967000000001</v>
      </c>
      <c r="C10273" s="66">
        <v>1650</v>
      </c>
      <c r="E10273" s="111">
        <f t="shared" si="169"/>
        <v>138710</v>
      </c>
      <c r="F10273" s="69">
        <f t="shared" si="170"/>
        <v>6.9828318470206568E-2</v>
      </c>
      <c r="G10273" s="69">
        <f t="shared" si="171"/>
        <v>0.10508474576271186</v>
      </c>
    </row>
    <row r="10274" spans="1:7" x14ac:dyDescent="0.3">
      <c r="A10274" s="24">
        <v>45152</v>
      </c>
      <c r="B10274" s="66">
        <f t="shared" si="172"/>
        <v>1989.0967000000001</v>
      </c>
      <c r="C10274" s="66">
        <v>1621.14</v>
      </c>
      <c r="E10274" s="111">
        <f t="shared" si="169"/>
        <v>138710</v>
      </c>
      <c r="F10274" s="69">
        <f t="shared" si="170"/>
        <v>6.9828318470206568E-2</v>
      </c>
      <c r="G10274" s="69">
        <f t="shared" si="171"/>
        <v>0.10508474576271186</v>
      </c>
    </row>
    <row r="10275" spans="1:7" x14ac:dyDescent="0.3">
      <c r="A10275" s="24">
        <v>45153</v>
      </c>
      <c r="B10275" s="66">
        <f t="shared" si="172"/>
        <v>1989.0967000000001</v>
      </c>
      <c r="C10275" s="66">
        <v>1621.14</v>
      </c>
      <c r="E10275" s="111">
        <f t="shared" si="169"/>
        <v>138710</v>
      </c>
      <c r="F10275" s="69">
        <f t="shared" si="170"/>
        <v>6.9828318470206568E-2</v>
      </c>
      <c r="G10275" s="69">
        <f t="shared" si="171"/>
        <v>0.10473061427883681</v>
      </c>
    </row>
    <row r="10276" spans="1:7" x14ac:dyDescent="0.3">
      <c r="A10276" s="24">
        <v>45154</v>
      </c>
      <c r="B10276" s="66">
        <f t="shared" si="172"/>
        <v>1989.0967000000001</v>
      </c>
      <c r="C10276" s="66">
        <v>1600</v>
      </c>
      <c r="E10276" s="111">
        <f t="shared" si="169"/>
        <v>138710</v>
      </c>
      <c r="F10276" s="69">
        <f t="shared" si="170"/>
        <v>6.9828318470206568E-2</v>
      </c>
      <c r="G10276" s="69">
        <f t="shared" si="171"/>
        <v>0.10647066904794614</v>
      </c>
    </row>
    <row r="10277" spans="1:7" x14ac:dyDescent="0.3">
      <c r="A10277" s="24">
        <v>45155</v>
      </c>
      <c r="B10277" s="66">
        <f t="shared" si="172"/>
        <v>1989.0967000000001</v>
      </c>
      <c r="C10277" s="66">
        <v>1614.85</v>
      </c>
      <c r="E10277" s="111">
        <f t="shared" si="169"/>
        <v>138710</v>
      </c>
      <c r="F10277" s="69">
        <f t="shared" si="170"/>
        <v>6.9828318470206568E-2</v>
      </c>
      <c r="G10277" s="69">
        <f t="shared" si="171"/>
        <v>0.10617983781886063</v>
      </c>
    </row>
    <row r="10278" spans="1:7" x14ac:dyDescent="0.3">
      <c r="A10278" s="24">
        <v>45156</v>
      </c>
      <c r="B10278" s="66">
        <f t="shared" si="172"/>
        <v>1989.0967000000001</v>
      </c>
      <c r="C10278" s="66">
        <v>1602.73</v>
      </c>
      <c r="E10278" s="111">
        <f t="shared" si="169"/>
        <v>138710</v>
      </c>
      <c r="F10278" s="69">
        <f t="shared" si="170"/>
        <v>6.9828318470206568E-2</v>
      </c>
      <c r="G10278" s="69">
        <f t="shared" si="171"/>
        <v>0.10916453913196583</v>
      </c>
    </row>
    <row r="10279" spans="1:7" x14ac:dyDescent="0.3">
      <c r="A10279" s="24">
        <v>45157</v>
      </c>
      <c r="B10279" s="66">
        <f t="shared" si="172"/>
        <v>1989.0967000000001</v>
      </c>
      <c r="C10279" s="66">
        <v>1602.73</v>
      </c>
      <c r="E10279" s="111">
        <f t="shared" si="169"/>
        <v>138710</v>
      </c>
      <c r="F10279" s="69">
        <f t="shared" si="170"/>
        <v>6.9828318470206568E-2</v>
      </c>
      <c r="G10279" s="69">
        <f t="shared" si="171"/>
        <v>0.10916453913196583</v>
      </c>
    </row>
    <row r="10280" spans="1:7" x14ac:dyDescent="0.3">
      <c r="A10280" s="24">
        <v>45158</v>
      </c>
      <c r="B10280" s="66">
        <f t="shared" si="172"/>
        <v>1989.0967000000001</v>
      </c>
      <c r="C10280" s="66">
        <v>1602.73</v>
      </c>
      <c r="E10280" s="111">
        <f t="shared" si="169"/>
        <v>138710</v>
      </c>
      <c r="F10280" s="69">
        <f t="shared" si="170"/>
        <v>6.9828318470206568E-2</v>
      </c>
      <c r="G10280" s="69">
        <f t="shared" si="171"/>
        <v>0.10916453913196583</v>
      </c>
    </row>
    <row r="10281" spans="1:7" x14ac:dyDescent="0.3">
      <c r="A10281" s="24">
        <v>45159</v>
      </c>
      <c r="B10281" s="66">
        <f t="shared" si="172"/>
        <v>1989.0967000000001</v>
      </c>
      <c r="C10281" s="66">
        <v>1601.25</v>
      </c>
      <c r="E10281" s="111">
        <f t="shared" si="169"/>
        <v>138710</v>
      </c>
      <c r="F10281" s="69">
        <f t="shared" si="170"/>
        <v>6.9828318470206568E-2</v>
      </c>
      <c r="G10281" s="69">
        <f t="shared" si="171"/>
        <v>0.10975199589315113</v>
      </c>
    </row>
    <row r="10282" spans="1:7" x14ac:dyDescent="0.3">
      <c r="A10282" s="24">
        <v>45160</v>
      </c>
      <c r="B10282" s="66">
        <f t="shared" si="172"/>
        <v>1989.0967000000001</v>
      </c>
      <c r="C10282" s="66">
        <v>1581.67</v>
      </c>
      <c r="E10282" s="111">
        <f t="shared" si="169"/>
        <v>138710</v>
      </c>
      <c r="F10282" s="69">
        <f t="shared" si="170"/>
        <v>6.9828318470206568E-2</v>
      </c>
      <c r="G10282" s="69">
        <f t="shared" si="171"/>
        <v>0.10975199589315113</v>
      </c>
    </row>
    <row r="10283" spans="1:7" x14ac:dyDescent="0.3">
      <c r="A10283" s="24">
        <v>45161</v>
      </c>
      <c r="B10283" s="66">
        <f t="shared" si="172"/>
        <v>1989.0967000000001</v>
      </c>
      <c r="C10283" s="66">
        <v>1594.7</v>
      </c>
      <c r="E10283" s="111">
        <f t="shared" si="169"/>
        <v>138710</v>
      </c>
      <c r="F10283" s="69">
        <f>+SUM(D9920:D10283)/B9919</f>
        <v>6.7274955237740464E-2</v>
      </c>
      <c r="G10283" s="69">
        <f>+SUM(D9920:D10283)/C9919</f>
        <v>0.10782608695652174</v>
      </c>
    </row>
    <row r="10284" spans="1:7" x14ac:dyDescent="0.3">
      <c r="A10284" s="24">
        <v>45162</v>
      </c>
      <c r="B10284" s="66">
        <f t="shared" si="172"/>
        <v>1989.0967000000001</v>
      </c>
      <c r="C10284" s="66">
        <v>1609.88</v>
      </c>
      <c r="E10284" s="111">
        <f t="shared" si="169"/>
        <v>138710</v>
      </c>
      <c r="F10284" s="69">
        <f t="shared" ref="F10284:F10318" si="173">+SUM(D9921:D10284)/B9920</f>
        <v>6.7274955237740464E-2</v>
      </c>
      <c r="G10284" s="69">
        <f t="shared" ref="G10284:G10318" si="174">+SUM(D9921:D10284)/C9920</f>
        <v>0.10782608695652174</v>
      </c>
    </row>
    <row r="10285" spans="1:7" x14ac:dyDescent="0.3">
      <c r="A10285" s="24">
        <v>45163</v>
      </c>
      <c r="B10285" s="66">
        <f t="shared" si="172"/>
        <v>1989.0967000000001</v>
      </c>
      <c r="C10285" s="66">
        <v>1603.58</v>
      </c>
      <c r="E10285" s="111">
        <f t="shared" si="169"/>
        <v>138710</v>
      </c>
      <c r="F10285" s="69">
        <f t="shared" si="173"/>
        <v>6.7274955237740464E-2</v>
      </c>
      <c r="G10285" s="69">
        <f t="shared" si="174"/>
        <v>0.10689655172413794</v>
      </c>
    </row>
    <row r="10286" spans="1:7" x14ac:dyDescent="0.3">
      <c r="A10286" s="24">
        <v>45164</v>
      </c>
      <c r="B10286" s="66">
        <f t="shared" si="172"/>
        <v>1989.0967000000001</v>
      </c>
      <c r="C10286" s="66">
        <v>1603.58</v>
      </c>
      <c r="E10286" s="111">
        <f t="shared" si="169"/>
        <v>138710</v>
      </c>
      <c r="F10286" s="69">
        <f t="shared" si="173"/>
        <v>6.7274955237740464E-2</v>
      </c>
      <c r="G10286" s="69">
        <f t="shared" si="174"/>
        <v>0.10689655172413794</v>
      </c>
    </row>
    <row r="10287" spans="1:7" x14ac:dyDescent="0.3">
      <c r="A10287" s="24">
        <v>45165</v>
      </c>
      <c r="B10287" s="66">
        <f t="shared" si="172"/>
        <v>1989.0967000000001</v>
      </c>
      <c r="C10287" s="66">
        <v>1603.58</v>
      </c>
      <c r="E10287" s="111">
        <f t="shared" si="169"/>
        <v>138710</v>
      </c>
      <c r="F10287" s="69">
        <f t="shared" si="173"/>
        <v>6.7274955237740464E-2</v>
      </c>
      <c r="G10287" s="69">
        <f t="shared" si="174"/>
        <v>0.10689655172413794</v>
      </c>
    </row>
    <row r="10288" spans="1:7" x14ac:dyDescent="0.3">
      <c r="A10288" s="24">
        <v>45166</v>
      </c>
      <c r="B10288" s="66">
        <f t="shared" si="172"/>
        <v>1989.0967000000001</v>
      </c>
      <c r="C10288" s="66">
        <v>1592.02</v>
      </c>
      <c r="E10288" s="111">
        <f t="shared" si="169"/>
        <v>138710</v>
      </c>
      <c r="F10288" s="69">
        <f t="shared" si="173"/>
        <v>6.7274955237740464E-2</v>
      </c>
      <c r="G10288" s="69">
        <f t="shared" si="174"/>
        <v>0.1060209647907796</v>
      </c>
    </row>
    <row r="10289" spans="1:7" x14ac:dyDescent="0.3">
      <c r="A10289" s="24">
        <v>45167</v>
      </c>
      <c r="B10289" s="66">
        <f t="shared" si="172"/>
        <v>1989.0967000000001</v>
      </c>
      <c r="C10289" s="66">
        <v>1594.35</v>
      </c>
      <c r="E10289" s="111">
        <f t="shared" si="169"/>
        <v>138710</v>
      </c>
      <c r="F10289" s="69">
        <f t="shared" si="173"/>
        <v>6.7274955237740464E-2</v>
      </c>
      <c r="G10289" s="69">
        <f t="shared" si="174"/>
        <v>0.10634648370497427</v>
      </c>
    </row>
    <row r="10290" spans="1:7" x14ac:dyDescent="0.3">
      <c r="A10290" s="24">
        <v>45168</v>
      </c>
      <c r="B10290" s="66">
        <f t="shared" si="172"/>
        <v>1989.0967000000001</v>
      </c>
      <c r="C10290" s="66">
        <v>1599.12</v>
      </c>
      <c r="E10290" s="111">
        <f t="shared" si="169"/>
        <v>138710</v>
      </c>
      <c r="F10290" s="69">
        <f t="shared" si="173"/>
        <v>6.7274955237740464E-2</v>
      </c>
      <c r="G10290" s="69">
        <f t="shared" si="174"/>
        <v>0.10690023793923928</v>
      </c>
    </row>
    <row r="10291" spans="1:7" x14ac:dyDescent="0.3">
      <c r="A10291" s="24">
        <v>45169</v>
      </c>
      <c r="B10291" s="66">
        <v>2008.6190999999999</v>
      </c>
      <c r="C10291" s="66">
        <v>1605.08</v>
      </c>
      <c r="E10291" s="111">
        <f t="shared" si="169"/>
        <v>138710</v>
      </c>
      <c r="F10291" s="69">
        <f t="shared" si="173"/>
        <v>6.7274955237740464E-2</v>
      </c>
      <c r="G10291" s="69">
        <f t="shared" si="174"/>
        <v>0.10540901247056625</v>
      </c>
    </row>
    <row r="10292" spans="1:7" x14ac:dyDescent="0.3">
      <c r="A10292" s="24">
        <v>45170</v>
      </c>
      <c r="B10292" s="66">
        <f t="shared" si="172"/>
        <v>2008.6190999999999</v>
      </c>
      <c r="C10292" s="66">
        <v>1600.19</v>
      </c>
      <c r="E10292" s="111">
        <f t="shared" si="169"/>
        <v>138710</v>
      </c>
      <c r="F10292" s="69">
        <f t="shared" si="173"/>
        <v>6.7274955237740464E-2</v>
      </c>
      <c r="G10292" s="69">
        <f t="shared" si="174"/>
        <v>0.10044959293612539</v>
      </c>
    </row>
    <row r="10293" spans="1:7" x14ac:dyDescent="0.3">
      <c r="A10293" s="24">
        <v>45171</v>
      </c>
      <c r="B10293" s="66">
        <f t="shared" si="172"/>
        <v>2008.6190999999999</v>
      </c>
      <c r="C10293" s="66">
        <v>1600.19</v>
      </c>
      <c r="E10293" s="111">
        <f t="shared" si="169"/>
        <v>138710</v>
      </c>
      <c r="F10293" s="69">
        <f t="shared" si="173"/>
        <v>6.7274955237740464E-2</v>
      </c>
      <c r="G10293" s="69">
        <f t="shared" si="174"/>
        <v>0.10044959293612539</v>
      </c>
    </row>
    <row r="10294" spans="1:7" x14ac:dyDescent="0.3">
      <c r="A10294" s="24">
        <v>45172</v>
      </c>
      <c r="B10294" s="66">
        <f t="shared" si="172"/>
        <v>2008.6190999999999</v>
      </c>
      <c r="C10294" s="66">
        <v>1600.19</v>
      </c>
      <c r="E10294" s="111">
        <f t="shared" si="169"/>
        <v>138710</v>
      </c>
      <c r="F10294" s="69">
        <f t="shared" si="173"/>
        <v>6.7274955237740464E-2</v>
      </c>
      <c r="G10294" s="69">
        <f t="shared" si="174"/>
        <v>0.10044959293612539</v>
      </c>
    </row>
    <row r="10295" spans="1:7" x14ac:dyDescent="0.3">
      <c r="A10295" s="24">
        <v>45173</v>
      </c>
      <c r="B10295" s="66">
        <f t="shared" si="172"/>
        <v>2008.6190999999999</v>
      </c>
      <c r="C10295" s="66">
        <v>1589.38</v>
      </c>
      <c r="E10295" s="111">
        <f t="shared" si="169"/>
        <v>138710</v>
      </c>
      <c r="F10295" s="69">
        <f t="shared" si="173"/>
        <v>6.7274955237740464E-2</v>
      </c>
      <c r="G10295" s="69">
        <f t="shared" si="174"/>
        <v>9.9057357405336319E-2</v>
      </c>
    </row>
    <row r="10296" spans="1:7" x14ac:dyDescent="0.3">
      <c r="A10296" s="24">
        <v>45174</v>
      </c>
      <c r="B10296" s="66">
        <f t="shared" si="172"/>
        <v>2008.6190999999999</v>
      </c>
      <c r="C10296" s="66">
        <v>1573.33</v>
      </c>
      <c r="E10296" s="111">
        <f t="shared" si="169"/>
        <v>138710</v>
      </c>
      <c r="F10296" s="69">
        <f t="shared" si="173"/>
        <v>6.7274955237740464E-2</v>
      </c>
      <c r="G10296" s="69">
        <f t="shared" si="174"/>
        <v>0.11046770601336303</v>
      </c>
    </row>
    <row r="10297" spans="1:7" x14ac:dyDescent="0.3">
      <c r="A10297" s="24">
        <v>45175</v>
      </c>
      <c r="B10297" s="66">
        <f t="shared" si="172"/>
        <v>2008.6190999999999</v>
      </c>
      <c r="C10297" s="66">
        <v>1602.8</v>
      </c>
      <c r="E10297" s="111">
        <f t="shared" si="169"/>
        <v>138710</v>
      </c>
      <c r="F10297" s="69">
        <f t="shared" si="173"/>
        <v>6.7274955237740464E-2</v>
      </c>
      <c r="G10297" s="69">
        <f t="shared" si="174"/>
        <v>0.10333333333333333</v>
      </c>
    </row>
    <row r="10298" spans="1:7" x14ac:dyDescent="0.3">
      <c r="A10298" s="24">
        <v>45176</v>
      </c>
      <c r="B10298" s="66">
        <f t="shared" si="172"/>
        <v>2008.6190999999999</v>
      </c>
      <c r="C10298" s="66">
        <v>1505.6</v>
      </c>
      <c r="E10298" s="111">
        <f t="shared" si="169"/>
        <v>138710</v>
      </c>
      <c r="F10298" s="69">
        <f t="shared" si="173"/>
        <v>6.7274955237740464E-2</v>
      </c>
      <c r="G10298" s="69">
        <f t="shared" si="174"/>
        <v>0.1023389399666573</v>
      </c>
    </row>
    <row r="10299" spans="1:7" x14ac:dyDescent="0.3">
      <c r="A10299" s="24">
        <v>45177</v>
      </c>
      <c r="B10299" s="66">
        <f t="shared" si="172"/>
        <v>2008.6190999999999</v>
      </c>
      <c r="C10299" s="66">
        <v>1501.4</v>
      </c>
      <c r="E10299" s="111">
        <f t="shared" si="169"/>
        <v>138710</v>
      </c>
      <c r="F10299" s="69">
        <f t="shared" si="173"/>
        <v>6.7274955237740464E-2</v>
      </c>
      <c r="G10299" s="69">
        <f t="shared" si="174"/>
        <v>0.1023389399666573</v>
      </c>
    </row>
    <row r="10300" spans="1:7" x14ac:dyDescent="0.3">
      <c r="A10300" s="24">
        <v>45178</v>
      </c>
      <c r="B10300" s="66">
        <f t="shared" si="172"/>
        <v>2008.6190999999999</v>
      </c>
      <c r="C10300" s="66">
        <v>1501.4</v>
      </c>
      <c r="E10300" s="111">
        <f t="shared" si="169"/>
        <v>138710</v>
      </c>
      <c r="F10300" s="69">
        <f t="shared" si="173"/>
        <v>6.7274955237740464E-2</v>
      </c>
      <c r="G10300" s="69">
        <f t="shared" si="174"/>
        <v>0.1023389399666573</v>
      </c>
    </row>
    <row r="10301" spans="1:7" x14ac:dyDescent="0.3">
      <c r="A10301" s="24">
        <v>45179</v>
      </c>
      <c r="B10301" s="66">
        <f t="shared" si="172"/>
        <v>2008.6190999999999</v>
      </c>
      <c r="C10301" s="66">
        <v>1501.4</v>
      </c>
      <c r="E10301" s="111">
        <f t="shared" si="169"/>
        <v>138710</v>
      </c>
      <c r="F10301" s="69">
        <f t="shared" si="173"/>
        <v>6.7274955237740464E-2</v>
      </c>
      <c r="G10301" s="69">
        <f t="shared" si="174"/>
        <v>0.1023389399666573</v>
      </c>
    </row>
    <row r="10302" spans="1:7" x14ac:dyDescent="0.3">
      <c r="A10302" s="24">
        <v>45180</v>
      </c>
      <c r="B10302" s="66">
        <f t="shared" si="172"/>
        <v>2008.6190999999999</v>
      </c>
      <c r="C10302" s="66">
        <v>1499.92</v>
      </c>
      <c r="E10302" s="111">
        <f t="shared" si="169"/>
        <v>138710</v>
      </c>
      <c r="F10302" s="69">
        <f t="shared" si="173"/>
        <v>6.7274955237740464E-2</v>
      </c>
      <c r="G10302" s="69">
        <f t="shared" si="174"/>
        <v>0.10553191489361702</v>
      </c>
    </row>
    <row r="10303" spans="1:7" x14ac:dyDescent="0.3">
      <c r="A10303" s="24">
        <v>45181</v>
      </c>
      <c r="B10303" s="66">
        <f t="shared" si="172"/>
        <v>2008.6190999999999</v>
      </c>
      <c r="C10303" s="66">
        <v>1461.77</v>
      </c>
      <c r="E10303" s="111">
        <f t="shared" si="169"/>
        <v>138710</v>
      </c>
      <c r="F10303" s="69">
        <f t="shared" si="173"/>
        <v>6.7274955237740464E-2</v>
      </c>
      <c r="G10303" s="69">
        <f t="shared" si="174"/>
        <v>0.10553191489361702</v>
      </c>
    </row>
    <row r="10304" spans="1:7" x14ac:dyDescent="0.3">
      <c r="A10304" s="24">
        <v>45182</v>
      </c>
      <c r="B10304" s="66">
        <f t="shared" si="172"/>
        <v>2008.6190999999999</v>
      </c>
      <c r="C10304" s="66">
        <v>1491.05</v>
      </c>
      <c r="E10304" s="111">
        <f t="shared" si="169"/>
        <v>138710</v>
      </c>
      <c r="F10304" s="69">
        <f t="shared" si="173"/>
        <v>6.7274955237740464E-2</v>
      </c>
      <c r="G10304" s="69">
        <f t="shared" si="174"/>
        <v>0.10707377728654326</v>
      </c>
    </row>
    <row r="10305" spans="1:7" x14ac:dyDescent="0.3">
      <c r="A10305" s="24">
        <v>45183</v>
      </c>
      <c r="B10305" s="66">
        <f t="shared" si="172"/>
        <v>2008.6190999999999</v>
      </c>
      <c r="C10305" s="66">
        <v>1505.26</v>
      </c>
      <c r="E10305" s="111">
        <f t="shared" si="169"/>
        <v>138710</v>
      </c>
      <c r="F10305" s="69">
        <f t="shared" si="173"/>
        <v>6.7274955237740464E-2</v>
      </c>
      <c r="G10305" s="69">
        <f t="shared" si="174"/>
        <v>0.10826763059782941</v>
      </c>
    </row>
    <row r="10306" spans="1:7" x14ac:dyDescent="0.3">
      <c r="A10306" s="24">
        <v>45184</v>
      </c>
      <c r="B10306" s="66">
        <f t="shared" si="172"/>
        <v>2008.6190999999999</v>
      </c>
      <c r="C10306" s="66">
        <v>1598.7</v>
      </c>
      <c r="E10306" s="111">
        <f t="shared" si="169"/>
        <v>138710</v>
      </c>
      <c r="F10306" s="69">
        <f t="shared" si="173"/>
        <v>6.7274955237740464E-2</v>
      </c>
      <c r="G10306" s="69">
        <f t="shared" si="174"/>
        <v>0.10826763059782941</v>
      </c>
    </row>
    <row r="10307" spans="1:7" x14ac:dyDescent="0.3">
      <c r="A10307" s="24">
        <v>45185</v>
      </c>
      <c r="B10307" s="66">
        <f t="shared" si="172"/>
        <v>2008.6190999999999</v>
      </c>
      <c r="C10307" s="66">
        <v>1598.7</v>
      </c>
      <c r="E10307" s="111">
        <f t="shared" si="169"/>
        <v>138710</v>
      </c>
      <c r="F10307" s="69">
        <f t="shared" si="173"/>
        <v>6.7274955237740464E-2</v>
      </c>
      <c r="G10307" s="69">
        <f t="shared" si="174"/>
        <v>0.10826763059782941</v>
      </c>
    </row>
    <row r="10308" spans="1:7" x14ac:dyDescent="0.3">
      <c r="A10308" s="24">
        <v>45186</v>
      </c>
      <c r="B10308" s="66">
        <f t="shared" si="172"/>
        <v>2008.6190999999999</v>
      </c>
      <c r="C10308" s="66">
        <v>1598.7</v>
      </c>
      <c r="E10308" s="111">
        <f t="shared" si="169"/>
        <v>138710</v>
      </c>
      <c r="F10308" s="69">
        <f t="shared" si="173"/>
        <v>6.7274955237740464E-2</v>
      </c>
      <c r="G10308" s="69">
        <f t="shared" si="174"/>
        <v>0.10826763059782941</v>
      </c>
    </row>
    <row r="10309" spans="1:7" x14ac:dyDescent="0.3">
      <c r="A10309" s="24">
        <v>45187</v>
      </c>
      <c r="B10309" s="66">
        <f t="shared" si="172"/>
        <v>2008.6190999999999</v>
      </c>
      <c r="C10309" s="66">
        <v>1598.7</v>
      </c>
      <c r="E10309" s="111">
        <f t="shared" si="169"/>
        <v>138710</v>
      </c>
      <c r="F10309" s="69">
        <f t="shared" si="173"/>
        <v>6.7274955237740464E-2</v>
      </c>
      <c r="G10309" s="69">
        <f t="shared" si="174"/>
        <v>0.10826763059782941</v>
      </c>
    </row>
    <row r="10310" spans="1:7" x14ac:dyDescent="0.3">
      <c r="A10310" s="24">
        <v>45188</v>
      </c>
      <c r="B10310" s="66">
        <f t="shared" si="172"/>
        <v>2008.6190999999999</v>
      </c>
      <c r="C10310" s="66">
        <v>1598.7</v>
      </c>
      <c r="E10310" s="111">
        <f t="shared" si="169"/>
        <v>138710</v>
      </c>
      <c r="F10310" s="69">
        <f t="shared" si="173"/>
        <v>6.7274955237740464E-2</v>
      </c>
      <c r="G10310" s="69">
        <f t="shared" si="174"/>
        <v>0.10464135021097046</v>
      </c>
    </row>
    <row r="10311" spans="1:7" x14ac:dyDescent="0.3">
      <c r="A10311" s="24">
        <v>45189</v>
      </c>
      <c r="B10311" s="66">
        <f t="shared" si="172"/>
        <v>2008.6190999999999</v>
      </c>
      <c r="C10311" s="66">
        <v>1582.65</v>
      </c>
      <c r="E10311" s="111">
        <f t="shared" si="169"/>
        <v>138710</v>
      </c>
      <c r="F10311" s="69">
        <f t="shared" si="173"/>
        <v>6.7274955237740464E-2</v>
      </c>
      <c r="G10311" s="69">
        <f t="shared" si="174"/>
        <v>0.10464135021097046</v>
      </c>
    </row>
    <row r="10312" spans="1:7" x14ac:dyDescent="0.3">
      <c r="A10312" s="24">
        <v>45190</v>
      </c>
      <c r="B10312" s="66">
        <f t="shared" si="172"/>
        <v>2008.6190999999999</v>
      </c>
      <c r="C10312" s="66">
        <v>1583.57</v>
      </c>
      <c r="E10312" s="111">
        <f t="shared" si="169"/>
        <v>138710</v>
      </c>
      <c r="F10312" s="69">
        <f t="shared" si="173"/>
        <v>6.7274955237740464E-2</v>
      </c>
      <c r="G10312" s="69">
        <f t="shared" si="174"/>
        <v>0.10565150340385286</v>
      </c>
    </row>
    <row r="10313" spans="1:7" x14ac:dyDescent="0.3">
      <c r="A10313" s="24">
        <v>45191</v>
      </c>
      <c r="B10313" s="66">
        <f t="shared" si="172"/>
        <v>2008.6190999999999</v>
      </c>
      <c r="C10313" s="66">
        <v>1592.08</v>
      </c>
      <c r="E10313" s="111">
        <f t="shared" ref="E10313:E10376" si="175">+E10312</f>
        <v>138710</v>
      </c>
      <c r="F10313" s="69">
        <f t="shared" si="173"/>
        <v>6.7274955237740464E-2</v>
      </c>
      <c r="G10313" s="69">
        <f t="shared" si="174"/>
        <v>0.10565150340385286</v>
      </c>
    </row>
    <row r="10314" spans="1:7" x14ac:dyDescent="0.3">
      <c r="A10314" s="24">
        <v>45192</v>
      </c>
      <c r="B10314" s="66">
        <f t="shared" si="172"/>
        <v>2008.6190999999999</v>
      </c>
      <c r="C10314" s="66">
        <v>1592.08</v>
      </c>
      <c r="E10314" s="111">
        <f t="shared" si="175"/>
        <v>138710</v>
      </c>
      <c r="F10314" s="69">
        <f t="shared" si="173"/>
        <v>6.7274955237740464E-2</v>
      </c>
      <c r="G10314" s="69">
        <f t="shared" si="174"/>
        <v>0.10565150340385286</v>
      </c>
    </row>
    <row r="10315" spans="1:7" x14ac:dyDescent="0.3">
      <c r="A10315" s="24">
        <v>45193</v>
      </c>
      <c r="B10315" s="66">
        <f t="shared" si="172"/>
        <v>2008.6190999999999</v>
      </c>
      <c r="C10315" s="66">
        <v>1592.08</v>
      </c>
      <c r="E10315" s="111">
        <f t="shared" si="175"/>
        <v>138710</v>
      </c>
      <c r="F10315" s="69">
        <f t="shared" si="173"/>
        <v>6.7274955237740464E-2</v>
      </c>
      <c r="G10315" s="69">
        <f t="shared" si="174"/>
        <v>0.10565150340385286</v>
      </c>
    </row>
    <row r="10316" spans="1:7" x14ac:dyDescent="0.3">
      <c r="A10316" s="24">
        <v>45194</v>
      </c>
      <c r="B10316" s="66">
        <f t="shared" si="172"/>
        <v>2008.6190999999999</v>
      </c>
      <c r="C10316" s="66">
        <v>1527.99</v>
      </c>
      <c r="E10316" s="111">
        <f t="shared" si="175"/>
        <v>138710</v>
      </c>
      <c r="F10316" s="69">
        <f t="shared" si="173"/>
        <v>6.7274955237740464E-2</v>
      </c>
      <c r="G10316" s="69">
        <f t="shared" si="174"/>
        <v>0.11004419516870485</v>
      </c>
    </row>
    <row r="10317" spans="1:7" x14ac:dyDescent="0.3">
      <c r="A10317" s="24">
        <v>45195</v>
      </c>
      <c r="B10317" s="66">
        <f t="shared" si="172"/>
        <v>2008.6190999999999</v>
      </c>
      <c r="C10317" s="66">
        <v>1535.6</v>
      </c>
      <c r="E10317" s="111">
        <f t="shared" si="175"/>
        <v>138710</v>
      </c>
      <c r="F10317" s="69">
        <f t="shared" si="173"/>
        <v>6.7274955237740464E-2</v>
      </c>
      <c r="G10317" s="69">
        <f t="shared" si="174"/>
        <v>0.11272317370277445</v>
      </c>
    </row>
    <row r="10318" spans="1:7" x14ac:dyDescent="0.3">
      <c r="A10318" s="24">
        <v>45196</v>
      </c>
      <c r="B10318" s="66">
        <f t="shared" si="172"/>
        <v>2008.6190999999999</v>
      </c>
      <c r="C10318" s="66">
        <v>1597.89</v>
      </c>
      <c r="E10318" s="111">
        <f t="shared" si="175"/>
        <v>138710</v>
      </c>
      <c r="F10318" s="69">
        <f t="shared" si="173"/>
        <v>6.7274955237740464E-2</v>
      </c>
      <c r="G10318" s="69">
        <f t="shared" si="174"/>
        <v>0.12026458208057728</v>
      </c>
    </row>
    <row r="10319" spans="1:7" x14ac:dyDescent="0.3">
      <c r="A10319" s="24">
        <v>45197</v>
      </c>
      <c r="B10319" s="66">
        <f t="shared" si="172"/>
        <v>2008.6190999999999</v>
      </c>
      <c r="C10319" s="66">
        <v>1596.38</v>
      </c>
      <c r="E10319" s="111">
        <f t="shared" si="175"/>
        <v>138710</v>
      </c>
      <c r="F10319" s="69">
        <v>6.7274955237740464E-2</v>
      </c>
      <c r="G10319" s="69">
        <v>0.12154836938941549</v>
      </c>
    </row>
    <row r="10320" spans="1:7" x14ac:dyDescent="0.3">
      <c r="A10320" s="24">
        <v>45198</v>
      </c>
      <c r="B10320" s="66">
        <f t="shared" si="172"/>
        <v>2008.6190999999999</v>
      </c>
      <c r="C10320" s="66">
        <v>1598.51</v>
      </c>
      <c r="D10320" s="71">
        <v>20</v>
      </c>
      <c r="E10320" s="111">
        <f t="shared" si="175"/>
        <v>138710</v>
      </c>
      <c r="F10320" s="69">
        <v>6.7274955237740464E-2</v>
      </c>
      <c r="G10320" s="69">
        <v>0.11376146788990826</v>
      </c>
    </row>
    <row r="10321" spans="1:7" x14ac:dyDescent="0.3">
      <c r="A10321" s="24">
        <v>45199</v>
      </c>
      <c r="B10321" s="66">
        <v>2026.1158</v>
      </c>
      <c r="C10321" s="66">
        <v>1598.51</v>
      </c>
      <c r="E10321" s="111">
        <f t="shared" si="175"/>
        <v>138710</v>
      </c>
      <c r="F10321" s="69">
        <v>6.7274955237740464E-2</v>
      </c>
      <c r="G10321" s="69">
        <v>0.11376146788990826</v>
      </c>
    </row>
    <row r="10322" spans="1:7" x14ac:dyDescent="0.3">
      <c r="A10322" s="24">
        <v>45200</v>
      </c>
      <c r="B10322" s="66">
        <f t="shared" si="172"/>
        <v>2026.1158</v>
      </c>
      <c r="C10322" s="66">
        <v>1598.51</v>
      </c>
      <c r="E10322" s="111">
        <f t="shared" si="175"/>
        <v>138710</v>
      </c>
      <c r="F10322" s="69">
        <v>6.7274955237740464E-2</v>
      </c>
      <c r="G10322" s="69">
        <v>0.11376146788990826</v>
      </c>
    </row>
    <row r="10323" spans="1:7" x14ac:dyDescent="0.3">
      <c r="A10323" s="24">
        <v>45201</v>
      </c>
      <c r="B10323" s="66">
        <f t="shared" si="172"/>
        <v>2026.1158</v>
      </c>
      <c r="C10323" s="66">
        <v>1580.78</v>
      </c>
      <c r="E10323" s="111">
        <f t="shared" si="175"/>
        <v>138710</v>
      </c>
      <c r="F10323" s="69">
        <v>6.7274955237740464E-2</v>
      </c>
      <c r="G10323" s="69">
        <v>0.11191739773999061</v>
      </c>
    </row>
    <row r="10324" spans="1:7" x14ac:dyDescent="0.3">
      <c r="A10324" s="24">
        <v>45202</v>
      </c>
      <c r="B10324" s="66">
        <f t="shared" si="172"/>
        <v>2026.1158</v>
      </c>
      <c r="C10324" s="66">
        <v>1550.02</v>
      </c>
      <c r="E10324" s="111">
        <f t="shared" si="175"/>
        <v>138710</v>
      </c>
      <c r="F10324" s="69">
        <v>6.7274955237740464E-2</v>
      </c>
      <c r="G10324" s="69">
        <v>0.11189820872625546</v>
      </c>
    </row>
    <row r="10325" spans="1:7" x14ac:dyDescent="0.3">
      <c r="A10325" s="24">
        <v>45203</v>
      </c>
      <c r="B10325" s="66">
        <f t="shared" si="172"/>
        <v>2026.1158</v>
      </c>
      <c r="C10325" s="66">
        <v>1540</v>
      </c>
      <c r="E10325" s="111">
        <f t="shared" si="175"/>
        <v>138710</v>
      </c>
      <c r="F10325" s="69">
        <v>6.7274955237740464E-2</v>
      </c>
      <c r="G10325" s="69">
        <v>0.10762954604635015</v>
      </c>
    </row>
    <row r="10326" spans="1:7" x14ac:dyDescent="0.3">
      <c r="A10326" s="24">
        <v>45204</v>
      </c>
      <c r="B10326" s="66">
        <f t="shared" si="172"/>
        <v>2026.1158</v>
      </c>
      <c r="C10326" s="66">
        <v>1542.52</v>
      </c>
      <c r="E10326" s="111">
        <f t="shared" si="175"/>
        <v>138710</v>
      </c>
      <c r="F10326" s="69">
        <v>6.7274955237740464E-2</v>
      </c>
      <c r="G10326" s="69">
        <v>0.1077071408097145</v>
      </c>
    </row>
    <row r="10327" spans="1:7" x14ac:dyDescent="0.3">
      <c r="A10327" s="24">
        <v>45205</v>
      </c>
      <c r="B10327" s="66">
        <f t="shared" si="172"/>
        <v>2026.1158</v>
      </c>
      <c r="C10327" s="66">
        <v>1521.86</v>
      </c>
      <c r="E10327" s="111">
        <f t="shared" si="175"/>
        <v>138710</v>
      </c>
      <c r="F10327" s="69">
        <v>6.7274955237740464E-2</v>
      </c>
      <c r="G10327" s="69">
        <v>0.10782608695652174</v>
      </c>
    </row>
    <row r="10328" spans="1:7" x14ac:dyDescent="0.3">
      <c r="A10328" s="24">
        <v>45206</v>
      </c>
      <c r="B10328" s="66">
        <f t="shared" si="172"/>
        <v>2026.1158</v>
      </c>
      <c r="C10328" s="66">
        <v>1521.86</v>
      </c>
      <c r="E10328" s="111">
        <f t="shared" si="175"/>
        <v>138710</v>
      </c>
      <c r="F10328" s="69">
        <v>6.7274955237740464E-2</v>
      </c>
      <c r="G10328" s="69">
        <v>0.10782608695652174</v>
      </c>
    </row>
    <row r="10329" spans="1:7" x14ac:dyDescent="0.3">
      <c r="A10329" s="24">
        <v>45207</v>
      </c>
      <c r="B10329" s="66">
        <f t="shared" si="172"/>
        <v>2026.1158</v>
      </c>
      <c r="C10329" s="66">
        <v>1521.86</v>
      </c>
      <c r="E10329" s="111">
        <f t="shared" si="175"/>
        <v>138710</v>
      </c>
      <c r="F10329" s="69">
        <v>6.7274955237740464E-2</v>
      </c>
      <c r="G10329" s="69">
        <v>0.10782608695652174</v>
      </c>
    </row>
    <row r="10330" spans="1:7" x14ac:dyDescent="0.3">
      <c r="A10330" s="24">
        <v>45208</v>
      </c>
      <c r="B10330" s="66">
        <f t="shared" si="172"/>
        <v>2026.1158</v>
      </c>
      <c r="C10330" s="66">
        <v>1521.86</v>
      </c>
      <c r="E10330" s="111">
        <f t="shared" si="175"/>
        <v>138710</v>
      </c>
      <c r="F10330" s="69">
        <v>6.7274955237740464E-2</v>
      </c>
      <c r="G10330" s="69">
        <v>0.10782608695652174</v>
      </c>
    </row>
    <row r="10331" spans="1:7" x14ac:dyDescent="0.3">
      <c r="A10331" s="24">
        <v>45209</v>
      </c>
      <c r="B10331" s="66">
        <f t="shared" si="172"/>
        <v>2026.1158</v>
      </c>
      <c r="C10331" s="66">
        <v>1504.5</v>
      </c>
      <c r="E10331" s="111">
        <f t="shared" si="175"/>
        <v>138710</v>
      </c>
      <c r="F10331" s="69">
        <v>6.7274955237740464E-2</v>
      </c>
      <c r="G10331" s="69">
        <v>0.10782608695652174</v>
      </c>
    </row>
    <row r="10332" spans="1:7" x14ac:dyDescent="0.3">
      <c r="A10332" s="24">
        <v>45210</v>
      </c>
      <c r="B10332" s="66">
        <f t="shared" si="172"/>
        <v>2026.1158</v>
      </c>
      <c r="C10332" s="66">
        <v>1495.45</v>
      </c>
      <c r="E10332" s="111">
        <f t="shared" si="175"/>
        <v>138710</v>
      </c>
      <c r="F10332" s="69">
        <v>6.7274955237740464E-2</v>
      </c>
      <c r="G10332" s="69">
        <v>0.10782608695652174</v>
      </c>
    </row>
    <row r="10333" spans="1:7" x14ac:dyDescent="0.3">
      <c r="A10333" s="24">
        <v>45211</v>
      </c>
      <c r="B10333" s="66">
        <f t="shared" si="172"/>
        <v>2026.1158</v>
      </c>
      <c r="C10333" s="66">
        <v>1495.77</v>
      </c>
      <c r="E10333" s="111">
        <f t="shared" si="175"/>
        <v>138710</v>
      </c>
      <c r="F10333" s="69">
        <v>6.7274955237740464E-2</v>
      </c>
      <c r="G10333" s="69">
        <v>0.11251145529938029</v>
      </c>
    </row>
    <row r="10334" spans="1:7" x14ac:dyDescent="0.3">
      <c r="A10334" s="24">
        <v>45212</v>
      </c>
      <c r="B10334" s="66">
        <f t="shared" si="172"/>
        <v>2026.1158</v>
      </c>
      <c r="C10334" s="66">
        <v>1498.82</v>
      </c>
      <c r="E10334" s="111">
        <f t="shared" si="175"/>
        <v>138710</v>
      </c>
      <c r="F10334" s="69">
        <v>6.7274955237740464E-2</v>
      </c>
      <c r="G10334" s="69">
        <v>0.11251145529938029</v>
      </c>
    </row>
    <row r="10335" spans="1:7" x14ac:dyDescent="0.3">
      <c r="A10335" s="24">
        <v>45213</v>
      </c>
      <c r="B10335" s="66">
        <f t="shared" si="172"/>
        <v>2026.1158</v>
      </c>
      <c r="C10335" s="66">
        <v>1498.82</v>
      </c>
      <c r="E10335" s="111">
        <f t="shared" si="175"/>
        <v>138710</v>
      </c>
      <c r="F10335" s="69">
        <v>6.7274955237740464E-2</v>
      </c>
      <c r="G10335" s="69">
        <v>0.11251145529938029</v>
      </c>
    </row>
    <row r="10336" spans="1:7" x14ac:dyDescent="0.3">
      <c r="A10336" s="24">
        <v>45214</v>
      </c>
      <c r="B10336" s="66">
        <f t="shared" si="172"/>
        <v>2026.1158</v>
      </c>
      <c r="C10336" s="66">
        <v>1498.82</v>
      </c>
      <c r="E10336" s="111">
        <f t="shared" si="175"/>
        <v>138710</v>
      </c>
      <c r="F10336" s="69">
        <v>6.7274955237740464E-2</v>
      </c>
      <c r="G10336" s="69">
        <v>0.11251145529938029</v>
      </c>
    </row>
    <row r="10337" spans="1:9" x14ac:dyDescent="0.3">
      <c r="A10337" s="24">
        <v>45215</v>
      </c>
      <c r="B10337" s="66">
        <f t="shared" ref="B10337:B10400" si="176">+B10336</f>
        <v>2026.1158</v>
      </c>
      <c r="C10337" s="66">
        <v>1495.99</v>
      </c>
      <c r="E10337" s="111">
        <f t="shared" si="175"/>
        <v>138710</v>
      </c>
      <c r="F10337" s="69">
        <v>6.7274955237740464E-2</v>
      </c>
      <c r="G10337" s="69">
        <v>0.11252268602540835</v>
      </c>
    </row>
    <row r="10338" spans="1:9" x14ac:dyDescent="0.3">
      <c r="A10338" s="24">
        <v>45216</v>
      </c>
      <c r="B10338" s="66">
        <f t="shared" si="176"/>
        <v>2026.1158</v>
      </c>
      <c r="C10338" s="66">
        <v>1489.44</v>
      </c>
      <c r="E10338" s="111">
        <f t="shared" si="175"/>
        <v>138710</v>
      </c>
      <c r="F10338" s="69">
        <v>6.7274955237740464E-2</v>
      </c>
      <c r="G10338" s="69">
        <v>0.1138627953316254</v>
      </c>
    </row>
    <row r="10339" spans="1:9" x14ac:dyDescent="0.3">
      <c r="A10339" s="24">
        <v>45217</v>
      </c>
      <c r="B10339" s="66">
        <f t="shared" si="176"/>
        <v>2026.1158</v>
      </c>
      <c r="C10339" s="66">
        <v>1494.09</v>
      </c>
      <c r="E10339" s="111">
        <f t="shared" si="175"/>
        <v>138710</v>
      </c>
      <c r="F10339" s="69">
        <v>6.7274955237740464E-2</v>
      </c>
      <c r="G10339" s="69">
        <v>0.11303658191961641</v>
      </c>
    </row>
    <row r="10340" spans="1:9" x14ac:dyDescent="0.3">
      <c r="A10340" s="24">
        <v>45218</v>
      </c>
      <c r="B10340" s="66">
        <f t="shared" si="176"/>
        <v>2026.1158</v>
      </c>
      <c r="C10340" s="66">
        <v>1484.41</v>
      </c>
      <c r="E10340" s="111">
        <f t="shared" si="175"/>
        <v>138710</v>
      </c>
      <c r="F10340" s="69">
        <v>6.7274955237740464E-2</v>
      </c>
      <c r="G10340" s="69">
        <v>0.11534454531924394</v>
      </c>
    </row>
    <row r="10341" spans="1:9" x14ac:dyDescent="0.3">
      <c r="A10341" s="24">
        <v>45219</v>
      </c>
      <c r="B10341" s="66">
        <f t="shared" si="176"/>
        <v>2026.1158</v>
      </c>
      <c r="C10341" s="66">
        <v>1474.47</v>
      </c>
      <c r="E10341" s="111">
        <f t="shared" si="175"/>
        <v>138710</v>
      </c>
      <c r="F10341" s="69">
        <v>6.7274955237740464E-2</v>
      </c>
      <c r="G10341" s="69">
        <v>0.12387612387612387</v>
      </c>
    </row>
    <row r="10342" spans="1:9" x14ac:dyDescent="0.3">
      <c r="A10342" s="24">
        <v>45220</v>
      </c>
      <c r="B10342" s="66">
        <f t="shared" si="176"/>
        <v>2026.1158</v>
      </c>
      <c r="C10342" s="66">
        <v>1474.47</v>
      </c>
      <c r="E10342" s="111">
        <f t="shared" si="175"/>
        <v>138710</v>
      </c>
      <c r="F10342" s="69">
        <v>6.7274955237740464E-2</v>
      </c>
      <c r="G10342" s="69">
        <v>0.12387612387612387</v>
      </c>
    </row>
    <row r="10343" spans="1:9" x14ac:dyDescent="0.3">
      <c r="A10343" s="24">
        <v>45221</v>
      </c>
      <c r="B10343" s="66">
        <f t="shared" si="176"/>
        <v>2026.1158</v>
      </c>
      <c r="C10343" s="66">
        <v>1474.47</v>
      </c>
      <c r="E10343" s="111">
        <f t="shared" si="175"/>
        <v>138710</v>
      </c>
      <c r="F10343" s="69">
        <v>6.7274955237740464E-2</v>
      </c>
      <c r="G10343" s="69">
        <v>0.12387612387612387</v>
      </c>
    </row>
    <row r="10344" spans="1:9" x14ac:dyDescent="0.3">
      <c r="A10344" s="24">
        <v>45222</v>
      </c>
      <c r="B10344" s="66">
        <f t="shared" si="176"/>
        <v>2026.1158</v>
      </c>
      <c r="C10344" s="66">
        <v>1483.36</v>
      </c>
      <c r="E10344" s="111">
        <f t="shared" si="175"/>
        <v>138710</v>
      </c>
      <c r="F10344" s="69">
        <v>6.7274955237740464E-2</v>
      </c>
      <c r="G10344" s="69">
        <v>0.12311480455524776</v>
      </c>
    </row>
    <row r="10345" spans="1:9" x14ac:dyDescent="0.3">
      <c r="A10345" s="24">
        <v>45223</v>
      </c>
      <c r="B10345" s="66">
        <f t="shared" si="176"/>
        <v>2026.1158</v>
      </c>
      <c r="C10345" s="66">
        <v>1480</v>
      </c>
      <c r="E10345" s="111">
        <f t="shared" si="175"/>
        <v>138710</v>
      </c>
      <c r="F10345" s="69">
        <v>6.7274955237740464E-2</v>
      </c>
      <c r="G10345" s="69">
        <v>0.12156862745098039</v>
      </c>
      <c r="I10345" s="57"/>
    </row>
    <row r="10346" spans="1:9" x14ac:dyDescent="0.3">
      <c r="A10346" s="24">
        <v>45224</v>
      </c>
      <c r="B10346" s="66">
        <f t="shared" si="176"/>
        <v>2026.1158</v>
      </c>
      <c r="C10346" s="66">
        <v>1468.79</v>
      </c>
      <c r="E10346" s="111">
        <f t="shared" si="175"/>
        <v>138710</v>
      </c>
      <c r="F10346" s="69">
        <v>6.7274955237740464E-2</v>
      </c>
      <c r="G10346" s="69">
        <v>0.11980676328502415</v>
      </c>
      <c r="I10346" s="57"/>
    </row>
    <row r="10347" spans="1:9" x14ac:dyDescent="0.3">
      <c r="A10347" s="24">
        <v>45225</v>
      </c>
      <c r="B10347" s="66">
        <f t="shared" si="176"/>
        <v>2026.1158</v>
      </c>
      <c r="C10347" s="66">
        <v>1450.15</v>
      </c>
      <c r="E10347" s="111">
        <f t="shared" si="175"/>
        <v>138710</v>
      </c>
      <c r="F10347" s="69">
        <v>6.7274955237740464E-2</v>
      </c>
      <c r="G10347" s="69">
        <v>0.11995975543688568</v>
      </c>
    </row>
    <row r="10348" spans="1:9" x14ac:dyDescent="0.3">
      <c r="A10348" s="24">
        <v>45226</v>
      </c>
      <c r="B10348" s="66">
        <f t="shared" si="176"/>
        <v>2026.1158</v>
      </c>
      <c r="C10348" s="66">
        <v>1450.15</v>
      </c>
      <c r="E10348" s="111">
        <f t="shared" si="175"/>
        <v>138710</v>
      </c>
      <c r="F10348" s="69">
        <v>6.7274955237740464E-2</v>
      </c>
      <c r="G10348" s="69">
        <v>0.11777444294588076</v>
      </c>
    </row>
    <row r="10349" spans="1:9" x14ac:dyDescent="0.3">
      <c r="A10349" s="24">
        <v>45227</v>
      </c>
      <c r="B10349" s="66">
        <f t="shared" si="176"/>
        <v>2026.1158</v>
      </c>
      <c r="C10349" s="66">
        <v>1450.15</v>
      </c>
      <c r="E10349" s="111">
        <f t="shared" si="175"/>
        <v>138710</v>
      </c>
      <c r="F10349" s="69">
        <v>6.7274955237740464E-2</v>
      </c>
      <c r="G10349" s="69">
        <v>0.11777444294588076</v>
      </c>
    </row>
    <row r="10350" spans="1:9" x14ac:dyDescent="0.3">
      <c r="A10350" s="24">
        <v>45228</v>
      </c>
      <c r="B10350" s="66">
        <f t="shared" si="176"/>
        <v>2026.1158</v>
      </c>
      <c r="C10350" s="66">
        <v>1450.15</v>
      </c>
      <c r="E10350" s="111">
        <f t="shared" si="175"/>
        <v>138710</v>
      </c>
      <c r="F10350" s="69">
        <v>6.7274955237740464E-2</v>
      </c>
      <c r="G10350" s="69">
        <v>0.11777444294588076</v>
      </c>
    </row>
    <row r="10351" spans="1:9" x14ac:dyDescent="0.3">
      <c r="A10351" s="24">
        <v>45229</v>
      </c>
      <c r="B10351" s="66">
        <v>2049.0736999999999</v>
      </c>
      <c r="C10351" s="66">
        <v>1438.87</v>
      </c>
      <c r="E10351" s="111">
        <f t="shared" si="175"/>
        <v>138710</v>
      </c>
      <c r="F10351" s="69">
        <v>6.7274955237740464E-2</v>
      </c>
      <c r="G10351" s="69">
        <v>0.11777444294588076</v>
      </c>
    </row>
    <row r="10352" spans="1:9" x14ac:dyDescent="0.3">
      <c r="A10352" s="24">
        <v>45230</v>
      </c>
      <c r="B10352" s="66">
        <f t="shared" si="176"/>
        <v>2049.0736999999999</v>
      </c>
      <c r="C10352" s="66">
        <v>1439.96</v>
      </c>
      <c r="E10352" s="111">
        <f t="shared" si="175"/>
        <v>138710</v>
      </c>
      <c r="F10352" s="69">
        <v>6.7274955237740464E-2</v>
      </c>
      <c r="G10352" s="69">
        <v>0.11777444294588076</v>
      </c>
    </row>
    <row r="10353" spans="1:7" x14ac:dyDescent="0.3">
      <c r="A10353" s="24">
        <v>45231</v>
      </c>
      <c r="B10353" s="66">
        <f t="shared" si="176"/>
        <v>2049.0736999999999</v>
      </c>
      <c r="C10353" s="66">
        <v>1439.96</v>
      </c>
      <c r="E10353" s="111">
        <f t="shared" si="175"/>
        <v>138710</v>
      </c>
      <c r="F10353" s="69">
        <v>6.7274955237740464E-2</v>
      </c>
      <c r="G10353" s="69">
        <v>0.11534883720930232</v>
      </c>
    </row>
    <row r="10354" spans="1:7" x14ac:dyDescent="0.3">
      <c r="A10354" s="24">
        <v>45232</v>
      </c>
      <c r="B10354" s="66">
        <f t="shared" si="176"/>
        <v>2049.0736999999999</v>
      </c>
      <c r="C10354" s="66">
        <v>1433.89</v>
      </c>
      <c r="E10354" s="111">
        <f t="shared" si="175"/>
        <v>138710</v>
      </c>
      <c r="F10354" s="69">
        <v>6.7274955237740464E-2</v>
      </c>
      <c r="G10354" s="69">
        <v>0.11293260473588343</v>
      </c>
    </row>
    <row r="10355" spans="1:7" x14ac:dyDescent="0.3">
      <c r="A10355" s="24">
        <v>45233</v>
      </c>
      <c r="B10355" s="66">
        <f t="shared" si="176"/>
        <v>2049.0736999999999</v>
      </c>
      <c r="C10355" s="66">
        <v>1434</v>
      </c>
      <c r="E10355" s="111">
        <f t="shared" si="175"/>
        <v>138710</v>
      </c>
      <c r="F10355" s="69">
        <v>6.7274955237740464E-2</v>
      </c>
      <c r="G10355" s="69">
        <v>0.11080035384629131</v>
      </c>
    </row>
    <row r="10356" spans="1:7" x14ac:dyDescent="0.3">
      <c r="A10356" s="24">
        <v>45234</v>
      </c>
      <c r="B10356" s="66">
        <f t="shared" si="176"/>
        <v>2049.0736999999999</v>
      </c>
      <c r="C10356" s="66">
        <v>1434</v>
      </c>
      <c r="E10356" s="111">
        <f t="shared" si="175"/>
        <v>138710</v>
      </c>
      <c r="F10356" s="69">
        <v>6.7274955237740464E-2</v>
      </c>
      <c r="G10356" s="69">
        <v>0.11080035384629131</v>
      </c>
    </row>
    <row r="10357" spans="1:7" x14ac:dyDescent="0.3">
      <c r="A10357" s="24">
        <v>45235</v>
      </c>
      <c r="B10357" s="66">
        <f t="shared" si="176"/>
        <v>2049.0736999999999</v>
      </c>
      <c r="C10357" s="66">
        <v>1434</v>
      </c>
      <c r="E10357" s="111">
        <f t="shared" si="175"/>
        <v>138710</v>
      </c>
      <c r="F10357" s="69">
        <v>6.7274955237740464E-2</v>
      </c>
      <c r="G10357" s="69">
        <v>0.11080035384629131</v>
      </c>
    </row>
    <row r="10358" spans="1:7" x14ac:dyDescent="0.3">
      <c r="A10358" s="24">
        <v>45236</v>
      </c>
      <c r="B10358" s="66">
        <f t="shared" si="176"/>
        <v>2049.0736999999999</v>
      </c>
      <c r="C10358" s="66">
        <v>1429.42</v>
      </c>
      <c r="E10358" s="111">
        <f t="shared" si="175"/>
        <v>138710</v>
      </c>
      <c r="F10358" s="69">
        <v>6.7274955237740464E-2</v>
      </c>
      <c r="G10358" s="69">
        <v>0.11167348115059708</v>
      </c>
    </row>
    <row r="10359" spans="1:7" x14ac:dyDescent="0.3">
      <c r="A10359" s="24">
        <v>45237</v>
      </c>
      <c r="B10359" s="66">
        <f t="shared" si="176"/>
        <v>2049.0736999999999</v>
      </c>
      <c r="C10359" s="66">
        <v>1431.09</v>
      </c>
      <c r="E10359" s="111">
        <f t="shared" si="175"/>
        <v>138710</v>
      </c>
      <c r="F10359" s="69">
        <v>6.7274955237740464E-2</v>
      </c>
      <c r="G10359" s="69">
        <v>0.11167348115059708</v>
      </c>
    </row>
    <row r="10360" spans="1:7" x14ac:dyDescent="0.3">
      <c r="A10360" s="24">
        <v>45238</v>
      </c>
      <c r="B10360" s="66">
        <f t="shared" si="176"/>
        <v>2049.0736999999999</v>
      </c>
      <c r="C10360" s="66">
        <v>1430.39</v>
      </c>
      <c r="E10360" s="111">
        <f t="shared" si="175"/>
        <v>138710</v>
      </c>
      <c r="F10360" s="69">
        <v>6.7274955237740464E-2</v>
      </c>
      <c r="G10360" s="69">
        <v>0.11376146788990826</v>
      </c>
    </row>
    <row r="10361" spans="1:7" x14ac:dyDescent="0.3">
      <c r="A10361" s="24">
        <v>45239</v>
      </c>
      <c r="B10361" s="66">
        <f t="shared" si="176"/>
        <v>2049.0736999999999</v>
      </c>
      <c r="C10361" s="66">
        <v>1435</v>
      </c>
      <c r="E10361" s="111">
        <f t="shared" si="175"/>
        <v>138710</v>
      </c>
      <c r="F10361" s="69">
        <v>6.7274955237740464E-2</v>
      </c>
      <c r="G10361" s="69">
        <v>0.1133216965354633</v>
      </c>
    </row>
    <row r="10362" spans="1:7" x14ac:dyDescent="0.3">
      <c r="A10362" s="24">
        <v>45240</v>
      </c>
      <c r="B10362" s="66">
        <f t="shared" si="176"/>
        <v>2049.0736999999999</v>
      </c>
      <c r="C10362" s="66">
        <v>1470.62</v>
      </c>
      <c r="E10362" s="111">
        <f t="shared" si="175"/>
        <v>138710</v>
      </c>
      <c r="F10362" s="69">
        <v>6.7274955237740464E-2</v>
      </c>
      <c r="G10362" s="69">
        <v>0.11360304895924948</v>
      </c>
    </row>
    <row r="10363" spans="1:7" x14ac:dyDescent="0.3">
      <c r="A10363" s="24">
        <v>45241</v>
      </c>
      <c r="B10363" s="66">
        <f t="shared" si="176"/>
        <v>2049.0736999999999</v>
      </c>
      <c r="C10363" s="66">
        <v>1470.62</v>
      </c>
      <c r="E10363" s="111">
        <f t="shared" si="175"/>
        <v>138710</v>
      </c>
      <c r="F10363" s="69">
        <v>6.7274955237740464E-2</v>
      </c>
      <c r="G10363" s="69">
        <v>0.11360304895924948</v>
      </c>
    </row>
    <row r="10364" spans="1:7" x14ac:dyDescent="0.3">
      <c r="A10364" s="24">
        <v>45242</v>
      </c>
      <c r="B10364" s="66">
        <f t="shared" si="176"/>
        <v>2049.0736999999999</v>
      </c>
      <c r="C10364" s="66">
        <v>1470.62</v>
      </c>
      <c r="E10364" s="111">
        <f t="shared" si="175"/>
        <v>138710</v>
      </c>
      <c r="F10364" s="69">
        <v>6.7274955237740464E-2</v>
      </c>
      <c r="G10364" s="69">
        <v>0.11360304895924948</v>
      </c>
    </row>
    <row r="10365" spans="1:7" x14ac:dyDescent="0.3">
      <c r="A10365" s="24">
        <v>45243</v>
      </c>
      <c r="B10365" s="66">
        <f t="shared" si="176"/>
        <v>2049.0736999999999</v>
      </c>
      <c r="C10365" s="66">
        <v>1451.29</v>
      </c>
      <c r="E10365" s="111">
        <f t="shared" si="175"/>
        <v>138710</v>
      </c>
      <c r="F10365" s="69">
        <v>6.7274955237740464E-2</v>
      </c>
      <c r="G10365" s="69">
        <v>0.11191638762782385</v>
      </c>
    </row>
    <row r="10366" spans="1:7" x14ac:dyDescent="0.3">
      <c r="A10366" s="24">
        <v>45244</v>
      </c>
      <c r="B10366" s="66">
        <f t="shared" si="176"/>
        <v>2049.0736999999999</v>
      </c>
      <c r="C10366" s="66">
        <v>1439.83</v>
      </c>
      <c r="E10366" s="111">
        <f t="shared" si="175"/>
        <v>138710</v>
      </c>
      <c r="F10366" s="69">
        <v>6.7274955237740464E-2</v>
      </c>
      <c r="G10366" s="69">
        <v>0.10970150574163527</v>
      </c>
    </row>
    <row r="10367" spans="1:7" x14ac:dyDescent="0.3">
      <c r="A10367" s="24">
        <v>45245</v>
      </c>
      <c r="B10367" s="66">
        <f t="shared" si="176"/>
        <v>2049.0736999999999</v>
      </c>
      <c r="C10367" s="66">
        <v>1449.99</v>
      </c>
      <c r="E10367" s="111">
        <f t="shared" si="175"/>
        <v>138710</v>
      </c>
      <c r="F10367" s="69">
        <v>6.416064500903397E-2</v>
      </c>
      <c r="G10367" s="69">
        <v>0.10973451327433628</v>
      </c>
    </row>
    <row r="10368" spans="1:7" x14ac:dyDescent="0.3">
      <c r="A10368" s="24">
        <v>45246</v>
      </c>
      <c r="B10368" s="66">
        <f t="shared" si="176"/>
        <v>2049.0736999999999</v>
      </c>
      <c r="C10368" s="66">
        <v>1440.69</v>
      </c>
      <c r="E10368" s="111">
        <f t="shared" si="175"/>
        <v>138710</v>
      </c>
      <c r="F10368" s="69">
        <v>6.416064500903397E-2</v>
      </c>
      <c r="G10368" s="69">
        <v>0.10973451327433628</v>
      </c>
    </row>
    <row r="10369" spans="1:7" x14ac:dyDescent="0.3">
      <c r="A10369" s="24">
        <v>45247</v>
      </c>
      <c r="B10369" s="66">
        <f t="shared" si="176"/>
        <v>2049.0736999999999</v>
      </c>
      <c r="C10369" s="66">
        <v>1426.97</v>
      </c>
      <c r="E10369" s="111">
        <f t="shared" si="175"/>
        <v>138710</v>
      </c>
      <c r="F10369" s="69">
        <v>6.416064500903397E-2</v>
      </c>
      <c r="G10369" s="69">
        <v>0.10971994867937883</v>
      </c>
    </row>
    <row r="10370" spans="1:7" x14ac:dyDescent="0.3">
      <c r="A10370" s="24">
        <v>45248</v>
      </c>
      <c r="B10370" s="66">
        <f t="shared" si="176"/>
        <v>2049.0736999999999</v>
      </c>
      <c r="C10370" s="66">
        <v>1426.97</v>
      </c>
      <c r="E10370" s="111">
        <f t="shared" si="175"/>
        <v>138710</v>
      </c>
      <c r="F10370" s="69">
        <v>6.416064500903397E-2</v>
      </c>
      <c r="G10370" s="69">
        <v>0.10971994867937883</v>
      </c>
    </row>
    <row r="10371" spans="1:7" x14ac:dyDescent="0.3">
      <c r="A10371" s="24">
        <v>45249</v>
      </c>
      <c r="B10371" s="66">
        <f t="shared" si="176"/>
        <v>2049.0736999999999</v>
      </c>
      <c r="C10371" s="66">
        <v>1426.97</v>
      </c>
      <c r="E10371" s="111">
        <f t="shared" si="175"/>
        <v>138710</v>
      </c>
      <c r="F10371" s="69">
        <v>6.416064500903397E-2</v>
      </c>
      <c r="G10371" s="69">
        <v>0.10971994867937883</v>
      </c>
    </row>
    <row r="10372" spans="1:7" x14ac:dyDescent="0.3">
      <c r="A10372" s="24">
        <v>45250</v>
      </c>
      <c r="B10372" s="66">
        <f t="shared" si="176"/>
        <v>2049.0736999999999</v>
      </c>
      <c r="C10372" s="66">
        <v>1426.2</v>
      </c>
      <c r="E10372" s="111">
        <f t="shared" si="175"/>
        <v>138710</v>
      </c>
      <c r="F10372" s="69">
        <v>6.416064500903397E-2</v>
      </c>
      <c r="G10372" s="69">
        <v>0.10971994867937883</v>
      </c>
    </row>
    <row r="10373" spans="1:7" x14ac:dyDescent="0.3">
      <c r="A10373" s="24">
        <v>45251</v>
      </c>
      <c r="B10373" s="66">
        <f t="shared" si="176"/>
        <v>2049.0736999999999</v>
      </c>
      <c r="C10373" s="66">
        <v>1434.47</v>
      </c>
      <c r="E10373" s="111">
        <f t="shared" si="175"/>
        <v>138710</v>
      </c>
      <c r="F10373" s="69">
        <v>6.416064500903397E-2</v>
      </c>
      <c r="G10373" s="69">
        <v>0.10971994867937883</v>
      </c>
    </row>
    <row r="10374" spans="1:7" x14ac:dyDescent="0.3">
      <c r="A10374" s="24">
        <v>45252</v>
      </c>
      <c r="B10374" s="66">
        <f t="shared" si="176"/>
        <v>2049.0736999999999</v>
      </c>
      <c r="C10374" s="66">
        <v>1510</v>
      </c>
      <c r="E10374" s="111">
        <f t="shared" si="175"/>
        <v>138710</v>
      </c>
      <c r="F10374" s="69">
        <v>6.416064500903397E-2</v>
      </c>
      <c r="G10374" s="69">
        <v>0.10932141377273488</v>
      </c>
    </row>
    <row r="10375" spans="1:7" x14ac:dyDescent="0.3">
      <c r="A10375" s="24">
        <v>45253</v>
      </c>
      <c r="B10375" s="66">
        <f t="shared" si="176"/>
        <v>2049.0736999999999</v>
      </c>
      <c r="C10375" s="66">
        <v>1482.99</v>
      </c>
      <c r="E10375" s="111">
        <f t="shared" si="175"/>
        <v>138710</v>
      </c>
      <c r="F10375" s="69">
        <v>6.416064500903397E-2</v>
      </c>
      <c r="G10375" s="69">
        <v>0.11188811188811189</v>
      </c>
    </row>
    <row r="10376" spans="1:7" x14ac:dyDescent="0.3">
      <c r="A10376" s="24">
        <v>45254</v>
      </c>
      <c r="B10376" s="66">
        <f t="shared" si="176"/>
        <v>2049.0736999999999</v>
      </c>
      <c r="C10376" s="66">
        <v>1478.53</v>
      </c>
      <c r="E10376" s="111">
        <f t="shared" si="175"/>
        <v>138710</v>
      </c>
      <c r="F10376" s="69">
        <v>6.416064500903397E-2</v>
      </c>
      <c r="G10376" s="69">
        <v>0.11272727272727273</v>
      </c>
    </row>
    <row r="10377" spans="1:7" x14ac:dyDescent="0.3">
      <c r="A10377" s="24">
        <v>45255</v>
      </c>
      <c r="B10377" s="66">
        <f t="shared" si="176"/>
        <v>2049.0736999999999</v>
      </c>
      <c r="C10377" s="66">
        <v>1478.53</v>
      </c>
      <c r="E10377" s="111">
        <f t="shared" ref="E10377:E10413" si="177">+E10376</f>
        <v>138710</v>
      </c>
      <c r="F10377" s="69">
        <v>6.416064500903397E-2</v>
      </c>
      <c r="G10377" s="69">
        <v>0.11272727272727273</v>
      </c>
    </row>
    <row r="10378" spans="1:7" x14ac:dyDescent="0.3">
      <c r="A10378" s="24">
        <v>45256</v>
      </c>
      <c r="B10378" s="66">
        <f t="shared" si="176"/>
        <v>2049.0736999999999</v>
      </c>
      <c r="C10378" s="66">
        <v>1478.53</v>
      </c>
      <c r="E10378" s="111">
        <f t="shared" si="177"/>
        <v>138710</v>
      </c>
      <c r="F10378" s="69">
        <v>6.416064500903397E-2</v>
      </c>
      <c r="G10378" s="69">
        <v>0.11272727272727273</v>
      </c>
    </row>
    <row r="10379" spans="1:7" x14ac:dyDescent="0.3">
      <c r="A10379" s="24">
        <v>45257</v>
      </c>
      <c r="B10379" s="66">
        <f t="shared" si="176"/>
        <v>2049.0736999999999</v>
      </c>
      <c r="C10379" s="66">
        <v>1446.03</v>
      </c>
      <c r="E10379" s="111">
        <f t="shared" si="177"/>
        <v>138710</v>
      </c>
      <c r="F10379" s="69">
        <v>6.416064500903397E-2</v>
      </c>
      <c r="G10379" s="69">
        <v>0.11171171171171171</v>
      </c>
    </row>
    <row r="10380" spans="1:7" x14ac:dyDescent="0.3">
      <c r="A10380" s="24">
        <v>45258</v>
      </c>
      <c r="B10380" s="66">
        <f t="shared" si="176"/>
        <v>2049.0736999999999</v>
      </c>
      <c r="C10380" s="66">
        <v>1420.68</v>
      </c>
      <c r="E10380" s="111">
        <f t="shared" si="177"/>
        <v>138710</v>
      </c>
      <c r="F10380" s="69">
        <v>6.416064500903397E-2</v>
      </c>
      <c r="G10380" s="69">
        <v>0.11104345022745997</v>
      </c>
    </row>
    <row r="10381" spans="1:7" x14ac:dyDescent="0.3">
      <c r="A10381" s="24">
        <v>45259</v>
      </c>
      <c r="B10381" s="66">
        <f t="shared" si="176"/>
        <v>2049.0736999999999</v>
      </c>
      <c r="C10381" s="66">
        <v>1464.76</v>
      </c>
      <c r="E10381" s="111">
        <f t="shared" si="177"/>
        <v>138710</v>
      </c>
      <c r="F10381" s="69">
        <v>6.416064500903397E-2</v>
      </c>
      <c r="G10381" s="69">
        <v>0.10968209882003291</v>
      </c>
    </row>
    <row r="10382" spans="1:7" x14ac:dyDescent="0.3">
      <c r="A10382" s="24">
        <v>45260</v>
      </c>
      <c r="B10382" s="66">
        <v>2066.8528999999999</v>
      </c>
      <c r="C10382" s="66">
        <v>1479.98</v>
      </c>
      <c r="E10382" s="111">
        <f t="shared" si="177"/>
        <v>138710</v>
      </c>
      <c r="F10382" s="69">
        <v>6.416064500903397E-2</v>
      </c>
      <c r="G10382" s="69">
        <v>0.10877192982456141</v>
      </c>
    </row>
    <row r="10383" spans="1:7" x14ac:dyDescent="0.3">
      <c r="A10383" s="24">
        <v>45261</v>
      </c>
      <c r="B10383" s="66">
        <f t="shared" si="176"/>
        <v>2066.8528999999999</v>
      </c>
      <c r="C10383" s="66">
        <v>1480</v>
      </c>
      <c r="E10383" s="111">
        <f t="shared" si="177"/>
        <v>138710</v>
      </c>
      <c r="F10383" s="69">
        <v>6.416064500903397E-2</v>
      </c>
      <c r="G10383" s="69">
        <v>0.10871566469984834</v>
      </c>
    </row>
    <row r="10384" spans="1:7" x14ac:dyDescent="0.3">
      <c r="A10384" s="24">
        <v>45262</v>
      </c>
      <c r="B10384" s="66">
        <f t="shared" si="176"/>
        <v>2066.8528999999999</v>
      </c>
      <c r="C10384" s="66">
        <v>1480</v>
      </c>
      <c r="E10384" s="111">
        <f t="shared" si="177"/>
        <v>138710</v>
      </c>
      <c r="F10384" s="69">
        <v>6.416064500903397E-2</v>
      </c>
      <c r="G10384" s="69">
        <v>0.10871566469984834</v>
      </c>
    </row>
    <row r="10385" spans="1:7" x14ac:dyDescent="0.3">
      <c r="A10385" s="24">
        <v>45263</v>
      </c>
      <c r="B10385" s="66">
        <f t="shared" si="176"/>
        <v>2066.8528999999999</v>
      </c>
      <c r="C10385" s="66">
        <v>1480</v>
      </c>
      <c r="E10385" s="111">
        <f t="shared" si="177"/>
        <v>138710</v>
      </c>
      <c r="F10385" s="69">
        <v>6.416064500903397E-2</v>
      </c>
      <c r="G10385" s="69">
        <v>0.10871566469984834</v>
      </c>
    </row>
    <row r="10386" spans="1:7" x14ac:dyDescent="0.3">
      <c r="A10386" s="24">
        <v>45264</v>
      </c>
      <c r="B10386" s="66">
        <f t="shared" si="176"/>
        <v>2066.8528999999999</v>
      </c>
      <c r="C10386" s="66">
        <v>1494.28</v>
      </c>
      <c r="E10386" s="111">
        <f t="shared" si="177"/>
        <v>138710</v>
      </c>
      <c r="F10386" s="69">
        <v>6.416064500903397E-2</v>
      </c>
      <c r="G10386" s="69">
        <v>0.10781952402897216</v>
      </c>
    </row>
    <row r="10387" spans="1:7" x14ac:dyDescent="0.3">
      <c r="A10387" s="24">
        <v>45265</v>
      </c>
      <c r="B10387" s="66">
        <f t="shared" si="176"/>
        <v>2066.8528999999999</v>
      </c>
      <c r="C10387" s="66">
        <v>1469.38</v>
      </c>
      <c r="E10387" s="111">
        <f t="shared" si="177"/>
        <v>138710</v>
      </c>
      <c r="F10387" s="69">
        <v>6.416064500903397E-2</v>
      </c>
      <c r="G10387" s="69">
        <v>0.10688365197303773</v>
      </c>
    </row>
    <row r="10388" spans="1:7" x14ac:dyDescent="0.3">
      <c r="A10388" s="24">
        <v>45266</v>
      </c>
      <c r="B10388" s="66">
        <f t="shared" si="176"/>
        <v>2066.8528999999999</v>
      </c>
      <c r="C10388" s="66">
        <v>1469.79</v>
      </c>
      <c r="E10388" s="111">
        <f t="shared" si="177"/>
        <v>138710</v>
      </c>
      <c r="F10388" s="69">
        <v>6.416064500903397E-2</v>
      </c>
      <c r="G10388" s="69">
        <v>0.10634192358818233</v>
      </c>
    </row>
    <row r="10389" spans="1:7" x14ac:dyDescent="0.3">
      <c r="A10389" s="24">
        <v>45267</v>
      </c>
      <c r="B10389" s="66">
        <f t="shared" si="176"/>
        <v>2066.8528999999999</v>
      </c>
      <c r="C10389" s="66">
        <v>1499.1</v>
      </c>
      <c r="E10389" s="111">
        <f t="shared" si="177"/>
        <v>138710</v>
      </c>
      <c r="F10389" s="69">
        <v>6.416064500903397E-2</v>
      </c>
      <c r="G10389" s="69">
        <v>0.10634192358818233</v>
      </c>
    </row>
    <row r="10390" spans="1:7" x14ac:dyDescent="0.3">
      <c r="A10390" s="24">
        <v>45268</v>
      </c>
      <c r="B10390" s="66">
        <f t="shared" si="176"/>
        <v>2066.8528999999999</v>
      </c>
      <c r="C10390" s="66">
        <v>1499.1</v>
      </c>
      <c r="E10390" s="111">
        <f t="shared" si="177"/>
        <v>138710</v>
      </c>
      <c r="F10390" s="69">
        <v>6.416064500903397E-2</v>
      </c>
      <c r="G10390" s="69">
        <v>0.10420168067226891</v>
      </c>
    </row>
    <row r="10391" spans="1:7" x14ac:dyDescent="0.3">
      <c r="A10391" s="24">
        <v>45269</v>
      </c>
      <c r="B10391" s="66">
        <f t="shared" si="176"/>
        <v>2066.8528999999999</v>
      </c>
      <c r="C10391" s="66">
        <v>1499.1</v>
      </c>
      <c r="E10391" s="111">
        <f t="shared" si="177"/>
        <v>138710</v>
      </c>
      <c r="F10391" s="69">
        <v>6.416064500903397E-2</v>
      </c>
      <c r="G10391" s="69">
        <v>0.10420168067226891</v>
      </c>
    </row>
    <row r="10392" spans="1:7" x14ac:dyDescent="0.3">
      <c r="A10392" s="24">
        <v>45270</v>
      </c>
      <c r="B10392" s="66">
        <f t="shared" si="176"/>
        <v>2066.8528999999999</v>
      </c>
      <c r="C10392" s="66">
        <v>1499.1</v>
      </c>
      <c r="E10392" s="111">
        <f t="shared" si="177"/>
        <v>138710</v>
      </c>
      <c r="F10392" s="69">
        <v>6.416064500903397E-2</v>
      </c>
      <c r="G10392" s="69">
        <v>0.10420168067226891</v>
      </c>
    </row>
    <row r="10393" spans="1:7" x14ac:dyDescent="0.3">
      <c r="A10393" s="24">
        <v>45271</v>
      </c>
      <c r="B10393" s="66">
        <f t="shared" si="176"/>
        <v>2066.8528999999999</v>
      </c>
      <c r="C10393" s="66">
        <v>1498.09</v>
      </c>
      <c r="E10393" s="111">
        <f t="shared" si="177"/>
        <v>138710</v>
      </c>
      <c r="F10393" s="69">
        <v>6.416064500903397E-2</v>
      </c>
      <c r="G10393" s="69">
        <v>0.10229757043270221</v>
      </c>
    </row>
    <row r="10394" spans="1:7" x14ac:dyDescent="0.3">
      <c r="A10394" s="24">
        <v>45272</v>
      </c>
      <c r="B10394" s="66">
        <f t="shared" si="176"/>
        <v>2066.8528999999999</v>
      </c>
      <c r="C10394" s="66">
        <v>1498.09</v>
      </c>
      <c r="E10394" s="111">
        <f t="shared" si="177"/>
        <v>138710</v>
      </c>
      <c r="F10394" s="69">
        <v>6.416064500903397E-2</v>
      </c>
      <c r="G10394" s="69">
        <v>0.10322151003079998</v>
      </c>
    </row>
    <row r="10395" spans="1:7" x14ac:dyDescent="0.3">
      <c r="A10395" s="24">
        <v>45273</v>
      </c>
      <c r="B10395" s="66">
        <f t="shared" si="176"/>
        <v>2066.8528999999999</v>
      </c>
      <c r="C10395" s="66">
        <v>1499.95</v>
      </c>
      <c r="E10395" s="111">
        <f t="shared" si="177"/>
        <v>138710</v>
      </c>
      <c r="F10395" s="69">
        <v>6.416064500903397E-2</v>
      </c>
      <c r="G10395" s="69">
        <v>0.10376655871597251</v>
      </c>
    </row>
    <row r="10396" spans="1:7" x14ac:dyDescent="0.3">
      <c r="A10396" s="24">
        <v>45274</v>
      </c>
      <c r="B10396" s="66">
        <f t="shared" si="176"/>
        <v>2066.8528999999999</v>
      </c>
      <c r="C10396" s="66">
        <v>1499.41</v>
      </c>
      <c r="E10396" s="111">
        <f t="shared" si="177"/>
        <v>138710</v>
      </c>
      <c r="F10396" s="69">
        <v>6.416064500903397E-2</v>
      </c>
      <c r="G10396" s="69">
        <v>0.10907235719437751</v>
      </c>
    </row>
    <row r="10397" spans="1:7" x14ac:dyDescent="0.3">
      <c r="A10397" s="24">
        <v>45275</v>
      </c>
      <c r="B10397" s="66">
        <f t="shared" si="176"/>
        <v>2066.8528999999999</v>
      </c>
      <c r="C10397" s="66">
        <v>1500.99</v>
      </c>
      <c r="E10397" s="111">
        <f t="shared" si="177"/>
        <v>138710</v>
      </c>
      <c r="F10397" s="69">
        <v>6.416064500903397E-2</v>
      </c>
      <c r="G10397" s="69">
        <v>0.10554718555024983</v>
      </c>
    </row>
    <row r="10398" spans="1:7" x14ac:dyDescent="0.3">
      <c r="A10398" s="24">
        <v>45276</v>
      </c>
      <c r="B10398" s="66">
        <f t="shared" si="176"/>
        <v>2066.8528999999999</v>
      </c>
      <c r="C10398" s="66">
        <v>1500.99</v>
      </c>
      <c r="E10398" s="111">
        <f t="shared" si="177"/>
        <v>138710</v>
      </c>
      <c r="F10398" s="69">
        <v>6.416064500903397E-2</v>
      </c>
      <c r="G10398" s="69">
        <v>0.10554718555024983</v>
      </c>
    </row>
    <row r="10399" spans="1:7" x14ac:dyDescent="0.3">
      <c r="A10399" s="24">
        <v>45277</v>
      </c>
      <c r="B10399" s="66">
        <f t="shared" si="176"/>
        <v>2066.8528999999999</v>
      </c>
      <c r="C10399" s="66">
        <v>1500.99</v>
      </c>
      <c r="E10399" s="111">
        <f t="shared" si="177"/>
        <v>138710</v>
      </c>
      <c r="F10399" s="69">
        <v>6.416064500903397E-2</v>
      </c>
      <c r="G10399" s="69">
        <v>0.10554718555024983</v>
      </c>
    </row>
    <row r="10400" spans="1:7" x14ac:dyDescent="0.3">
      <c r="A10400" s="24">
        <v>45278</v>
      </c>
      <c r="B10400" s="66">
        <f t="shared" si="176"/>
        <v>2066.8528999999999</v>
      </c>
      <c r="C10400" s="66">
        <v>1488.03</v>
      </c>
      <c r="D10400" s="71">
        <v>20</v>
      </c>
      <c r="E10400" s="111">
        <f t="shared" si="177"/>
        <v>138710</v>
      </c>
      <c r="F10400" s="69">
        <v>6.416064500903397E-2</v>
      </c>
      <c r="G10400" s="69">
        <v>0.10554089709762532</v>
      </c>
    </row>
    <row r="10401" spans="1:10" x14ac:dyDescent="0.3">
      <c r="A10401" s="24">
        <v>45279</v>
      </c>
      <c r="B10401" s="66">
        <f t="shared" ref="B10401:B10464" si="178">+B10400</f>
        <v>2066.8528999999999</v>
      </c>
      <c r="C10401" s="66">
        <v>1504.6</v>
      </c>
      <c r="E10401" s="111">
        <f t="shared" si="177"/>
        <v>138710</v>
      </c>
      <c r="F10401" s="69">
        <v>6.416064500903397E-2</v>
      </c>
      <c r="G10401" s="69">
        <v>0.10333333333333333</v>
      </c>
    </row>
    <row r="10402" spans="1:10" x14ac:dyDescent="0.3">
      <c r="A10402" s="24">
        <v>45280</v>
      </c>
      <c r="B10402" s="66">
        <f t="shared" si="178"/>
        <v>2066.8528999999999</v>
      </c>
      <c r="C10402" s="66">
        <v>1520</v>
      </c>
      <c r="E10402" s="111">
        <f t="shared" si="177"/>
        <v>138710</v>
      </c>
      <c r="F10402" s="69">
        <v>6.416064500903397E-2</v>
      </c>
      <c r="G10402" s="69">
        <v>0.10237949767994847</v>
      </c>
    </row>
    <row r="10403" spans="1:10" x14ac:dyDescent="0.3">
      <c r="A10403" s="24">
        <v>45281</v>
      </c>
      <c r="B10403" s="66">
        <f t="shared" si="178"/>
        <v>2066.8528999999999</v>
      </c>
      <c r="C10403" s="66">
        <v>1528.55</v>
      </c>
      <c r="E10403" s="111">
        <f t="shared" si="177"/>
        <v>138710</v>
      </c>
      <c r="F10403" s="69">
        <v>6.416064500903397E-2</v>
      </c>
      <c r="G10403" s="69">
        <v>0.1008130081300813</v>
      </c>
    </row>
    <row r="10404" spans="1:10" x14ac:dyDescent="0.3">
      <c r="A10404" s="24">
        <v>45282</v>
      </c>
      <c r="B10404" s="66">
        <f t="shared" si="178"/>
        <v>2066.8528999999999</v>
      </c>
      <c r="C10404" s="66">
        <v>1520</v>
      </c>
      <c r="E10404" s="111">
        <f t="shared" si="177"/>
        <v>138710</v>
      </c>
      <c r="F10404" s="69">
        <v>6.416064500903397E-2</v>
      </c>
      <c r="G10404" s="69">
        <v>9.2609880876806452E-2</v>
      </c>
    </row>
    <row r="10405" spans="1:10" x14ac:dyDescent="0.3">
      <c r="A10405" s="24">
        <v>45283</v>
      </c>
      <c r="B10405" s="66">
        <f t="shared" si="178"/>
        <v>2066.8528999999999</v>
      </c>
      <c r="C10405" s="66">
        <v>1520</v>
      </c>
      <c r="E10405" s="111">
        <f t="shared" si="177"/>
        <v>138710</v>
      </c>
      <c r="F10405" s="69">
        <v>6.416064500903397E-2</v>
      </c>
      <c r="G10405" s="69">
        <v>9.2609880876806452E-2</v>
      </c>
    </row>
    <row r="10406" spans="1:10" x14ac:dyDescent="0.3">
      <c r="A10406" s="24">
        <v>45284</v>
      </c>
      <c r="B10406" s="66">
        <f t="shared" si="178"/>
        <v>2066.8528999999999</v>
      </c>
      <c r="C10406" s="66">
        <v>1520</v>
      </c>
      <c r="E10406" s="111">
        <f t="shared" si="177"/>
        <v>138710</v>
      </c>
      <c r="F10406" s="69">
        <v>6.416064500903397E-2</v>
      </c>
      <c r="G10406" s="69">
        <v>9.2609880876806452E-2</v>
      </c>
    </row>
    <row r="10407" spans="1:10" x14ac:dyDescent="0.3">
      <c r="A10407" s="24">
        <v>45285</v>
      </c>
      <c r="B10407" s="66">
        <f t="shared" si="178"/>
        <v>2066.8528999999999</v>
      </c>
      <c r="C10407" s="66">
        <v>1520</v>
      </c>
      <c r="E10407" s="111">
        <f t="shared" si="177"/>
        <v>138710</v>
      </c>
      <c r="F10407" s="69">
        <v>6.416064500903397E-2</v>
      </c>
      <c r="G10407" s="69">
        <v>9.5023525985869078E-2</v>
      </c>
    </row>
    <row r="10408" spans="1:10" x14ac:dyDescent="0.3">
      <c r="A10408" s="24">
        <v>45286</v>
      </c>
      <c r="B10408" s="66">
        <f t="shared" si="178"/>
        <v>2066.8528999999999</v>
      </c>
      <c r="C10408" s="66">
        <v>1499.9</v>
      </c>
      <c r="E10408" s="111">
        <f t="shared" si="177"/>
        <v>138710</v>
      </c>
      <c r="F10408" s="69">
        <v>6.416064500903397E-2</v>
      </c>
      <c r="G10408" s="69">
        <v>9.1176470588235289E-2</v>
      </c>
    </row>
    <row r="10409" spans="1:10" x14ac:dyDescent="0.3">
      <c r="A10409" s="24">
        <v>45287</v>
      </c>
      <c r="B10409" s="66">
        <f t="shared" si="178"/>
        <v>2066.8528999999999</v>
      </c>
      <c r="C10409" s="66">
        <v>1472.93</v>
      </c>
      <c r="E10409" s="111">
        <f t="shared" si="177"/>
        <v>138710</v>
      </c>
      <c r="F10409" s="69">
        <v>6.416064500903397E-2</v>
      </c>
      <c r="G10409" s="69">
        <v>9.1653608491263333E-2</v>
      </c>
    </row>
    <row r="10410" spans="1:10" x14ac:dyDescent="0.3">
      <c r="A10410" s="24">
        <v>45288</v>
      </c>
      <c r="B10410" s="66">
        <f t="shared" si="178"/>
        <v>2066.8528999999999</v>
      </c>
      <c r="C10410" s="66">
        <v>1472.96</v>
      </c>
      <c r="E10410" s="111">
        <f t="shared" si="177"/>
        <v>138710</v>
      </c>
      <c r="F10410" s="69">
        <v>6.416064500903397E-2</v>
      </c>
      <c r="G10410" s="69">
        <v>8.9815371466235944E-2</v>
      </c>
    </row>
    <row r="10411" spans="1:10" x14ac:dyDescent="0.3">
      <c r="A10411" s="24">
        <v>45289</v>
      </c>
      <c r="B10411" s="66">
        <f t="shared" si="178"/>
        <v>2066.8528999999999</v>
      </c>
      <c r="C10411" s="66">
        <v>1477.01</v>
      </c>
      <c r="E10411" s="111">
        <f t="shared" si="177"/>
        <v>138710</v>
      </c>
      <c r="F10411" s="69">
        <v>6.416064500903397E-2</v>
      </c>
      <c r="G10411" s="69">
        <v>8.9087499730582151E-2</v>
      </c>
    </row>
    <row r="10412" spans="1:10" x14ac:dyDescent="0.3">
      <c r="A10412" s="24">
        <v>45290</v>
      </c>
      <c r="B10412" s="66">
        <f t="shared" si="178"/>
        <v>2066.8528999999999</v>
      </c>
      <c r="C10412" s="66">
        <v>1477.01</v>
      </c>
      <c r="E10412" s="111">
        <f t="shared" si="177"/>
        <v>138710</v>
      </c>
      <c r="F10412" s="69">
        <v>6.416064500903397E-2</v>
      </c>
      <c r="G10412" s="69">
        <v>8.9087499730582151E-2</v>
      </c>
    </row>
    <row r="10413" spans="1:10" x14ac:dyDescent="0.3">
      <c r="A10413" s="24">
        <v>45291</v>
      </c>
      <c r="B10413" s="66">
        <v>2040.5679</v>
      </c>
      <c r="C10413" s="66">
        <v>1477.01</v>
      </c>
      <c r="E10413" s="111">
        <f t="shared" si="177"/>
        <v>138710</v>
      </c>
      <c r="F10413" s="69">
        <v>6.416064500903397E-2</v>
      </c>
      <c r="G10413" s="69">
        <v>8.9087499730582151E-2</v>
      </c>
    </row>
    <row r="10414" spans="1:10" x14ac:dyDescent="0.3">
      <c r="A10414" s="24">
        <v>45292</v>
      </c>
      <c r="B10414" s="66">
        <f t="shared" si="178"/>
        <v>2040.5679</v>
      </c>
      <c r="C10414" s="66">
        <v>1477.01</v>
      </c>
      <c r="E10414" s="112">
        <f>+E10413</f>
        <v>138710</v>
      </c>
      <c r="F10414" s="69">
        <v>6.416064500903397E-2</v>
      </c>
      <c r="G10414" s="69">
        <v>8.9087499730582151E-2</v>
      </c>
    </row>
    <row r="10415" spans="1:10" x14ac:dyDescent="0.3">
      <c r="A10415" s="24">
        <v>45293</v>
      </c>
      <c r="B10415" s="66">
        <f t="shared" si="178"/>
        <v>2040.5679</v>
      </c>
      <c r="C10415" s="66">
        <v>1493.23</v>
      </c>
      <c r="E10415" s="112">
        <f>+E10414</f>
        <v>138710</v>
      </c>
      <c r="F10415" s="69">
        <v>6.416064500903397E-2</v>
      </c>
      <c r="G10415" s="69">
        <v>9.0847149670679084E-2</v>
      </c>
    </row>
    <row r="10416" spans="1:10" x14ac:dyDescent="0.3">
      <c r="A10416" s="24">
        <f t="shared" ref="A10416:A10481" si="179">+A10415+1</f>
        <v>45294</v>
      </c>
      <c r="B10416" s="66">
        <f t="shared" si="178"/>
        <v>2040.5679</v>
      </c>
      <c r="C10416" s="66">
        <v>1488.48</v>
      </c>
      <c r="E10416" s="112">
        <v>138722</v>
      </c>
      <c r="F10416" s="69">
        <f>+SUM(D10053:D10416)/B10052</f>
        <v>6.416064500903397E-2</v>
      </c>
      <c r="G10416" s="69">
        <f t="shared" ref="G10416" si="180">+SUM(D10053:D10416)/C10052</f>
        <v>9.1825324535874817E-2</v>
      </c>
      <c r="J10416" s="112"/>
    </row>
    <row r="10417" spans="1:10" x14ac:dyDescent="0.3">
      <c r="A10417" s="24">
        <f t="shared" si="179"/>
        <v>45295</v>
      </c>
      <c r="B10417" s="66">
        <f t="shared" si="178"/>
        <v>2040.5679</v>
      </c>
      <c r="C10417" s="66">
        <v>1482.66</v>
      </c>
      <c r="E10417" s="112">
        <v>138788</v>
      </c>
      <c r="F10417" s="69">
        <f t="shared" ref="F10417:F10480" si="181">+SUM(D10054:D10417)/B10053</f>
        <v>6.416064500903397E-2</v>
      </c>
      <c r="G10417" s="69">
        <f t="shared" ref="G10417:G10480" si="182">+SUM(D10054:D10417)/C10053</f>
        <v>9.182192470602174E-2</v>
      </c>
      <c r="J10417" s="112"/>
    </row>
    <row r="10418" spans="1:10" x14ac:dyDescent="0.3">
      <c r="A10418" s="24">
        <f t="shared" si="179"/>
        <v>45296</v>
      </c>
      <c r="B10418" s="66">
        <f t="shared" si="178"/>
        <v>2040.5679</v>
      </c>
      <c r="C10418" s="66">
        <v>1480.06</v>
      </c>
      <c r="E10418" s="112">
        <v>138851</v>
      </c>
      <c r="F10418" s="69">
        <f t="shared" si="181"/>
        <v>6.416064500903397E-2</v>
      </c>
      <c r="G10418" s="69">
        <f t="shared" si="182"/>
        <v>9.0694323559313353E-2</v>
      </c>
      <c r="J10418" s="112"/>
    </row>
    <row r="10419" spans="1:10" x14ac:dyDescent="0.3">
      <c r="A10419" s="24">
        <f t="shared" si="179"/>
        <v>45297</v>
      </c>
      <c r="B10419" s="66">
        <f t="shared" si="178"/>
        <v>2040.5679</v>
      </c>
      <c r="C10419" s="66">
        <v>1480.06</v>
      </c>
      <c r="E10419" s="112">
        <f>+E10418</f>
        <v>138851</v>
      </c>
      <c r="F10419" s="69">
        <f t="shared" si="181"/>
        <v>6.416064500903397E-2</v>
      </c>
      <c r="G10419" s="69">
        <f t="shared" si="182"/>
        <v>9.0694323559313353E-2</v>
      </c>
      <c r="J10419" s="112"/>
    </row>
    <row r="10420" spans="1:10" x14ac:dyDescent="0.3">
      <c r="A10420" s="24">
        <f t="shared" si="179"/>
        <v>45298</v>
      </c>
      <c r="B10420" s="66">
        <f t="shared" si="178"/>
        <v>2040.5679</v>
      </c>
      <c r="C10420" s="66">
        <v>1480.06</v>
      </c>
      <c r="E10420" s="112">
        <f>+E10419</f>
        <v>138851</v>
      </c>
      <c r="F10420" s="69">
        <f t="shared" si="181"/>
        <v>6.416064500903397E-2</v>
      </c>
      <c r="G10420" s="69">
        <f t="shared" si="182"/>
        <v>9.0694323559313353E-2</v>
      </c>
      <c r="J10420" s="112"/>
    </row>
    <row r="10421" spans="1:10" x14ac:dyDescent="0.3">
      <c r="A10421" s="24">
        <f t="shared" si="179"/>
        <v>45299</v>
      </c>
      <c r="B10421" s="66">
        <f t="shared" si="178"/>
        <v>2040.5679</v>
      </c>
      <c r="C10421" s="66">
        <v>1485.39</v>
      </c>
      <c r="E10421" s="112">
        <v>138960</v>
      </c>
      <c r="F10421" s="69">
        <f t="shared" si="181"/>
        <v>6.416064500903397E-2</v>
      </c>
      <c r="G10421" s="69">
        <f t="shared" si="182"/>
        <v>9.1794735127772351E-2</v>
      </c>
      <c r="J10421" s="112"/>
    </row>
    <row r="10422" spans="1:10" x14ac:dyDescent="0.3">
      <c r="A10422" s="24">
        <f t="shared" si="179"/>
        <v>45300</v>
      </c>
      <c r="B10422" s="66">
        <f t="shared" si="178"/>
        <v>2040.5679</v>
      </c>
      <c r="C10422" s="66">
        <v>1481</v>
      </c>
      <c r="E10422" s="112">
        <v>139736</v>
      </c>
      <c r="F10422" s="69">
        <f t="shared" si="181"/>
        <v>6.416064500903397E-2</v>
      </c>
      <c r="G10422" s="69">
        <f t="shared" si="182"/>
        <v>9.0811887569024349E-2</v>
      </c>
      <c r="J10422" s="112"/>
    </row>
    <row r="10423" spans="1:10" x14ac:dyDescent="0.3">
      <c r="A10423" s="24">
        <f t="shared" si="179"/>
        <v>45301</v>
      </c>
      <c r="B10423" s="66">
        <f t="shared" si="178"/>
        <v>2040.5679</v>
      </c>
      <c r="C10423" s="66">
        <v>1483.25</v>
      </c>
      <c r="E10423" s="112">
        <v>143093</v>
      </c>
      <c r="F10423" s="69">
        <f t="shared" si="181"/>
        <v>6.416064500903397E-2</v>
      </c>
      <c r="G10423" s="69">
        <f t="shared" si="182"/>
        <v>9.1851851851851851E-2</v>
      </c>
      <c r="J10423" s="112"/>
    </row>
    <row r="10424" spans="1:10" x14ac:dyDescent="0.3">
      <c r="A10424" s="24">
        <f t="shared" si="179"/>
        <v>45302</v>
      </c>
      <c r="B10424" s="66">
        <f t="shared" si="178"/>
        <v>2040.5679</v>
      </c>
      <c r="C10424" s="66">
        <v>1483.74</v>
      </c>
      <c r="E10424" s="112">
        <v>144243</v>
      </c>
      <c r="F10424" s="69">
        <f t="shared" si="181"/>
        <v>6.416064500903397E-2</v>
      </c>
      <c r="G10424" s="69">
        <f t="shared" si="182"/>
        <v>9.1113495084279975E-2</v>
      </c>
      <c r="J10424" s="112"/>
    </row>
    <row r="10425" spans="1:10" x14ac:dyDescent="0.3">
      <c r="A10425" s="24">
        <f t="shared" si="179"/>
        <v>45303</v>
      </c>
      <c r="B10425" s="66">
        <f t="shared" si="178"/>
        <v>2040.5679</v>
      </c>
      <c r="C10425" s="66">
        <v>1481.95</v>
      </c>
      <c r="E10425" s="112">
        <v>144311</v>
      </c>
      <c r="F10425" s="69">
        <f t="shared" si="181"/>
        <v>6.416064500903397E-2</v>
      </c>
      <c r="G10425" s="69">
        <f t="shared" si="182"/>
        <v>8.9530685920577613E-2</v>
      </c>
      <c r="J10425" s="112"/>
    </row>
    <row r="10426" spans="1:10" x14ac:dyDescent="0.3">
      <c r="A10426" s="24">
        <f t="shared" si="179"/>
        <v>45304</v>
      </c>
      <c r="B10426" s="66">
        <f t="shared" si="178"/>
        <v>2040.5679</v>
      </c>
      <c r="C10426" s="66">
        <v>1481.95</v>
      </c>
      <c r="E10426" s="112">
        <f>+E10425</f>
        <v>144311</v>
      </c>
      <c r="F10426" s="69">
        <f t="shared" si="181"/>
        <v>6.416064500903397E-2</v>
      </c>
      <c r="G10426" s="69">
        <f t="shared" si="182"/>
        <v>8.9530685920577613E-2</v>
      </c>
      <c r="J10426" s="112"/>
    </row>
    <row r="10427" spans="1:10" x14ac:dyDescent="0.3">
      <c r="A10427" s="24">
        <f t="shared" si="179"/>
        <v>45305</v>
      </c>
      <c r="B10427" s="66">
        <f t="shared" si="178"/>
        <v>2040.5679</v>
      </c>
      <c r="C10427" s="66">
        <v>1481.95</v>
      </c>
      <c r="E10427" s="112">
        <f>+E10426</f>
        <v>144311</v>
      </c>
      <c r="F10427" s="69">
        <f t="shared" si="181"/>
        <v>6.416064500903397E-2</v>
      </c>
      <c r="G10427" s="69">
        <f t="shared" si="182"/>
        <v>8.9530685920577613E-2</v>
      </c>
      <c r="J10427" s="112"/>
    </row>
    <row r="10428" spans="1:10" x14ac:dyDescent="0.3">
      <c r="A10428" s="24">
        <f t="shared" si="179"/>
        <v>45306</v>
      </c>
      <c r="B10428" s="66">
        <f t="shared" si="178"/>
        <v>2040.5679</v>
      </c>
      <c r="C10428" s="66">
        <v>1491.99</v>
      </c>
      <c r="E10428" s="112">
        <v>144369</v>
      </c>
      <c r="F10428" s="69">
        <f t="shared" si="181"/>
        <v>6.416064500903397E-2</v>
      </c>
      <c r="G10428" s="69">
        <f t="shared" si="182"/>
        <v>8.8599907113000614E-2</v>
      </c>
      <c r="J10428" s="112"/>
    </row>
    <row r="10429" spans="1:10" x14ac:dyDescent="0.3">
      <c r="A10429" s="24">
        <f t="shared" si="179"/>
        <v>45307</v>
      </c>
      <c r="B10429" s="66">
        <f t="shared" si="178"/>
        <v>2040.5679</v>
      </c>
      <c r="C10429" s="66">
        <v>1485.98</v>
      </c>
      <c r="E10429" s="112">
        <v>144686</v>
      </c>
      <c r="F10429" s="69">
        <f t="shared" si="181"/>
        <v>6.416064500903397E-2</v>
      </c>
      <c r="G10429" s="69">
        <f t="shared" si="182"/>
        <v>8.8649313325278645E-2</v>
      </c>
      <c r="J10429" s="112"/>
    </row>
    <row r="10430" spans="1:10" x14ac:dyDescent="0.3">
      <c r="A10430" s="24">
        <f t="shared" si="179"/>
        <v>45308</v>
      </c>
      <c r="B10430" s="66">
        <f t="shared" si="178"/>
        <v>2040.5679</v>
      </c>
      <c r="C10430" s="66">
        <v>1487.05</v>
      </c>
      <c r="E10430" s="112">
        <v>144868</v>
      </c>
      <c r="F10430" s="69">
        <f t="shared" si="181"/>
        <v>6.416064500903397E-2</v>
      </c>
      <c r="G10430" s="69">
        <f t="shared" si="182"/>
        <v>9.0334894767132662E-2</v>
      </c>
      <c r="J10430" s="112"/>
    </row>
    <row r="10431" spans="1:10" x14ac:dyDescent="0.3">
      <c r="A10431" s="24">
        <f t="shared" si="179"/>
        <v>45309</v>
      </c>
      <c r="B10431" s="66">
        <f t="shared" si="178"/>
        <v>2040.5679</v>
      </c>
      <c r="C10431" s="66">
        <v>1480.35</v>
      </c>
      <c r="E10431" s="112">
        <v>147849</v>
      </c>
      <c r="F10431" s="69">
        <f t="shared" si="181"/>
        <v>6.416064500903397E-2</v>
      </c>
      <c r="G10431" s="69">
        <f t="shared" si="182"/>
        <v>8.9855072463768115E-2</v>
      </c>
      <c r="J10431" s="112"/>
    </row>
    <row r="10432" spans="1:10" x14ac:dyDescent="0.3">
      <c r="A10432" s="24">
        <f t="shared" si="179"/>
        <v>45310</v>
      </c>
      <c r="B10432" s="66">
        <f t="shared" si="178"/>
        <v>2040.5679</v>
      </c>
      <c r="C10432" s="66">
        <v>1476.41</v>
      </c>
      <c r="E10432" s="112">
        <v>160466</v>
      </c>
      <c r="F10432" s="69">
        <f t="shared" si="181"/>
        <v>6.416064500903397E-2</v>
      </c>
      <c r="G10432" s="69">
        <f t="shared" si="182"/>
        <v>8.8891437747318919E-2</v>
      </c>
      <c r="J10432" s="112"/>
    </row>
    <row r="10433" spans="1:10" x14ac:dyDescent="0.3">
      <c r="A10433" s="24">
        <f t="shared" si="179"/>
        <v>45311</v>
      </c>
      <c r="B10433" s="66">
        <f t="shared" si="178"/>
        <v>2040.5679</v>
      </c>
      <c r="C10433" s="66">
        <v>1476.41</v>
      </c>
      <c r="E10433" s="112">
        <f>+E10432</f>
        <v>160466</v>
      </c>
      <c r="F10433" s="69">
        <f t="shared" si="181"/>
        <v>6.416064500903397E-2</v>
      </c>
      <c r="G10433" s="69">
        <f t="shared" si="182"/>
        <v>8.8891437747318919E-2</v>
      </c>
      <c r="J10433" s="112"/>
    </row>
    <row r="10434" spans="1:10" x14ac:dyDescent="0.3">
      <c r="A10434" s="24">
        <f t="shared" si="179"/>
        <v>45312</v>
      </c>
      <c r="B10434" s="66">
        <f t="shared" si="178"/>
        <v>2040.5679</v>
      </c>
      <c r="C10434" s="66">
        <v>1476.41</v>
      </c>
      <c r="E10434" s="112">
        <f t="shared" ref="E10434:E10441" si="183">+E10433</f>
        <v>160466</v>
      </c>
      <c r="F10434" s="69">
        <f t="shared" si="181"/>
        <v>6.416064500903397E-2</v>
      </c>
      <c r="G10434" s="69">
        <f t="shared" si="182"/>
        <v>8.8891437747318919E-2</v>
      </c>
      <c r="J10434" s="112"/>
    </row>
    <row r="10435" spans="1:10" x14ac:dyDescent="0.3">
      <c r="A10435" s="24">
        <f t="shared" si="179"/>
        <v>45313</v>
      </c>
      <c r="B10435" s="66">
        <f t="shared" si="178"/>
        <v>2040.5679</v>
      </c>
      <c r="C10435" s="66">
        <v>1475</v>
      </c>
      <c r="E10435" s="112">
        <f t="shared" si="183"/>
        <v>160466</v>
      </c>
      <c r="F10435" s="69">
        <f t="shared" si="181"/>
        <v>6.416064500903397E-2</v>
      </c>
      <c r="G10435" s="69">
        <f t="shared" si="182"/>
        <v>9.104392134979955E-2</v>
      </c>
      <c r="J10435" s="112"/>
    </row>
    <row r="10436" spans="1:10" x14ac:dyDescent="0.3">
      <c r="A10436" s="24">
        <f t="shared" si="179"/>
        <v>45314</v>
      </c>
      <c r="B10436" s="66">
        <f t="shared" si="178"/>
        <v>2040.5679</v>
      </c>
      <c r="C10436" s="66">
        <v>1475</v>
      </c>
      <c r="E10436" s="112">
        <f t="shared" si="183"/>
        <v>160466</v>
      </c>
      <c r="F10436" s="69">
        <f t="shared" si="181"/>
        <v>6.416064500903397E-2</v>
      </c>
      <c r="G10436" s="69">
        <f t="shared" si="182"/>
        <v>9.1699698278412109E-2</v>
      </c>
      <c r="J10436" s="112"/>
    </row>
    <row r="10437" spans="1:10" x14ac:dyDescent="0.3">
      <c r="A10437" s="24">
        <f t="shared" si="179"/>
        <v>45315</v>
      </c>
      <c r="B10437" s="66">
        <f t="shared" si="178"/>
        <v>2040.5679</v>
      </c>
      <c r="C10437" s="66">
        <v>1485</v>
      </c>
      <c r="E10437" s="112">
        <f t="shared" si="183"/>
        <v>160466</v>
      </c>
      <c r="F10437" s="69">
        <f t="shared" si="181"/>
        <v>6.416064500903397E-2</v>
      </c>
      <c r="G10437" s="69">
        <f t="shared" si="182"/>
        <v>9.3186839613424916E-2</v>
      </c>
      <c r="J10437" s="112"/>
    </row>
    <row r="10438" spans="1:10" x14ac:dyDescent="0.3">
      <c r="A10438" s="24">
        <f t="shared" si="179"/>
        <v>45316</v>
      </c>
      <c r="B10438" s="66">
        <f t="shared" si="178"/>
        <v>2040.5679</v>
      </c>
      <c r="C10438" s="66">
        <v>1480.01</v>
      </c>
      <c r="E10438" s="112">
        <f t="shared" si="183"/>
        <v>160466</v>
      </c>
      <c r="F10438" s="69">
        <f t="shared" si="181"/>
        <v>6.416064500903397E-2</v>
      </c>
      <c r="G10438" s="69">
        <f t="shared" si="182"/>
        <v>9.1316803028183013E-2</v>
      </c>
      <c r="J10438" s="112"/>
    </row>
    <row r="10439" spans="1:10" x14ac:dyDescent="0.3">
      <c r="A10439" s="24">
        <f t="shared" si="179"/>
        <v>45317</v>
      </c>
      <c r="B10439" s="66">
        <f t="shared" si="178"/>
        <v>2040.5679</v>
      </c>
      <c r="C10439" s="66">
        <v>1500</v>
      </c>
      <c r="E10439" s="112">
        <f t="shared" si="183"/>
        <v>160466</v>
      </c>
      <c r="F10439" s="69">
        <f t="shared" si="181"/>
        <v>6.416064500903397E-2</v>
      </c>
      <c r="G10439" s="69">
        <f t="shared" si="182"/>
        <v>9.1197928924452804E-2</v>
      </c>
      <c r="J10439" s="112"/>
    </row>
    <row r="10440" spans="1:10" x14ac:dyDescent="0.3">
      <c r="A10440" s="24">
        <f t="shared" si="179"/>
        <v>45318</v>
      </c>
      <c r="B10440" s="66">
        <f t="shared" si="178"/>
        <v>2040.5679</v>
      </c>
      <c r="C10440" s="66">
        <v>1500</v>
      </c>
      <c r="E10440" s="112">
        <f t="shared" si="183"/>
        <v>160466</v>
      </c>
      <c r="F10440" s="69">
        <f t="shared" si="181"/>
        <v>6.416064500903397E-2</v>
      </c>
      <c r="G10440" s="69">
        <f t="shared" si="182"/>
        <v>9.1197928924452804E-2</v>
      </c>
      <c r="J10440" s="112"/>
    </row>
    <row r="10441" spans="1:10" x14ac:dyDescent="0.3">
      <c r="A10441" s="24">
        <f t="shared" si="179"/>
        <v>45319</v>
      </c>
      <c r="B10441" s="66">
        <f t="shared" si="178"/>
        <v>2040.5679</v>
      </c>
      <c r="C10441" s="66">
        <v>1500</v>
      </c>
      <c r="E10441" s="112">
        <f t="shared" si="183"/>
        <v>160466</v>
      </c>
      <c r="F10441" s="69">
        <f t="shared" si="181"/>
        <v>6.416064500903397E-2</v>
      </c>
      <c r="G10441" s="69">
        <f t="shared" si="182"/>
        <v>9.1197928924452804E-2</v>
      </c>
      <c r="J10441" s="112"/>
    </row>
    <row r="10442" spans="1:10" x14ac:dyDescent="0.3">
      <c r="A10442" s="24">
        <f t="shared" si="179"/>
        <v>45320</v>
      </c>
      <c r="B10442" s="66">
        <f t="shared" si="178"/>
        <v>2040.5679</v>
      </c>
      <c r="C10442" s="66">
        <v>1516.68</v>
      </c>
      <c r="E10442" s="112">
        <v>160473</v>
      </c>
      <c r="F10442" s="69">
        <f t="shared" si="181"/>
        <v>6.416064500903397E-2</v>
      </c>
      <c r="G10442" s="69">
        <f t="shared" si="182"/>
        <v>9.1851851851851851E-2</v>
      </c>
      <c r="J10442" s="112"/>
    </row>
    <row r="10443" spans="1:10" x14ac:dyDescent="0.3">
      <c r="A10443" s="24">
        <f t="shared" si="179"/>
        <v>45321</v>
      </c>
      <c r="B10443" s="66">
        <f t="shared" si="178"/>
        <v>2040.5679</v>
      </c>
      <c r="C10443" s="66">
        <v>1499.84</v>
      </c>
      <c r="E10443" s="112">
        <v>160588</v>
      </c>
      <c r="F10443" s="69">
        <f t="shared" si="181"/>
        <v>6.3227556690388223E-2</v>
      </c>
      <c r="G10443" s="69">
        <f t="shared" si="182"/>
        <v>9.0842490842490839E-2</v>
      </c>
      <c r="J10443" s="112"/>
    </row>
    <row r="10444" spans="1:10" x14ac:dyDescent="0.3">
      <c r="A10444" s="24">
        <f t="shared" si="179"/>
        <v>45322</v>
      </c>
      <c r="B10444" s="66">
        <v>2017.0467000000001</v>
      </c>
      <c r="C10444" s="66">
        <v>1502.25</v>
      </c>
      <c r="E10444" s="112">
        <v>160700</v>
      </c>
      <c r="F10444" s="69">
        <f t="shared" si="181"/>
        <v>6.3227556690388223E-2</v>
      </c>
      <c r="G10444" s="69">
        <f t="shared" si="182"/>
        <v>8.8708292794597382E-2</v>
      </c>
      <c r="J10444" s="112"/>
    </row>
    <row r="10445" spans="1:10" x14ac:dyDescent="0.3">
      <c r="A10445" s="24">
        <f t="shared" si="179"/>
        <v>45323</v>
      </c>
      <c r="B10445" s="66">
        <f t="shared" si="178"/>
        <v>2017.0467000000001</v>
      </c>
      <c r="C10445" s="66">
        <v>1497.37</v>
      </c>
      <c r="E10445" s="112">
        <v>160822</v>
      </c>
      <c r="F10445" s="69">
        <f t="shared" si="181"/>
        <v>6.3227556690388223E-2</v>
      </c>
      <c r="G10445" s="69">
        <f t="shared" si="182"/>
        <v>8.9208633093525183E-2</v>
      </c>
      <c r="J10445" s="112"/>
    </row>
    <row r="10446" spans="1:10" x14ac:dyDescent="0.3">
      <c r="A10446" s="24">
        <f t="shared" si="179"/>
        <v>45324</v>
      </c>
      <c r="B10446" s="66">
        <f t="shared" si="178"/>
        <v>2017.0467000000001</v>
      </c>
      <c r="C10446" s="66">
        <v>1497.28</v>
      </c>
      <c r="E10446" s="112">
        <v>160930</v>
      </c>
      <c r="F10446" s="69">
        <f t="shared" si="181"/>
        <v>6.3227556690388223E-2</v>
      </c>
      <c r="G10446" s="69">
        <f t="shared" si="182"/>
        <v>8.9208633093525183E-2</v>
      </c>
      <c r="J10446" s="112"/>
    </row>
    <row r="10447" spans="1:10" x14ac:dyDescent="0.3">
      <c r="A10447" s="24">
        <f t="shared" si="179"/>
        <v>45325</v>
      </c>
      <c r="B10447" s="66">
        <f t="shared" si="178"/>
        <v>2017.0467000000001</v>
      </c>
      <c r="C10447" s="66">
        <v>1497.28</v>
      </c>
      <c r="E10447" s="112">
        <f>+E10446</f>
        <v>160930</v>
      </c>
      <c r="F10447" s="69">
        <f t="shared" si="181"/>
        <v>6.3227556690388223E-2</v>
      </c>
      <c r="G10447" s="69">
        <f t="shared" si="182"/>
        <v>8.9208633093525183E-2</v>
      </c>
      <c r="J10447" s="112"/>
    </row>
    <row r="10448" spans="1:10" x14ac:dyDescent="0.3">
      <c r="A10448" s="24">
        <f t="shared" si="179"/>
        <v>45326</v>
      </c>
      <c r="B10448" s="66">
        <f t="shared" si="178"/>
        <v>2017.0467000000001</v>
      </c>
      <c r="C10448" s="66">
        <v>1497.28</v>
      </c>
      <c r="E10448" s="112">
        <f>+E10447</f>
        <v>160930</v>
      </c>
      <c r="F10448" s="69">
        <f t="shared" si="181"/>
        <v>6.3227556690388223E-2</v>
      </c>
      <c r="G10448" s="69">
        <f t="shared" si="182"/>
        <v>8.9208633093525183E-2</v>
      </c>
      <c r="J10448" s="112"/>
    </row>
    <row r="10449" spans="1:10" x14ac:dyDescent="0.3">
      <c r="A10449" s="24">
        <f t="shared" si="179"/>
        <v>45327</v>
      </c>
      <c r="B10449" s="66">
        <f t="shared" si="178"/>
        <v>2017.0467000000001</v>
      </c>
      <c r="C10449" s="66">
        <v>1497.34</v>
      </c>
      <c r="E10449" s="112">
        <v>161047</v>
      </c>
      <c r="F10449" s="69">
        <f t="shared" si="181"/>
        <v>6.3227556690388223E-2</v>
      </c>
      <c r="G10449" s="69">
        <f t="shared" si="182"/>
        <v>8.8642342445384867E-2</v>
      </c>
      <c r="J10449" s="112"/>
    </row>
    <row r="10450" spans="1:10" x14ac:dyDescent="0.3">
      <c r="A10450" s="24">
        <f t="shared" si="179"/>
        <v>45328</v>
      </c>
      <c r="B10450" s="66">
        <f t="shared" si="178"/>
        <v>2017.0467000000001</v>
      </c>
      <c r="C10450" s="66">
        <v>1510.62</v>
      </c>
      <c r="E10450" s="112">
        <v>161813</v>
      </c>
      <c r="F10450" s="69">
        <f t="shared" si="181"/>
        <v>6.3227556690388223E-2</v>
      </c>
      <c r="G10450" s="69">
        <f t="shared" si="182"/>
        <v>8.7121478254760062E-2</v>
      </c>
      <c r="J10450" s="112"/>
    </row>
    <row r="10451" spans="1:10" x14ac:dyDescent="0.3">
      <c r="A10451" s="24">
        <f t="shared" si="179"/>
        <v>45329</v>
      </c>
      <c r="B10451" s="66">
        <f t="shared" si="178"/>
        <v>2017.0467000000001</v>
      </c>
      <c r="C10451" s="66">
        <v>1509.75</v>
      </c>
      <c r="E10451" s="112">
        <v>163196</v>
      </c>
      <c r="F10451" s="69">
        <f t="shared" si="181"/>
        <v>6.3227556690388223E-2</v>
      </c>
      <c r="G10451" s="69">
        <f t="shared" si="182"/>
        <v>8.8474107053669537E-2</v>
      </c>
      <c r="J10451" s="112"/>
    </row>
    <row r="10452" spans="1:10" x14ac:dyDescent="0.3">
      <c r="A10452" s="24">
        <f t="shared" si="179"/>
        <v>45330</v>
      </c>
      <c r="B10452" s="66">
        <f t="shared" si="178"/>
        <v>2017.0467000000001</v>
      </c>
      <c r="C10452" s="66">
        <v>1512.11</v>
      </c>
      <c r="E10452" s="112">
        <v>163640</v>
      </c>
      <c r="F10452" s="69">
        <f t="shared" si="181"/>
        <v>6.3227556690388223E-2</v>
      </c>
      <c r="G10452" s="69">
        <f t="shared" si="182"/>
        <v>8.8441293525241438E-2</v>
      </c>
      <c r="J10452" s="112"/>
    </row>
    <row r="10453" spans="1:10" x14ac:dyDescent="0.3">
      <c r="A10453" s="24">
        <f t="shared" si="179"/>
        <v>45331</v>
      </c>
      <c r="B10453" s="66">
        <f t="shared" si="178"/>
        <v>2017.0467000000001</v>
      </c>
      <c r="C10453" s="66">
        <v>1529.56</v>
      </c>
      <c r="E10453" s="112">
        <f>+E10452</f>
        <v>163640</v>
      </c>
      <c r="F10453" s="69">
        <f t="shared" si="181"/>
        <v>6.3227556690388223E-2</v>
      </c>
      <c r="G10453" s="69">
        <f t="shared" si="182"/>
        <v>8.9206707768897081E-2</v>
      </c>
      <c r="J10453" s="112"/>
    </row>
    <row r="10454" spans="1:10" x14ac:dyDescent="0.3">
      <c r="A10454" s="24">
        <f t="shared" si="179"/>
        <v>45332</v>
      </c>
      <c r="B10454" s="66">
        <f t="shared" si="178"/>
        <v>2017.0467000000001</v>
      </c>
      <c r="C10454" s="66">
        <v>1529.56</v>
      </c>
      <c r="E10454" s="112">
        <f t="shared" ref="E10454:E10469" si="184">+E10453</f>
        <v>163640</v>
      </c>
      <c r="F10454" s="69">
        <f t="shared" si="181"/>
        <v>6.3227556690388223E-2</v>
      </c>
      <c r="G10454" s="69">
        <f t="shared" si="182"/>
        <v>8.9206707768897081E-2</v>
      </c>
      <c r="J10454" s="112"/>
    </row>
    <row r="10455" spans="1:10" x14ac:dyDescent="0.3">
      <c r="A10455" s="24">
        <f t="shared" si="179"/>
        <v>45333</v>
      </c>
      <c r="B10455" s="66">
        <f t="shared" si="178"/>
        <v>2017.0467000000001</v>
      </c>
      <c r="C10455" s="66">
        <v>1529.56</v>
      </c>
      <c r="E10455" s="112">
        <f t="shared" si="184"/>
        <v>163640</v>
      </c>
      <c r="F10455" s="69">
        <f t="shared" si="181"/>
        <v>6.3227556690388223E-2</v>
      </c>
      <c r="G10455" s="69">
        <f t="shared" si="182"/>
        <v>8.9206707768897081E-2</v>
      </c>
      <c r="J10455" s="112"/>
    </row>
    <row r="10456" spans="1:10" x14ac:dyDescent="0.3">
      <c r="A10456" s="24">
        <f t="shared" si="179"/>
        <v>45334</v>
      </c>
      <c r="B10456" s="66">
        <f t="shared" si="178"/>
        <v>2017.0467000000001</v>
      </c>
      <c r="C10456" s="66">
        <v>1530.38</v>
      </c>
      <c r="E10456" s="112">
        <f t="shared" si="184"/>
        <v>163640</v>
      </c>
      <c r="F10456" s="69">
        <f t="shared" si="181"/>
        <v>6.3227556690388223E-2</v>
      </c>
      <c r="G10456" s="69">
        <f t="shared" si="182"/>
        <v>8.9208633093525183E-2</v>
      </c>
      <c r="J10456" s="112"/>
    </row>
    <row r="10457" spans="1:10" x14ac:dyDescent="0.3">
      <c r="A10457" s="24">
        <f t="shared" si="179"/>
        <v>45335</v>
      </c>
      <c r="B10457" s="66">
        <f t="shared" si="178"/>
        <v>2017.0467000000001</v>
      </c>
      <c r="C10457" s="66">
        <v>1514.55</v>
      </c>
      <c r="E10457" s="112">
        <f t="shared" si="184"/>
        <v>163640</v>
      </c>
      <c r="F10457" s="69">
        <f t="shared" si="181"/>
        <v>6.3227556690388223E-2</v>
      </c>
      <c r="G10457" s="69">
        <f t="shared" si="182"/>
        <v>8.9207991309415036E-2</v>
      </c>
      <c r="J10457" s="112"/>
    </row>
    <row r="10458" spans="1:10" x14ac:dyDescent="0.3">
      <c r="A10458" s="24">
        <f t="shared" si="179"/>
        <v>45336</v>
      </c>
      <c r="B10458" s="66">
        <f t="shared" si="178"/>
        <v>2017.0467000000001</v>
      </c>
      <c r="C10458" s="66">
        <v>1521.15</v>
      </c>
      <c r="E10458" s="112">
        <f t="shared" si="184"/>
        <v>163640</v>
      </c>
      <c r="F10458" s="69">
        <f t="shared" si="181"/>
        <v>6.3227556690388223E-2</v>
      </c>
      <c r="G10458" s="69">
        <f t="shared" si="182"/>
        <v>8.8093208297811879E-2</v>
      </c>
      <c r="J10458" s="112"/>
    </row>
    <row r="10459" spans="1:10" x14ac:dyDescent="0.3">
      <c r="A10459" s="24">
        <f t="shared" si="179"/>
        <v>45337</v>
      </c>
      <c r="B10459" s="66">
        <f t="shared" si="178"/>
        <v>2017.0467000000001</v>
      </c>
      <c r="C10459" s="66">
        <v>1547.47</v>
      </c>
      <c r="E10459" s="112">
        <f t="shared" si="184"/>
        <v>163640</v>
      </c>
      <c r="F10459" s="69">
        <f t="shared" si="181"/>
        <v>6.3227556690388223E-2</v>
      </c>
      <c r="G10459" s="69">
        <f t="shared" si="182"/>
        <v>8.8571428571428565E-2</v>
      </c>
      <c r="J10459" s="112"/>
    </row>
    <row r="10460" spans="1:10" x14ac:dyDescent="0.3">
      <c r="A10460" s="24">
        <f t="shared" si="179"/>
        <v>45338</v>
      </c>
      <c r="B10460" s="66">
        <f t="shared" si="178"/>
        <v>2017.0467000000001</v>
      </c>
      <c r="C10460" s="66">
        <v>1550.99</v>
      </c>
      <c r="E10460" s="112">
        <f t="shared" si="184"/>
        <v>163640</v>
      </c>
      <c r="F10460" s="69">
        <f t="shared" si="181"/>
        <v>6.3227556690388223E-2</v>
      </c>
      <c r="G10460" s="69">
        <f t="shared" si="182"/>
        <v>8.8757819993414741E-2</v>
      </c>
      <c r="J10460" s="112"/>
    </row>
    <row r="10461" spans="1:10" x14ac:dyDescent="0.3">
      <c r="A10461" s="24">
        <f t="shared" si="179"/>
        <v>45339</v>
      </c>
      <c r="B10461" s="66">
        <f t="shared" si="178"/>
        <v>2017.0467000000001</v>
      </c>
      <c r="C10461" s="66">
        <v>1550.99</v>
      </c>
      <c r="E10461" s="112">
        <f t="shared" si="184"/>
        <v>163640</v>
      </c>
      <c r="F10461" s="69">
        <f t="shared" si="181"/>
        <v>6.3227556690388223E-2</v>
      </c>
      <c r="G10461" s="69">
        <f t="shared" si="182"/>
        <v>8.8757819993414741E-2</v>
      </c>
      <c r="J10461" s="112"/>
    </row>
    <row r="10462" spans="1:10" x14ac:dyDescent="0.3">
      <c r="A10462" s="24">
        <f t="shared" si="179"/>
        <v>45340</v>
      </c>
      <c r="B10462" s="66">
        <f t="shared" si="178"/>
        <v>2017.0467000000001</v>
      </c>
      <c r="C10462" s="66">
        <v>1550.99</v>
      </c>
      <c r="E10462" s="112">
        <f t="shared" si="184"/>
        <v>163640</v>
      </c>
      <c r="F10462" s="69">
        <f t="shared" si="181"/>
        <v>6.3227556690388223E-2</v>
      </c>
      <c r="G10462" s="69">
        <f t="shared" si="182"/>
        <v>8.8757819993414741E-2</v>
      </c>
      <c r="J10462" s="112"/>
    </row>
    <row r="10463" spans="1:10" x14ac:dyDescent="0.3">
      <c r="A10463" s="24">
        <f t="shared" si="179"/>
        <v>45341</v>
      </c>
      <c r="B10463" s="66">
        <f t="shared" si="178"/>
        <v>2017.0467000000001</v>
      </c>
      <c r="C10463" s="66">
        <v>1564.09</v>
      </c>
      <c r="E10463" s="112">
        <f t="shared" si="184"/>
        <v>163640</v>
      </c>
      <c r="F10463" s="69">
        <f t="shared" si="181"/>
        <v>6.3227556690388223E-2</v>
      </c>
      <c r="G10463" s="69">
        <f t="shared" si="182"/>
        <v>9.0107765981411639E-2</v>
      </c>
      <c r="J10463" s="112"/>
    </row>
    <row r="10464" spans="1:10" x14ac:dyDescent="0.3">
      <c r="A10464" s="24">
        <f t="shared" si="179"/>
        <v>45342</v>
      </c>
      <c r="B10464" s="66">
        <f t="shared" si="178"/>
        <v>2017.0467000000001</v>
      </c>
      <c r="C10464" s="66">
        <v>1595.27</v>
      </c>
      <c r="E10464" s="112">
        <f t="shared" si="184"/>
        <v>163640</v>
      </c>
      <c r="F10464" s="69">
        <f t="shared" si="181"/>
        <v>6.3227556690388223E-2</v>
      </c>
      <c r="G10464" s="69">
        <f t="shared" si="182"/>
        <v>8.8874235789081366E-2</v>
      </c>
      <c r="J10464" s="112"/>
    </row>
    <row r="10465" spans="1:10" x14ac:dyDescent="0.3">
      <c r="A10465" s="24">
        <f t="shared" si="179"/>
        <v>45343</v>
      </c>
      <c r="B10465" s="66">
        <f t="shared" ref="B10465:B10503" si="185">+B10464</f>
        <v>2017.0467000000001</v>
      </c>
      <c r="C10465" s="66">
        <v>1528.62</v>
      </c>
      <c r="E10465" s="112">
        <f t="shared" si="184"/>
        <v>163640</v>
      </c>
      <c r="F10465" s="69">
        <f t="shared" si="181"/>
        <v>6.3227556690388223E-2</v>
      </c>
      <c r="G10465" s="69">
        <f t="shared" si="182"/>
        <v>8.8571428571428565E-2</v>
      </c>
      <c r="J10465" s="112"/>
    </row>
    <row r="10466" spans="1:10" x14ac:dyDescent="0.3">
      <c r="A10466" s="24">
        <f t="shared" si="179"/>
        <v>45344</v>
      </c>
      <c r="B10466" s="66">
        <f t="shared" si="185"/>
        <v>2017.0467000000001</v>
      </c>
      <c r="C10466" s="66">
        <v>1501.15</v>
      </c>
      <c r="E10466" s="112">
        <v>165110</v>
      </c>
      <c r="F10466" s="69">
        <f t="shared" si="181"/>
        <v>6.3227556690388223E-2</v>
      </c>
      <c r="G10466" s="69">
        <f t="shared" si="182"/>
        <v>8.8571428571428565E-2</v>
      </c>
      <c r="J10466" s="112"/>
    </row>
    <row r="10467" spans="1:10" x14ac:dyDescent="0.3">
      <c r="A10467" s="24">
        <f t="shared" si="179"/>
        <v>45345</v>
      </c>
      <c r="B10467" s="66">
        <f t="shared" si="185"/>
        <v>2017.0467000000001</v>
      </c>
      <c r="C10467" s="66">
        <v>1536.65</v>
      </c>
      <c r="E10467" s="112">
        <f t="shared" si="184"/>
        <v>165110</v>
      </c>
      <c r="F10467" s="69">
        <f t="shared" si="181"/>
        <v>6.3227556690388223E-2</v>
      </c>
      <c r="G10467" s="69">
        <f t="shared" si="182"/>
        <v>8.810009307348543E-2</v>
      </c>
      <c r="J10467" s="112"/>
    </row>
    <row r="10468" spans="1:10" x14ac:dyDescent="0.3">
      <c r="A10468" s="24">
        <f t="shared" si="179"/>
        <v>45346</v>
      </c>
      <c r="B10468" s="66">
        <f t="shared" si="185"/>
        <v>2017.0467000000001</v>
      </c>
      <c r="C10468" s="66">
        <v>1536.65</v>
      </c>
      <c r="E10468" s="112">
        <f t="shared" si="184"/>
        <v>165110</v>
      </c>
      <c r="F10468" s="69">
        <f t="shared" si="181"/>
        <v>6.3227556690388223E-2</v>
      </c>
      <c r="G10468" s="69">
        <f t="shared" si="182"/>
        <v>8.810009307348543E-2</v>
      </c>
      <c r="J10468" s="112"/>
    </row>
    <row r="10469" spans="1:10" x14ac:dyDescent="0.3">
      <c r="A10469" s="24">
        <f t="shared" si="179"/>
        <v>45347</v>
      </c>
      <c r="B10469" s="66">
        <f t="shared" si="185"/>
        <v>2017.0467000000001</v>
      </c>
      <c r="C10469" s="66">
        <v>1536.65</v>
      </c>
      <c r="E10469" s="112">
        <f t="shared" si="184"/>
        <v>165110</v>
      </c>
      <c r="F10469" s="69">
        <f t="shared" si="181"/>
        <v>6.3227556690388223E-2</v>
      </c>
      <c r="G10469" s="69">
        <f t="shared" si="182"/>
        <v>8.810009307348543E-2</v>
      </c>
      <c r="J10469" s="112"/>
    </row>
    <row r="10470" spans="1:10" x14ac:dyDescent="0.3">
      <c r="A10470" s="24">
        <f t="shared" si="179"/>
        <v>45348</v>
      </c>
      <c r="B10470" s="66">
        <f t="shared" si="185"/>
        <v>2017.0467000000001</v>
      </c>
      <c r="C10470" s="66">
        <v>1535.93</v>
      </c>
      <c r="E10470" s="112">
        <v>165110</v>
      </c>
      <c r="F10470" s="69">
        <f t="shared" si="181"/>
        <v>6.3227556690388223E-2</v>
      </c>
      <c r="G10470" s="69">
        <f t="shared" si="182"/>
        <v>8.7492767734925134E-2</v>
      </c>
      <c r="J10470" s="112"/>
    </row>
    <row r="10471" spans="1:10" x14ac:dyDescent="0.3">
      <c r="A10471" s="24">
        <f t="shared" si="179"/>
        <v>45349</v>
      </c>
      <c r="B10471" s="66">
        <f t="shared" si="185"/>
        <v>2017.0467000000001</v>
      </c>
      <c r="C10471" s="66">
        <v>1565.59</v>
      </c>
      <c r="E10471" s="112">
        <f>+E10470</f>
        <v>165110</v>
      </c>
      <c r="F10471" s="69">
        <f t="shared" si="181"/>
        <v>6.2003729524330892E-2</v>
      </c>
      <c r="G10471" s="69">
        <f t="shared" si="182"/>
        <v>8.7492767734925134E-2</v>
      </c>
      <c r="J10471" s="112"/>
    </row>
    <row r="10472" spans="1:10" x14ac:dyDescent="0.3">
      <c r="A10472" s="24">
        <f t="shared" si="179"/>
        <v>45350</v>
      </c>
      <c r="B10472" s="66">
        <f t="shared" si="185"/>
        <v>2017.0467000000001</v>
      </c>
      <c r="C10472" s="66">
        <v>1575.96</v>
      </c>
      <c r="E10472" s="112">
        <f t="shared" ref="E10472:E10535" si="186">+E10471</f>
        <v>165110</v>
      </c>
      <c r="F10472" s="69">
        <f t="shared" si="181"/>
        <v>6.2003729524330892E-2</v>
      </c>
      <c r="G10472" s="69">
        <f t="shared" si="182"/>
        <v>8.7578661882799988E-2</v>
      </c>
      <c r="J10472" s="112"/>
    </row>
    <row r="10473" spans="1:10" x14ac:dyDescent="0.3">
      <c r="A10473" s="24">
        <f t="shared" si="179"/>
        <v>45351</v>
      </c>
      <c r="B10473" s="66">
        <v>2028.0293999999999</v>
      </c>
      <c r="C10473" s="66">
        <v>1594.61</v>
      </c>
      <c r="E10473" s="112">
        <f t="shared" si="186"/>
        <v>165110</v>
      </c>
      <c r="F10473" s="69">
        <f t="shared" si="181"/>
        <v>6.2003729524330892E-2</v>
      </c>
      <c r="G10473" s="69">
        <f t="shared" si="182"/>
        <v>8.7521174477696223E-2</v>
      </c>
      <c r="J10473" s="112"/>
    </row>
    <row r="10474" spans="1:10" x14ac:dyDescent="0.3">
      <c r="A10474" s="24">
        <f t="shared" si="179"/>
        <v>45352</v>
      </c>
      <c r="B10474" s="66">
        <f t="shared" si="185"/>
        <v>2028.0293999999999</v>
      </c>
      <c r="C10474" s="66">
        <v>1583.57</v>
      </c>
      <c r="E10474" s="112">
        <f t="shared" si="186"/>
        <v>165110</v>
      </c>
      <c r="F10474" s="69">
        <f t="shared" si="181"/>
        <v>6.2003729524330892E-2</v>
      </c>
      <c r="G10474" s="69">
        <f t="shared" si="182"/>
        <v>8.8596108916055197E-2</v>
      </c>
      <c r="J10474" s="112"/>
    </row>
    <row r="10475" spans="1:10" x14ac:dyDescent="0.3">
      <c r="A10475" s="24">
        <f t="shared" si="179"/>
        <v>45353</v>
      </c>
      <c r="B10475" s="66">
        <f t="shared" si="185"/>
        <v>2028.0293999999999</v>
      </c>
      <c r="C10475" s="66">
        <v>1583.57</v>
      </c>
      <c r="E10475" s="112">
        <f t="shared" si="186"/>
        <v>165110</v>
      </c>
      <c r="F10475" s="69">
        <f t="shared" si="181"/>
        <v>6.2003729524330892E-2</v>
      </c>
      <c r="G10475" s="69">
        <f t="shared" si="182"/>
        <v>8.8596108916055197E-2</v>
      </c>
      <c r="J10475" s="112"/>
    </row>
    <row r="10476" spans="1:10" x14ac:dyDescent="0.3">
      <c r="A10476" s="24">
        <f t="shared" si="179"/>
        <v>45354</v>
      </c>
      <c r="B10476" s="66">
        <f t="shared" si="185"/>
        <v>2028.0293999999999</v>
      </c>
      <c r="C10476" s="66">
        <v>1583.57</v>
      </c>
      <c r="E10476" s="112">
        <f t="shared" si="186"/>
        <v>165110</v>
      </c>
      <c r="F10476" s="69">
        <f t="shared" si="181"/>
        <v>6.2003729524330892E-2</v>
      </c>
      <c r="G10476" s="69">
        <f t="shared" si="182"/>
        <v>8.8596108916055197E-2</v>
      </c>
      <c r="J10476" s="112"/>
    </row>
    <row r="10477" spans="1:10" x14ac:dyDescent="0.3">
      <c r="A10477" s="24">
        <f t="shared" si="179"/>
        <v>45355</v>
      </c>
      <c r="B10477" s="66">
        <f t="shared" si="185"/>
        <v>2028.0293999999999</v>
      </c>
      <c r="C10477" s="66">
        <v>1574.1</v>
      </c>
      <c r="E10477" s="112">
        <f t="shared" si="186"/>
        <v>165110</v>
      </c>
      <c r="F10477" s="69">
        <f t="shared" si="181"/>
        <v>6.2003729524330892E-2</v>
      </c>
      <c r="G10477" s="69">
        <f t="shared" si="182"/>
        <v>8.8573326571283667E-2</v>
      </c>
      <c r="J10477" s="112"/>
    </row>
    <row r="10478" spans="1:10" x14ac:dyDescent="0.3">
      <c r="A10478" s="24">
        <f t="shared" si="179"/>
        <v>45356</v>
      </c>
      <c r="B10478" s="66">
        <f t="shared" si="185"/>
        <v>2028.0293999999999</v>
      </c>
      <c r="C10478" s="66">
        <v>1554.43</v>
      </c>
      <c r="E10478" s="112">
        <f t="shared" si="186"/>
        <v>165110</v>
      </c>
      <c r="F10478" s="69">
        <f t="shared" si="181"/>
        <v>6.2003729524330892E-2</v>
      </c>
      <c r="G10478" s="69">
        <f t="shared" si="182"/>
        <v>8.8985209796984543E-2</v>
      </c>
      <c r="J10478" s="112"/>
    </row>
    <row r="10479" spans="1:10" x14ac:dyDescent="0.3">
      <c r="A10479" s="24">
        <f t="shared" si="179"/>
        <v>45357</v>
      </c>
      <c r="B10479" s="66">
        <f t="shared" si="185"/>
        <v>2028.0293999999999</v>
      </c>
      <c r="C10479" s="66">
        <v>1554.4</v>
      </c>
      <c r="E10479" s="112">
        <f t="shared" si="186"/>
        <v>165110</v>
      </c>
      <c r="F10479" s="69">
        <f t="shared" si="181"/>
        <v>6.2003729524330892E-2</v>
      </c>
      <c r="G10479" s="69">
        <f t="shared" si="182"/>
        <v>8.8571428571428565E-2</v>
      </c>
      <c r="J10479" s="112"/>
    </row>
    <row r="10480" spans="1:10" x14ac:dyDescent="0.3">
      <c r="A10480" s="24">
        <f t="shared" ref="A10480" si="187">+A10479+1</f>
        <v>45358</v>
      </c>
      <c r="B10480" s="66">
        <f t="shared" si="185"/>
        <v>2028.0293999999999</v>
      </c>
      <c r="C10480" s="66">
        <v>1561</v>
      </c>
      <c r="E10480" s="112">
        <f t="shared" si="186"/>
        <v>165110</v>
      </c>
      <c r="F10480" s="69">
        <f t="shared" si="181"/>
        <v>6.2003729524330892E-2</v>
      </c>
      <c r="G10480" s="69">
        <f t="shared" si="182"/>
        <v>8.8571428571428565E-2</v>
      </c>
      <c r="J10480" s="112"/>
    </row>
    <row r="10481" spans="1:10" x14ac:dyDescent="0.3">
      <c r="A10481" s="24">
        <f t="shared" si="179"/>
        <v>45359</v>
      </c>
      <c r="B10481" s="66">
        <f t="shared" si="185"/>
        <v>2028.0293999999999</v>
      </c>
      <c r="C10481" s="66">
        <v>1565</v>
      </c>
      <c r="E10481" s="112">
        <f t="shared" si="186"/>
        <v>165110</v>
      </c>
      <c r="F10481" s="69">
        <f t="shared" ref="F10481:F10485" si="188">+SUM(D10118:D10481)/B10117</f>
        <v>6.2003729524330892E-2</v>
      </c>
      <c r="G10481" s="69">
        <f t="shared" ref="G10481:G10485" si="189">+SUM(D10118:D10481)/C10117</f>
        <v>8.8571428571428565E-2</v>
      </c>
      <c r="J10481" s="112"/>
    </row>
    <row r="10482" spans="1:10" x14ac:dyDescent="0.3">
      <c r="A10482" s="24">
        <f t="shared" ref="A10482:A10507" si="190">+A10481+1</f>
        <v>45360</v>
      </c>
      <c r="B10482" s="66">
        <f t="shared" si="185"/>
        <v>2028.0293999999999</v>
      </c>
      <c r="C10482" s="66">
        <v>1565</v>
      </c>
      <c r="E10482" s="112">
        <f t="shared" si="186"/>
        <v>165110</v>
      </c>
      <c r="F10482" s="69">
        <f t="shared" si="188"/>
        <v>6.2003729524330892E-2</v>
      </c>
      <c r="G10482" s="69">
        <f t="shared" si="189"/>
        <v>8.8571428571428565E-2</v>
      </c>
      <c r="J10482" s="112"/>
    </row>
    <row r="10483" spans="1:10" x14ac:dyDescent="0.3">
      <c r="A10483" s="24">
        <f t="shared" si="190"/>
        <v>45361</v>
      </c>
      <c r="B10483" s="66">
        <f t="shared" si="185"/>
        <v>2028.0293999999999</v>
      </c>
      <c r="C10483" s="66">
        <v>1565</v>
      </c>
      <c r="E10483" s="112">
        <f t="shared" si="186"/>
        <v>165110</v>
      </c>
      <c r="F10483" s="69">
        <f t="shared" si="188"/>
        <v>6.2003729524330892E-2</v>
      </c>
      <c r="G10483" s="69">
        <f t="shared" si="189"/>
        <v>8.8571428571428565E-2</v>
      </c>
      <c r="J10483" s="112"/>
    </row>
    <row r="10484" spans="1:10" x14ac:dyDescent="0.3">
      <c r="A10484" s="24">
        <f t="shared" si="190"/>
        <v>45362</v>
      </c>
      <c r="B10484" s="66">
        <f t="shared" si="185"/>
        <v>2028.0293999999999</v>
      </c>
      <c r="C10484" s="66">
        <v>1585</v>
      </c>
      <c r="E10484" s="112">
        <f t="shared" si="186"/>
        <v>165110</v>
      </c>
      <c r="F10484" s="69">
        <f t="shared" si="188"/>
        <v>6.2003729524330892E-2</v>
      </c>
      <c r="G10484" s="69">
        <f t="shared" si="189"/>
        <v>8.8885703021397089E-2</v>
      </c>
      <c r="J10484" s="112"/>
    </row>
    <row r="10485" spans="1:10" x14ac:dyDescent="0.3">
      <c r="A10485" s="24">
        <f t="shared" si="190"/>
        <v>45363</v>
      </c>
      <c r="B10485" s="66">
        <f t="shared" si="185"/>
        <v>2028.0293999999999</v>
      </c>
      <c r="C10485" s="66">
        <v>1581.01</v>
      </c>
      <c r="E10485" s="112">
        <f t="shared" si="186"/>
        <v>165110</v>
      </c>
      <c r="F10485" s="69">
        <f t="shared" si="188"/>
        <v>6.2003729524330892E-2</v>
      </c>
      <c r="G10485" s="69">
        <f t="shared" si="189"/>
        <v>9.0154280147155041E-2</v>
      </c>
      <c r="J10485" s="112"/>
    </row>
    <row r="10486" spans="1:10" x14ac:dyDescent="0.3">
      <c r="A10486" s="24">
        <f t="shared" si="190"/>
        <v>45364</v>
      </c>
      <c r="B10486" s="66">
        <f t="shared" si="185"/>
        <v>2028.0293999999999</v>
      </c>
      <c r="C10486" s="66">
        <v>1573.52</v>
      </c>
      <c r="E10486" s="112">
        <f t="shared" si="186"/>
        <v>165110</v>
      </c>
      <c r="F10486" s="69">
        <f t="shared" ref="F10486:F10493" si="191">+SUM(D10123:D10486)/B10122</f>
        <v>6.2003729524330892E-2</v>
      </c>
      <c r="G10486" s="69">
        <f t="shared" ref="G10486:G10493" si="192">+SUM(D10123:D10486)/C10122</f>
        <v>9.0046257633961971E-2</v>
      </c>
      <c r="J10486" s="112"/>
    </row>
    <row r="10487" spans="1:10" x14ac:dyDescent="0.3">
      <c r="A10487" s="24">
        <f t="shared" si="190"/>
        <v>45365</v>
      </c>
      <c r="B10487" s="66">
        <f t="shared" si="185"/>
        <v>2028.0293999999999</v>
      </c>
      <c r="C10487" s="66">
        <v>1573.49</v>
      </c>
      <c r="E10487" s="112">
        <f t="shared" si="186"/>
        <v>165110</v>
      </c>
      <c r="F10487" s="69">
        <f t="shared" si="191"/>
        <v>6.2003729524330892E-2</v>
      </c>
      <c r="G10487" s="69">
        <f t="shared" si="192"/>
        <v>9.1851851851851851E-2</v>
      </c>
      <c r="J10487" s="112"/>
    </row>
    <row r="10488" spans="1:10" x14ac:dyDescent="0.3">
      <c r="A10488" s="24">
        <f t="shared" si="190"/>
        <v>45366</v>
      </c>
      <c r="B10488" s="66">
        <f t="shared" si="185"/>
        <v>2028.0293999999999</v>
      </c>
      <c r="C10488" s="66">
        <v>1574.22</v>
      </c>
      <c r="E10488" s="112">
        <f t="shared" si="186"/>
        <v>165110</v>
      </c>
      <c r="F10488" s="69">
        <f t="shared" si="191"/>
        <v>6.2003729524330892E-2</v>
      </c>
      <c r="G10488" s="69">
        <f t="shared" si="192"/>
        <v>9.2600890163395774E-2</v>
      </c>
      <c r="J10488" s="112"/>
    </row>
    <row r="10489" spans="1:10" x14ac:dyDescent="0.3">
      <c r="A10489" s="24">
        <f t="shared" si="190"/>
        <v>45367</v>
      </c>
      <c r="B10489" s="66">
        <f t="shared" si="185"/>
        <v>2028.0293999999999</v>
      </c>
      <c r="C10489" s="66">
        <v>1574.22</v>
      </c>
      <c r="E10489" s="112">
        <f t="shared" si="186"/>
        <v>165110</v>
      </c>
      <c r="F10489" s="69">
        <f t="shared" si="191"/>
        <v>6.2003729524330892E-2</v>
      </c>
      <c r="G10489" s="69">
        <f t="shared" si="192"/>
        <v>9.2600890163395774E-2</v>
      </c>
      <c r="J10489" s="112"/>
    </row>
    <row r="10490" spans="1:10" x14ac:dyDescent="0.3">
      <c r="A10490" s="24">
        <f t="shared" si="190"/>
        <v>45368</v>
      </c>
      <c r="B10490" s="66">
        <f t="shared" si="185"/>
        <v>2028.0293999999999</v>
      </c>
      <c r="C10490" s="66">
        <v>1574.22</v>
      </c>
      <c r="E10490" s="112">
        <f t="shared" si="186"/>
        <v>165110</v>
      </c>
      <c r="F10490" s="69">
        <f t="shared" si="191"/>
        <v>6.2003729524330892E-2</v>
      </c>
      <c r="G10490" s="69">
        <f t="shared" si="192"/>
        <v>9.2600890163395774E-2</v>
      </c>
      <c r="J10490" s="112"/>
    </row>
    <row r="10491" spans="1:10" x14ac:dyDescent="0.3">
      <c r="A10491" s="24">
        <f t="shared" si="190"/>
        <v>45369</v>
      </c>
      <c r="B10491" s="66">
        <f t="shared" si="185"/>
        <v>2028.0293999999999</v>
      </c>
      <c r="C10491" s="66">
        <v>1567.18</v>
      </c>
      <c r="E10491" s="112">
        <f t="shared" si="186"/>
        <v>165110</v>
      </c>
      <c r="F10491" s="69">
        <f t="shared" si="191"/>
        <v>6.2003729524330892E-2</v>
      </c>
      <c r="G10491" s="69">
        <f t="shared" si="192"/>
        <v>9.3169335266847494E-2</v>
      </c>
      <c r="J10491" s="112"/>
    </row>
    <row r="10492" spans="1:10" x14ac:dyDescent="0.3">
      <c r="A10492" s="24">
        <f t="shared" si="190"/>
        <v>45370</v>
      </c>
      <c r="B10492" s="66">
        <f t="shared" si="185"/>
        <v>2028.0293999999999</v>
      </c>
      <c r="C10492" s="66">
        <v>1570.84</v>
      </c>
      <c r="E10492" s="112">
        <f t="shared" si="186"/>
        <v>165110</v>
      </c>
      <c r="F10492" s="69">
        <f t="shared" si="191"/>
        <v>6.2003729524330892E-2</v>
      </c>
      <c r="G10492" s="69">
        <f t="shared" si="192"/>
        <v>9.191994069681246E-2</v>
      </c>
      <c r="J10492" s="112"/>
    </row>
    <row r="10493" spans="1:10" x14ac:dyDescent="0.3">
      <c r="A10493" s="24">
        <f t="shared" si="190"/>
        <v>45371</v>
      </c>
      <c r="B10493" s="66">
        <f t="shared" si="185"/>
        <v>2028.0293999999999</v>
      </c>
      <c r="C10493" s="66">
        <v>1596.06</v>
      </c>
      <c r="E10493" s="112">
        <f t="shared" si="186"/>
        <v>165110</v>
      </c>
      <c r="F10493" s="69">
        <f t="shared" si="191"/>
        <v>6.2003729524330892E-2</v>
      </c>
      <c r="G10493" s="69">
        <f t="shared" si="192"/>
        <v>9.1659705949749787E-2</v>
      </c>
      <c r="J10493" s="112"/>
    </row>
    <row r="10494" spans="1:10" x14ac:dyDescent="0.3">
      <c r="A10494" s="24">
        <f t="shared" si="190"/>
        <v>45372</v>
      </c>
      <c r="B10494" s="66">
        <f t="shared" si="185"/>
        <v>2028.0293999999999</v>
      </c>
      <c r="C10494" s="72">
        <v>1600.92</v>
      </c>
      <c r="E10494" s="112">
        <f t="shared" si="186"/>
        <v>165110</v>
      </c>
      <c r="F10494" s="69">
        <f t="shared" ref="F10494:F10507" si="193">+SUM(D10131:D10494)/B10130</f>
        <v>6.2003729524330892E-2</v>
      </c>
      <c r="G10494" s="69">
        <f t="shared" ref="G10494:G10506" si="194">+SUM(D10131:D10494)/C10130</f>
        <v>9.129596088998837E-2</v>
      </c>
      <c r="J10494" s="112"/>
    </row>
    <row r="10495" spans="1:10" x14ac:dyDescent="0.3">
      <c r="A10495" s="24">
        <f t="shared" si="190"/>
        <v>45373</v>
      </c>
      <c r="B10495" s="66">
        <f t="shared" si="185"/>
        <v>2028.0293999999999</v>
      </c>
      <c r="C10495" s="72">
        <v>1570</v>
      </c>
      <c r="E10495" s="112">
        <f t="shared" si="186"/>
        <v>165110</v>
      </c>
      <c r="F10495" s="69">
        <f t="shared" si="193"/>
        <v>6.2003729524330892E-2</v>
      </c>
      <c r="G10495" s="69">
        <f t="shared" si="194"/>
        <v>8.9092620400773093E-2</v>
      </c>
      <c r="J10495" s="112"/>
    </row>
    <row r="10496" spans="1:10" x14ac:dyDescent="0.3">
      <c r="A10496" s="24">
        <f t="shared" si="190"/>
        <v>45374</v>
      </c>
      <c r="B10496" s="66">
        <f t="shared" si="185"/>
        <v>2028.0293999999999</v>
      </c>
      <c r="C10496" s="72">
        <v>1570</v>
      </c>
      <c r="E10496" s="112">
        <f t="shared" si="186"/>
        <v>165110</v>
      </c>
      <c r="F10496" s="69">
        <f t="shared" si="193"/>
        <v>6.2003729524330892E-2</v>
      </c>
      <c r="G10496" s="69">
        <f t="shared" si="194"/>
        <v>8.9092620400773093E-2</v>
      </c>
      <c r="J10496" s="112"/>
    </row>
    <row r="10497" spans="1:10" x14ac:dyDescent="0.3">
      <c r="A10497" s="24">
        <f t="shared" si="190"/>
        <v>45375</v>
      </c>
      <c r="B10497" s="66">
        <f t="shared" si="185"/>
        <v>2028.0293999999999</v>
      </c>
      <c r="C10497" s="72">
        <v>1570</v>
      </c>
      <c r="E10497" s="112">
        <f t="shared" si="186"/>
        <v>165110</v>
      </c>
      <c r="F10497" s="69">
        <f t="shared" si="193"/>
        <v>6.2003729524330892E-2</v>
      </c>
      <c r="G10497" s="69">
        <f t="shared" si="194"/>
        <v>8.9092620400773093E-2</v>
      </c>
      <c r="J10497" s="112"/>
    </row>
    <row r="10498" spans="1:10" x14ac:dyDescent="0.3">
      <c r="A10498" s="24">
        <f t="shared" si="190"/>
        <v>45376</v>
      </c>
      <c r="B10498" s="66">
        <f t="shared" si="185"/>
        <v>2028.0293999999999</v>
      </c>
      <c r="C10498" s="72">
        <v>1570.21</v>
      </c>
      <c r="E10498" s="112">
        <f t="shared" si="186"/>
        <v>165110</v>
      </c>
      <c r="F10498" s="69">
        <f t="shared" si="193"/>
        <v>6.2003729524330892E-2</v>
      </c>
      <c r="G10498" s="69">
        <f t="shared" si="194"/>
        <v>8.9092620400773093E-2</v>
      </c>
      <c r="J10498" s="112"/>
    </row>
    <row r="10499" spans="1:10" x14ac:dyDescent="0.3">
      <c r="A10499" s="24">
        <f t="shared" si="190"/>
        <v>45377</v>
      </c>
      <c r="B10499" s="66">
        <f t="shared" si="185"/>
        <v>2028.0293999999999</v>
      </c>
      <c r="C10499" s="72">
        <v>1577.38</v>
      </c>
      <c r="E10499" s="112">
        <f t="shared" si="186"/>
        <v>165110</v>
      </c>
      <c r="F10499" s="69">
        <f t="shared" si="193"/>
        <v>6.2003729524330892E-2</v>
      </c>
      <c r="G10499" s="69">
        <f t="shared" si="194"/>
        <v>8.9208633093525183E-2</v>
      </c>
      <c r="J10499" s="112"/>
    </row>
    <row r="10500" spans="1:10" x14ac:dyDescent="0.3">
      <c r="A10500" s="24">
        <f t="shared" si="190"/>
        <v>45378</v>
      </c>
      <c r="B10500" s="66">
        <f t="shared" si="185"/>
        <v>2028.0293999999999</v>
      </c>
      <c r="C10500" s="72">
        <v>1580</v>
      </c>
      <c r="D10500" s="71">
        <v>13.627136180000001</v>
      </c>
      <c r="E10500" s="112">
        <f t="shared" si="186"/>
        <v>165110</v>
      </c>
      <c r="F10500" s="69">
        <f>+SUM(D10137:D10500)/B10136</f>
        <v>6.1817286399776954E-2</v>
      </c>
      <c r="G10500" s="69">
        <f t="shared" si="194"/>
        <v>8.8305097271428573E-2</v>
      </c>
      <c r="J10500" s="112"/>
    </row>
    <row r="10501" spans="1:10" x14ac:dyDescent="0.3">
      <c r="A10501" s="24">
        <f t="shared" si="190"/>
        <v>45379</v>
      </c>
      <c r="B10501" s="66">
        <f t="shared" si="185"/>
        <v>2028.0293999999999</v>
      </c>
      <c r="C10501" s="72">
        <v>1587.25</v>
      </c>
      <c r="E10501" s="112">
        <f t="shared" si="186"/>
        <v>165110</v>
      </c>
      <c r="F10501" s="69">
        <f t="shared" si="193"/>
        <v>6.1817286399776954E-2</v>
      </c>
      <c r="G10501" s="69">
        <f t="shared" si="194"/>
        <v>8.8305097271428573E-2</v>
      </c>
      <c r="J10501" s="112"/>
    </row>
    <row r="10502" spans="1:10" x14ac:dyDescent="0.3">
      <c r="A10502" s="24">
        <f t="shared" si="190"/>
        <v>45380</v>
      </c>
      <c r="B10502" s="66">
        <f t="shared" si="185"/>
        <v>2028.0293999999999</v>
      </c>
      <c r="C10502" s="72">
        <v>1587.25</v>
      </c>
      <c r="E10502" s="112">
        <f t="shared" si="186"/>
        <v>165110</v>
      </c>
      <c r="F10502" s="69">
        <f t="shared" si="193"/>
        <v>6.3316291629006191E-2</v>
      </c>
      <c r="G10502" s="69">
        <f t="shared" si="194"/>
        <v>8.8274831614874899E-2</v>
      </c>
      <c r="J10502" s="112"/>
    </row>
    <row r="10503" spans="1:10" x14ac:dyDescent="0.3">
      <c r="A10503" s="24">
        <f t="shared" si="190"/>
        <v>45381</v>
      </c>
      <c r="B10503" s="66">
        <f t="shared" si="185"/>
        <v>2028.0293999999999</v>
      </c>
      <c r="C10503" s="72">
        <v>1587.25</v>
      </c>
      <c r="E10503" s="112">
        <f t="shared" si="186"/>
        <v>165110</v>
      </c>
      <c r="F10503" s="69">
        <f t="shared" si="193"/>
        <v>6.3316291629006191E-2</v>
      </c>
      <c r="G10503" s="69">
        <f t="shared" si="194"/>
        <v>8.8274831614874899E-2</v>
      </c>
      <c r="J10503" s="112"/>
    </row>
    <row r="10504" spans="1:10" x14ac:dyDescent="0.3">
      <c r="A10504" s="24">
        <f t="shared" si="190"/>
        <v>45382</v>
      </c>
      <c r="B10504" s="66">
        <v>1995.3179</v>
      </c>
      <c r="C10504" s="72">
        <v>1587.25</v>
      </c>
      <c r="E10504" s="112">
        <f t="shared" si="186"/>
        <v>165110</v>
      </c>
      <c r="F10504" s="69">
        <f t="shared" si="193"/>
        <v>6.3316291629006191E-2</v>
      </c>
      <c r="G10504" s="69">
        <f t="shared" si="194"/>
        <v>8.8274831614874899E-2</v>
      </c>
      <c r="J10504" s="112"/>
    </row>
    <row r="10505" spans="1:10" x14ac:dyDescent="0.3">
      <c r="A10505" s="24">
        <f t="shared" si="190"/>
        <v>45383</v>
      </c>
      <c r="B10505" s="66">
        <f>+B10504</f>
        <v>1995.3179</v>
      </c>
      <c r="C10505" s="72">
        <v>1586.18</v>
      </c>
      <c r="E10505" s="112">
        <f t="shared" si="186"/>
        <v>165110</v>
      </c>
      <c r="F10505" s="69">
        <f t="shared" si="193"/>
        <v>6.3316291629006191E-2</v>
      </c>
      <c r="G10505" s="69">
        <f t="shared" si="194"/>
        <v>8.7081600780463064E-2</v>
      </c>
      <c r="J10505" s="112"/>
    </row>
    <row r="10506" spans="1:10" x14ac:dyDescent="0.3">
      <c r="A10506" s="24">
        <f t="shared" si="190"/>
        <v>45384</v>
      </c>
      <c r="B10506" s="66">
        <f t="shared" ref="B10506:B10569" si="195">+B10505</f>
        <v>1995.3179</v>
      </c>
      <c r="C10506" s="72">
        <v>1588.2</v>
      </c>
      <c r="E10506" s="112">
        <f t="shared" si="186"/>
        <v>165110</v>
      </c>
      <c r="F10506" s="69">
        <f t="shared" si="193"/>
        <v>6.3316291629006191E-2</v>
      </c>
      <c r="G10506" s="69">
        <f t="shared" si="194"/>
        <v>8.747780715235913E-2</v>
      </c>
      <c r="J10506" s="112"/>
    </row>
    <row r="10507" spans="1:10" x14ac:dyDescent="0.3">
      <c r="A10507" s="24">
        <f t="shared" si="190"/>
        <v>45385</v>
      </c>
      <c r="B10507" s="66">
        <f t="shared" si="195"/>
        <v>1995.3179</v>
      </c>
      <c r="C10507" s="72">
        <v>1587.83</v>
      </c>
      <c r="E10507" s="112">
        <f t="shared" si="186"/>
        <v>165110</v>
      </c>
      <c r="F10507" s="69">
        <f t="shared" si="193"/>
        <v>6.3316291629006191E-2</v>
      </c>
      <c r="G10507" s="69">
        <f>+SUM(D10144:D10507)/C10143</f>
        <v>8.8308251137540636E-2</v>
      </c>
      <c r="J10507" s="112"/>
    </row>
    <row r="10508" spans="1:10" x14ac:dyDescent="0.3">
      <c r="A10508" s="24">
        <v>45386</v>
      </c>
      <c r="B10508" s="66">
        <f t="shared" si="195"/>
        <v>1995.3179</v>
      </c>
      <c r="C10508" s="72">
        <v>1584.91</v>
      </c>
      <c r="E10508" s="112">
        <f t="shared" si="186"/>
        <v>165110</v>
      </c>
      <c r="F10508" s="69">
        <f t="shared" ref="F10508:F10509" si="196">+SUM(D10145:D10508)/B10144</f>
        <v>6.3316291629006191E-2</v>
      </c>
      <c r="G10508" s="69">
        <f t="shared" ref="G10508:G10509" si="197">+SUM(D10145:D10508)/C10144</f>
        <v>8.7830810892608496E-2</v>
      </c>
      <c r="J10508" s="112"/>
    </row>
    <row r="10509" spans="1:10" x14ac:dyDescent="0.3">
      <c r="A10509" s="24">
        <v>45387</v>
      </c>
      <c r="B10509" s="66">
        <f t="shared" si="195"/>
        <v>1995.3179</v>
      </c>
      <c r="C10509" s="72">
        <v>1585.54</v>
      </c>
      <c r="E10509" s="112">
        <f t="shared" si="186"/>
        <v>165110</v>
      </c>
      <c r="F10509" s="69">
        <f t="shared" si="196"/>
        <v>6.3316291629006191E-2</v>
      </c>
      <c r="G10509" s="69">
        <f t="shared" si="197"/>
        <v>8.7830810892608496E-2</v>
      </c>
      <c r="J10509" s="112"/>
    </row>
    <row r="10510" spans="1:10" x14ac:dyDescent="0.3">
      <c r="A10510" s="24">
        <v>45388</v>
      </c>
      <c r="B10510" s="66">
        <f t="shared" si="195"/>
        <v>1995.3179</v>
      </c>
      <c r="C10510" s="72">
        <v>1585.54</v>
      </c>
      <c r="E10510" s="112">
        <f t="shared" si="186"/>
        <v>165110</v>
      </c>
      <c r="F10510" s="69">
        <f t="shared" ref="F10510:F10512" si="198">+SUM(D10147:D10510)/B10146</f>
        <v>6.3316291629006191E-2</v>
      </c>
      <c r="G10510" s="69">
        <f t="shared" ref="G10510:G10512" si="199">+SUM(D10147:D10510)/C10146</f>
        <v>8.7830810892608496E-2</v>
      </c>
      <c r="J10510" s="112"/>
    </row>
    <row r="10511" spans="1:10" x14ac:dyDescent="0.3">
      <c r="A10511" s="24">
        <v>45389</v>
      </c>
      <c r="B10511" s="66">
        <f t="shared" si="195"/>
        <v>1995.3179</v>
      </c>
      <c r="C10511" s="72">
        <v>1585.54</v>
      </c>
      <c r="E10511" s="112">
        <f t="shared" si="186"/>
        <v>165110</v>
      </c>
      <c r="F10511" s="69">
        <f t="shared" si="198"/>
        <v>6.3316291629006191E-2</v>
      </c>
      <c r="G10511" s="69">
        <f t="shared" si="199"/>
        <v>8.7830810892608496E-2</v>
      </c>
      <c r="J10511" s="112"/>
    </row>
    <row r="10512" spans="1:10" x14ac:dyDescent="0.3">
      <c r="A10512" s="24">
        <v>45390</v>
      </c>
      <c r="B10512" s="66">
        <f t="shared" si="195"/>
        <v>1995.3179</v>
      </c>
      <c r="C10512" s="72">
        <v>1585.45</v>
      </c>
      <c r="E10512" s="112">
        <f t="shared" si="186"/>
        <v>165110</v>
      </c>
      <c r="F10512" s="69">
        <f t="shared" si="198"/>
        <v>6.3316291629006191E-2</v>
      </c>
      <c r="G10512" s="69">
        <f t="shared" si="199"/>
        <v>8.7369000833922267E-2</v>
      </c>
      <c r="J10512" s="112"/>
    </row>
    <row r="10513" spans="1:10" x14ac:dyDescent="0.3">
      <c r="A10513" s="24">
        <v>45391</v>
      </c>
      <c r="B10513" s="66">
        <f t="shared" si="195"/>
        <v>1995.3179</v>
      </c>
      <c r="C10513" s="72">
        <v>1589.87</v>
      </c>
      <c r="E10513" s="112">
        <f t="shared" si="186"/>
        <v>165110</v>
      </c>
      <c r="F10513" s="69">
        <f t="shared" ref="F10513" si="200">+SUM(D10150:D10513)/B10149</f>
        <v>6.3316291629006191E-2</v>
      </c>
      <c r="G10513" s="69">
        <f t="shared" ref="G10513" si="201">+SUM(D10150:D10513)/C10149</f>
        <v>8.7253074487606566E-2</v>
      </c>
      <c r="J10513" s="112"/>
    </row>
    <row r="10514" spans="1:10" x14ac:dyDescent="0.3">
      <c r="A10514" s="24">
        <v>45392</v>
      </c>
      <c r="B10514" s="66">
        <f t="shared" si="195"/>
        <v>1995.3179</v>
      </c>
      <c r="C10514" s="72">
        <v>1586.51</v>
      </c>
      <c r="E10514" s="112">
        <f t="shared" si="186"/>
        <v>165110</v>
      </c>
      <c r="F10514" s="69">
        <f t="shared" ref="F10514" si="202">+SUM(D10151:D10514)/B10150</f>
        <v>6.3316291629006191E-2</v>
      </c>
      <c r="G10514" s="69">
        <f t="shared" ref="G10514" si="203">+SUM(D10151:D10514)/C10150</f>
        <v>8.8305097271428573E-2</v>
      </c>
      <c r="J10514" s="112"/>
    </row>
    <row r="10515" spans="1:10" x14ac:dyDescent="0.3">
      <c r="A10515" s="24">
        <v>45393</v>
      </c>
      <c r="B10515" s="66">
        <f t="shared" si="195"/>
        <v>1995.3179</v>
      </c>
      <c r="C10515" s="72">
        <v>1572.93</v>
      </c>
      <c r="E10515" s="112">
        <f t="shared" si="186"/>
        <v>165110</v>
      </c>
      <c r="F10515" s="69">
        <f t="shared" ref="F10515" si="204">+SUM(D10152:D10515)/B10151</f>
        <v>6.3316291629006191E-2</v>
      </c>
      <c r="G10515" s="69">
        <f t="shared" ref="G10515" si="205">+SUM(D10152:D10515)/C10151</f>
        <v>8.8940385741007197E-2</v>
      </c>
      <c r="J10515" s="112"/>
    </row>
    <row r="10516" spans="1:10" x14ac:dyDescent="0.3">
      <c r="A10516" s="24">
        <v>45394</v>
      </c>
      <c r="B10516" s="66">
        <f t="shared" si="195"/>
        <v>1995.3179</v>
      </c>
      <c r="C10516" s="72">
        <v>1576.69</v>
      </c>
      <c r="E10516" s="112">
        <f t="shared" si="186"/>
        <v>165110</v>
      </c>
      <c r="F10516" s="69">
        <f t="shared" ref="F10516" si="206">+SUM(D10153:D10516)/B10152</f>
        <v>6.3316291629006191E-2</v>
      </c>
      <c r="G10516" s="69">
        <f t="shared" ref="G10516" si="207">+SUM(D10153:D10516)/C10152</f>
        <v>8.8308251137540636E-2</v>
      </c>
      <c r="J10516" s="112"/>
    </row>
    <row r="10517" spans="1:10" x14ac:dyDescent="0.3">
      <c r="A10517" s="24">
        <v>45395</v>
      </c>
      <c r="B10517" s="66">
        <f t="shared" si="195"/>
        <v>1995.3179</v>
      </c>
      <c r="C10517" s="72">
        <v>1576.69</v>
      </c>
      <c r="E10517" s="112">
        <f t="shared" si="186"/>
        <v>165110</v>
      </c>
      <c r="F10517" s="69">
        <f t="shared" ref="F10517:F10519" si="208">+SUM(D10154:D10517)/B10153</f>
        <v>6.3316291629006191E-2</v>
      </c>
      <c r="G10517" s="69">
        <f t="shared" ref="G10517:G10519" si="209">+SUM(D10154:D10517)/C10153</f>
        <v>8.8308251137540636E-2</v>
      </c>
      <c r="J10517" s="112"/>
    </row>
    <row r="10518" spans="1:10" x14ac:dyDescent="0.3">
      <c r="A10518" s="24">
        <v>45396</v>
      </c>
      <c r="B10518" s="66">
        <f t="shared" si="195"/>
        <v>1995.3179</v>
      </c>
      <c r="C10518" s="72">
        <v>1576.69</v>
      </c>
      <c r="E10518" s="112">
        <f t="shared" si="186"/>
        <v>165110</v>
      </c>
      <c r="F10518" s="69">
        <f t="shared" si="208"/>
        <v>6.3316291629006191E-2</v>
      </c>
      <c r="G10518" s="69">
        <f t="shared" si="209"/>
        <v>8.8308251137540636E-2</v>
      </c>
      <c r="J10518" s="112"/>
    </row>
    <row r="10519" spans="1:10" x14ac:dyDescent="0.3">
      <c r="A10519" s="24">
        <v>45397</v>
      </c>
      <c r="B10519" s="66">
        <f t="shared" si="195"/>
        <v>1995.3179</v>
      </c>
      <c r="C10519" s="72">
        <v>1572.15</v>
      </c>
      <c r="E10519" s="112">
        <f t="shared" si="186"/>
        <v>165110</v>
      </c>
      <c r="F10519" s="69">
        <f t="shared" si="208"/>
        <v>6.3316291629006191E-2</v>
      </c>
      <c r="G10519" s="69">
        <f t="shared" si="209"/>
        <v>8.9437762651290997E-2</v>
      </c>
      <c r="J10519" s="112"/>
    </row>
    <row r="10520" spans="1:10" x14ac:dyDescent="0.3">
      <c r="A10520" s="24">
        <v>45398</v>
      </c>
      <c r="B10520" s="66">
        <f t="shared" si="195"/>
        <v>1995.3179</v>
      </c>
      <c r="C10520" s="72">
        <v>1567.62</v>
      </c>
      <c r="E10520" s="112">
        <f t="shared" si="186"/>
        <v>165110</v>
      </c>
      <c r="F10520" s="69">
        <f t="shared" ref="F10520:F10523" si="210">+SUM(D10157:D10520)/B10156</f>
        <v>6.3316291629006191E-2</v>
      </c>
      <c r="G10520" s="69">
        <f t="shared" ref="G10520:G10523" si="211">+SUM(D10157:D10520)/C10156</f>
        <v>8.9223461615629454E-2</v>
      </c>
      <c r="J10520" s="112"/>
    </row>
    <row r="10521" spans="1:10" x14ac:dyDescent="0.3">
      <c r="A10521" s="24">
        <v>45399</v>
      </c>
      <c r="B10521" s="66">
        <f t="shared" si="195"/>
        <v>1995.3179</v>
      </c>
      <c r="C10521" s="72">
        <v>1574.94</v>
      </c>
      <c r="E10521" s="112">
        <f t="shared" si="186"/>
        <v>165110</v>
      </c>
      <c r="F10521" s="69">
        <f t="shared" si="210"/>
        <v>6.3316291629006191E-2</v>
      </c>
      <c r="G10521" s="69">
        <f t="shared" si="211"/>
        <v>8.9223461615629454E-2</v>
      </c>
      <c r="J10521" s="112"/>
    </row>
    <row r="10522" spans="1:10" x14ac:dyDescent="0.3">
      <c r="A10522" s="24">
        <v>45400</v>
      </c>
      <c r="B10522" s="66">
        <f t="shared" si="195"/>
        <v>1995.3179</v>
      </c>
      <c r="C10522" s="72">
        <v>1590.01</v>
      </c>
      <c r="E10522" s="112">
        <f t="shared" si="186"/>
        <v>165110</v>
      </c>
      <c r="F10522" s="69">
        <f t="shared" si="210"/>
        <v>6.3316291629006191E-2</v>
      </c>
      <c r="G10522" s="69">
        <f t="shared" si="211"/>
        <v>8.8206180340618029E-2</v>
      </c>
      <c r="J10522" s="112"/>
    </row>
    <row r="10523" spans="1:10" x14ac:dyDescent="0.3">
      <c r="A10523" s="24">
        <v>45401</v>
      </c>
      <c r="B10523" s="66">
        <f t="shared" si="195"/>
        <v>1995.3179</v>
      </c>
      <c r="C10523" s="72">
        <v>1565.46</v>
      </c>
      <c r="E10523" s="112">
        <f t="shared" si="186"/>
        <v>165110</v>
      </c>
      <c r="F10523" s="69">
        <f t="shared" si="210"/>
        <v>6.3316291629006191E-2</v>
      </c>
      <c r="G10523" s="69">
        <f t="shared" si="211"/>
        <v>8.8310774392639527E-2</v>
      </c>
      <c r="J10523" s="112"/>
    </row>
    <row r="10524" spans="1:10" x14ac:dyDescent="0.3">
      <c r="A10524" s="24">
        <v>45403</v>
      </c>
      <c r="B10524" s="66">
        <f t="shared" si="195"/>
        <v>1995.3179</v>
      </c>
      <c r="C10524" s="66">
        <v>1565.46</v>
      </c>
      <c r="E10524" s="112">
        <f t="shared" si="186"/>
        <v>165110</v>
      </c>
      <c r="F10524" s="69">
        <f t="shared" ref="F10524:F10525" si="212">+SUM(D10161:D10524)/B10160</f>
        <v>6.3316291629006191E-2</v>
      </c>
      <c r="G10524" s="69">
        <f t="shared" ref="G10524:G10525" si="213">+SUM(D10161:D10524)/C10160</f>
        <v>8.8310774392639527E-2</v>
      </c>
      <c r="J10524" s="112"/>
    </row>
    <row r="10525" spans="1:10" x14ac:dyDescent="0.3">
      <c r="A10525" s="24">
        <v>45404</v>
      </c>
      <c r="B10525" s="66">
        <f t="shared" si="195"/>
        <v>1995.3179</v>
      </c>
      <c r="C10525" s="66">
        <v>1570.5</v>
      </c>
      <c r="E10525" s="112">
        <f t="shared" si="186"/>
        <v>165110</v>
      </c>
      <c r="F10525" s="69">
        <f t="shared" si="212"/>
        <v>6.3316291629006191E-2</v>
      </c>
      <c r="G10525" s="69">
        <f t="shared" si="213"/>
        <v>8.8310774392639527E-2</v>
      </c>
      <c r="J10525" s="112"/>
    </row>
    <row r="10526" spans="1:10" x14ac:dyDescent="0.3">
      <c r="A10526" s="24">
        <v>45404</v>
      </c>
      <c r="B10526" s="66">
        <f t="shared" si="195"/>
        <v>1995.3179</v>
      </c>
      <c r="C10526" s="72">
        <v>1570.5</v>
      </c>
      <c r="E10526" s="112">
        <f t="shared" si="186"/>
        <v>165110</v>
      </c>
      <c r="F10526" s="69">
        <f>+SUM(D10161:D10526)/B10160</f>
        <v>6.3316291629006191E-2</v>
      </c>
      <c r="G10526" s="69">
        <f>+SUM(D10161:D10526)/C10160</f>
        <v>8.8310774392639527E-2</v>
      </c>
      <c r="J10526" s="112"/>
    </row>
    <row r="10527" spans="1:10" x14ac:dyDescent="0.3">
      <c r="A10527" s="24">
        <v>45405</v>
      </c>
      <c r="B10527" s="66">
        <f t="shared" si="195"/>
        <v>1995.3179</v>
      </c>
      <c r="C10527" s="72">
        <v>1578.05</v>
      </c>
      <c r="E10527" s="112">
        <f t="shared" si="186"/>
        <v>165110</v>
      </c>
      <c r="F10527" s="69">
        <f>+SUM(D10162:D10527)/B10161</f>
        <v>6.3316291629006191E-2</v>
      </c>
      <c r="G10527" s="69">
        <f>+SUM(D10162:D10527)/C10161</f>
        <v>8.8310774392639527E-2</v>
      </c>
      <c r="J10527" s="112"/>
    </row>
    <row r="10528" spans="1:10" x14ac:dyDescent="0.3">
      <c r="A10528" s="24">
        <v>45406</v>
      </c>
      <c r="B10528" s="66">
        <f t="shared" si="195"/>
        <v>1995.3179</v>
      </c>
      <c r="C10528" s="72">
        <v>1578.06</v>
      </c>
      <c r="D10528" s="71">
        <v>57.8750969697005</v>
      </c>
      <c r="E10528" s="112">
        <f t="shared" si="186"/>
        <v>165110</v>
      </c>
      <c r="F10528" s="69">
        <f>+SUM(D10163:D10528)/B10162</f>
        <v>6.5300943036501372E-2</v>
      </c>
      <c r="G10528" s="69">
        <f>+SUM(D10163:D10528)/C10162</f>
        <v>9.0513135284384108E-2</v>
      </c>
      <c r="J10528" s="112"/>
    </row>
    <row r="10529" spans="1:10" x14ac:dyDescent="0.3">
      <c r="A10529" s="24">
        <v>45407</v>
      </c>
      <c r="B10529" s="66">
        <f t="shared" si="195"/>
        <v>1995.3179</v>
      </c>
      <c r="C10529" s="72">
        <v>1580.59</v>
      </c>
      <c r="E10529" s="112">
        <f t="shared" si="186"/>
        <v>165110</v>
      </c>
      <c r="F10529" s="69">
        <f t="shared" ref="F10529:F10541" si="214">+SUM(D10164:D10529)/B10163</f>
        <v>6.5300943036501372E-2</v>
      </c>
      <c r="G10529" s="69">
        <f t="shared" ref="G10529:G10541" si="215">+SUM(D10164:D10529)/C10163</f>
        <v>9.1394864164307546E-2</v>
      </c>
      <c r="J10529" s="112"/>
    </row>
    <row r="10530" spans="1:10" x14ac:dyDescent="0.3">
      <c r="A10530" s="24">
        <v>45408</v>
      </c>
      <c r="B10530" s="66">
        <f t="shared" si="195"/>
        <v>1995.3179</v>
      </c>
      <c r="C10530" s="72">
        <v>1584.13</v>
      </c>
      <c r="E10530" s="112">
        <f t="shared" si="186"/>
        <v>165110</v>
      </c>
      <c r="F10530" s="69">
        <f t="shared" si="214"/>
        <v>6.5300943036501372E-2</v>
      </c>
      <c r="G10530" s="69">
        <f t="shared" si="215"/>
        <v>9.1350991695946598E-2</v>
      </c>
      <c r="J10530" s="112"/>
    </row>
    <row r="10531" spans="1:10" x14ac:dyDescent="0.3">
      <c r="A10531" s="24">
        <v>45409</v>
      </c>
      <c r="B10531" s="66">
        <f t="shared" si="195"/>
        <v>1995.3179</v>
      </c>
      <c r="C10531" s="72">
        <v>1584.13</v>
      </c>
      <c r="E10531" s="112">
        <f t="shared" si="186"/>
        <v>165110</v>
      </c>
      <c r="F10531" s="69">
        <f t="shared" si="214"/>
        <v>6.5300943036501372E-2</v>
      </c>
      <c r="G10531" s="69">
        <f t="shared" si="215"/>
        <v>9.1350991695946598E-2</v>
      </c>
      <c r="J10531" s="112"/>
    </row>
    <row r="10532" spans="1:10" x14ac:dyDescent="0.3">
      <c r="A10532" s="24">
        <v>45410</v>
      </c>
      <c r="B10532" s="66">
        <f t="shared" si="195"/>
        <v>1995.3179</v>
      </c>
      <c r="C10532" s="72">
        <v>1584.13</v>
      </c>
      <c r="E10532" s="112">
        <f t="shared" si="186"/>
        <v>165110</v>
      </c>
      <c r="F10532" s="69">
        <f t="shared" si="214"/>
        <v>6.5300943036501372E-2</v>
      </c>
      <c r="G10532" s="69">
        <f t="shared" si="215"/>
        <v>9.0637317146645427E-2</v>
      </c>
      <c r="J10532" s="112"/>
    </row>
    <row r="10533" spans="1:10" x14ac:dyDescent="0.3">
      <c r="A10533" s="24">
        <v>45411</v>
      </c>
      <c r="B10533" s="66">
        <f t="shared" si="195"/>
        <v>1995.3179</v>
      </c>
      <c r="C10533" s="72">
        <v>1588.46</v>
      </c>
      <c r="E10533" s="112">
        <f t="shared" si="186"/>
        <v>165110</v>
      </c>
      <c r="F10533" s="69">
        <f t="shared" si="214"/>
        <v>6.5300943036501372E-2</v>
      </c>
      <c r="G10533" s="69">
        <f t="shared" si="215"/>
        <v>9.0637317146645427E-2</v>
      </c>
      <c r="J10533" s="112"/>
    </row>
    <row r="10534" spans="1:10" x14ac:dyDescent="0.3">
      <c r="A10534" s="24">
        <v>45412</v>
      </c>
      <c r="B10534" s="66">
        <v>2011.4779000000001</v>
      </c>
      <c r="C10534" s="72">
        <v>1610</v>
      </c>
      <c r="E10534" s="112">
        <f t="shared" si="186"/>
        <v>165110</v>
      </c>
      <c r="F10534" s="69">
        <f t="shared" si="214"/>
        <v>6.4623413098363933E-2</v>
      </c>
      <c r="G10534" s="69">
        <f t="shared" si="215"/>
        <v>9.0637317146645427E-2</v>
      </c>
      <c r="J10534" s="112"/>
    </row>
    <row r="10535" spans="1:10" x14ac:dyDescent="0.3">
      <c r="A10535" s="24">
        <v>45413</v>
      </c>
      <c r="B10535" s="66">
        <f t="shared" si="195"/>
        <v>2011.4779000000001</v>
      </c>
      <c r="C10535" s="72">
        <v>1610</v>
      </c>
      <c r="E10535" s="112">
        <f t="shared" si="186"/>
        <v>165110</v>
      </c>
      <c r="F10535" s="69">
        <f t="shared" si="214"/>
        <v>6.4623413098363933E-2</v>
      </c>
      <c r="G10535" s="69">
        <f t="shared" si="215"/>
        <v>9.0637317146645427E-2</v>
      </c>
      <c r="J10535" s="112"/>
    </row>
    <row r="10536" spans="1:10" x14ac:dyDescent="0.3">
      <c r="A10536" s="24">
        <v>45414</v>
      </c>
      <c r="B10536" s="66">
        <f t="shared" si="195"/>
        <v>2011.4779000000001</v>
      </c>
      <c r="C10536" s="72">
        <v>1584.47</v>
      </c>
      <c r="E10536" s="112">
        <f t="shared" ref="E10536:E10599" si="216">+E10535</f>
        <v>165110</v>
      </c>
      <c r="F10536" s="69">
        <f t="shared" si="214"/>
        <v>6.4623413098363933E-2</v>
      </c>
      <c r="G10536" s="69">
        <f t="shared" si="215"/>
        <v>9.0237041939815077E-2</v>
      </c>
      <c r="J10536" s="112"/>
    </row>
    <row r="10537" spans="1:10" x14ac:dyDescent="0.3">
      <c r="A10537" s="24">
        <v>45415</v>
      </c>
      <c r="B10537" s="66">
        <f t="shared" si="195"/>
        <v>2011.4779000000001</v>
      </c>
      <c r="C10537" s="72">
        <v>1594.27</v>
      </c>
      <c r="E10537" s="112">
        <f t="shared" si="216"/>
        <v>165110</v>
      </c>
      <c r="F10537" s="69">
        <f t="shared" si="214"/>
        <v>6.4623413098363933E-2</v>
      </c>
      <c r="G10537" s="69">
        <f t="shared" si="215"/>
        <v>9.0237041939815077E-2</v>
      </c>
      <c r="J10537" s="112"/>
    </row>
    <row r="10538" spans="1:10" x14ac:dyDescent="0.3">
      <c r="A10538" s="24">
        <v>45416</v>
      </c>
      <c r="B10538" s="66">
        <f t="shared" si="195"/>
        <v>2011.4779000000001</v>
      </c>
      <c r="C10538" s="72">
        <v>1594.27</v>
      </c>
      <c r="E10538" s="112">
        <f t="shared" si="216"/>
        <v>165110</v>
      </c>
      <c r="F10538" s="69">
        <f t="shared" si="214"/>
        <v>6.4623413098363933E-2</v>
      </c>
      <c r="G10538" s="69">
        <f t="shared" si="215"/>
        <v>9.0751504063959487E-2</v>
      </c>
      <c r="J10538" s="112"/>
    </row>
    <row r="10539" spans="1:10" x14ac:dyDescent="0.3">
      <c r="A10539" s="24">
        <v>45417</v>
      </c>
      <c r="B10539" s="66">
        <f t="shared" si="195"/>
        <v>2011.4779000000001</v>
      </c>
      <c r="C10539" s="72">
        <v>1594.27</v>
      </c>
      <c r="E10539" s="112">
        <f t="shared" si="216"/>
        <v>165110</v>
      </c>
      <c r="F10539" s="69">
        <f t="shared" si="214"/>
        <v>6.4623413098363933E-2</v>
      </c>
      <c r="G10539" s="69">
        <f t="shared" si="215"/>
        <v>9.0668899440849729E-2</v>
      </c>
      <c r="J10539" s="112"/>
    </row>
    <row r="10540" spans="1:10" x14ac:dyDescent="0.3">
      <c r="A10540" s="24">
        <v>45418</v>
      </c>
      <c r="B10540" s="66">
        <f t="shared" si="195"/>
        <v>2011.4779000000001</v>
      </c>
      <c r="C10540" s="72">
        <v>1580</v>
      </c>
      <c r="E10540" s="112">
        <f t="shared" si="216"/>
        <v>165110</v>
      </c>
      <c r="F10540" s="69">
        <f t="shared" si="214"/>
        <v>6.4623413098363933E-2</v>
      </c>
      <c r="G10540" s="69">
        <f t="shared" si="215"/>
        <v>9.0668899440849729E-2</v>
      </c>
      <c r="J10540" s="112"/>
    </row>
    <row r="10541" spans="1:10" x14ac:dyDescent="0.3">
      <c r="A10541" s="24">
        <v>45419</v>
      </c>
      <c r="B10541" s="66">
        <f t="shared" si="195"/>
        <v>2011.4779000000001</v>
      </c>
      <c r="C10541" s="72">
        <v>1586.28</v>
      </c>
      <c r="E10541" s="112">
        <f t="shared" si="216"/>
        <v>165110</v>
      </c>
      <c r="F10541" s="69">
        <f t="shared" si="214"/>
        <v>6.4623413098363933E-2</v>
      </c>
      <c r="G10541" s="69">
        <f t="shared" si="215"/>
        <v>9.0668899440849729E-2</v>
      </c>
      <c r="J10541" s="112"/>
    </row>
    <row r="10542" spans="1:10" x14ac:dyDescent="0.3">
      <c r="A10542" s="24">
        <v>45420</v>
      </c>
      <c r="B10542" s="66">
        <f t="shared" si="195"/>
        <v>2011.4779000000001</v>
      </c>
      <c r="C10542" s="72">
        <v>1594.27</v>
      </c>
      <c r="E10542" s="112">
        <f t="shared" si="216"/>
        <v>165110</v>
      </c>
      <c r="F10542" s="69">
        <f t="shared" ref="F10542:F10548" si="217">+SUM(D10177:D10542)/B10176</f>
        <v>6.4623413098363933E-2</v>
      </c>
      <c r="G10542" s="69">
        <f t="shared" ref="G10542:G10548" si="218">+SUM(D10177:D10542)/C10176</f>
        <v>8.9790305035000365E-2</v>
      </c>
      <c r="J10542" s="112"/>
    </row>
    <row r="10543" spans="1:10" x14ac:dyDescent="0.3">
      <c r="A10543" s="24">
        <v>45421</v>
      </c>
      <c r="B10543" s="66">
        <f t="shared" si="195"/>
        <v>2011.4779000000001</v>
      </c>
      <c r="C10543" s="72">
        <v>1591.76</v>
      </c>
      <c r="E10543" s="112">
        <f t="shared" si="216"/>
        <v>165110</v>
      </c>
      <c r="F10543" s="69">
        <f t="shared" si="217"/>
        <v>6.4623413098363933E-2</v>
      </c>
      <c r="G10543" s="69">
        <f t="shared" si="218"/>
        <v>9.0136887715936295E-2</v>
      </c>
      <c r="J10543" s="112"/>
    </row>
    <row r="10544" spans="1:10" x14ac:dyDescent="0.3">
      <c r="A10544" s="24">
        <v>45422</v>
      </c>
      <c r="B10544" s="66">
        <f t="shared" si="195"/>
        <v>2011.4779000000001</v>
      </c>
      <c r="C10544" s="72">
        <v>1591.33</v>
      </c>
      <c r="E10544" s="112">
        <f t="shared" si="216"/>
        <v>165110</v>
      </c>
      <c r="F10544" s="69">
        <f t="shared" si="217"/>
        <v>6.4623413098363933E-2</v>
      </c>
      <c r="G10544" s="69">
        <f t="shared" si="218"/>
        <v>9.0967760983505175E-2</v>
      </c>
      <c r="J10544" s="112"/>
    </row>
    <row r="10545" spans="1:10" x14ac:dyDescent="0.3">
      <c r="A10545" s="24">
        <v>45423</v>
      </c>
      <c r="B10545" s="66">
        <f t="shared" si="195"/>
        <v>2011.4779000000001</v>
      </c>
      <c r="C10545" s="72">
        <v>1591.33</v>
      </c>
      <c r="E10545" s="112">
        <f t="shared" si="216"/>
        <v>165110</v>
      </c>
      <c r="F10545" s="69">
        <f t="shared" si="217"/>
        <v>6.4623413098363933E-2</v>
      </c>
      <c r="G10545" s="69">
        <f t="shared" si="218"/>
        <v>9.1380453633080228E-2</v>
      </c>
      <c r="J10545" s="112"/>
    </row>
    <row r="10546" spans="1:10" x14ac:dyDescent="0.3">
      <c r="A10546" s="24">
        <v>45424</v>
      </c>
      <c r="B10546" s="66">
        <f t="shared" si="195"/>
        <v>2011.4779000000001</v>
      </c>
      <c r="C10546" s="72">
        <v>1591.33</v>
      </c>
      <c r="E10546" s="112">
        <f t="shared" si="216"/>
        <v>165110</v>
      </c>
      <c r="F10546" s="69">
        <f t="shared" si="217"/>
        <v>6.4623413098363933E-2</v>
      </c>
      <c r="G10546" s="69">
        <f t="shared" si="218"/>
        <v>9.0345740467593388E-2</v>
      </c>
      <c r="J10546" s="112"/>
    </row>
    <row r="10547" spans="1:10" x14ac:dyDescent="0.3">
      <c r="A10547" s="24">
        <v>45425</v>
      </c>
      <c r="B10547" s="66">
        <f t="shared" si="195"/>
        <v>2011.4779000000001</v>
      </c>
      <c r="C10547" s="72">
        <v>1590</v>
      </c>
      <c r="E10547" s="112">
        <f t="shared" si="216"/>
        <v>165110</v>
      </c>
      <c r="F10547" s="69">
        <f t="shared" si="217"/>
        <v>6.4623413098363933E-2</v>
      </c>
      <c r="G10547" s="69">
        <f t="shared" si="218"/>
        <v>9.0345740467593388E-2</v>
      </c>
      <c r="J10547" s="112"/>
    </row>
    <row r="10548" spans="1:10" x14ac:dyDescent="0.3">
      <c r="A10548" s="24">
        <v>45426</v>
      </c>
      <c r="B10548" s="66">
        <f t="shared" si="195"/>
        <v>2011.4779000000001</v>
      </c>
      <c r="C10548" s="72">
        <v>1612.26</v>
      </c>
      <c r="E10548" s="112">
        <f t="shared" si="216"/>
        <v>165110</v>
      </c>
      <c r="F10548" s="69">
        <f t="shared" si="217"/>
        <v>6.4623413098363933E-2</v>
      </c>
      <c r="G10548" s="69">
        <f t="shared" si="218"/>
        <v>9.0345740467593388E-2</v>
      </c>
      <c r="J10548" s="112"/>
    </row>
    <row r="10549" spans="1:10" x14ac:dyDescent="0.3">
      <c r="A10549" s="24">
        <v>45427</v>
      </c>
      <c r="B10549" s="66">
        <f t="shared" si="195"/>
        <v>2011.4779000000001</v>
      </c>
      <c r="C10549" s="72">
        <v>1629.91</v>
      </c>
      <c r="E10549" s="112">
        <f t="shared" si="216"/>
        <v>165110</v>
      </c>
      <c r="F10549" s="69">
        <f t="shared" ref="F10549:F10562" si="219">+SUM(D10184:D10549)/B10183</f>
        <v>6.4623413098363933E-2</v>
      </c>
      <c r="G10549" s="69">
        <f t="shared" ref="G10549:G10562" si="220">+SUM(D10184:D10549)/C10183</f>
        <v>9.0790276816272553E-2</v>
      </c>
      <c r="J10549" s="112"/>
    </row>
    <row r="10550" spans="1:10" x14ac:dyDescent="0.3">
      <c r="A10550" s="24">
        <v>45428</v>
      </c>
      <c r="B10550" s="66">
        <f t="shared" si="195"/>
        <v>2011.4779000000001</v>
      </c>
      <c r="C10550" s="72">
        <v>1619.29</v>
      </c>
      <c r="E10550" s="112">
        <f t="shared" si="216"/>
        <v>165110</v>
      </c>
      <c r="F10550" s="69">
        <f t="shared" si="219"/>
        <v>6.4623413098363933E-2</v>
      </c>
      <c r="G10550" s="69">
        <f t="shared" si="220"/>
        <v>9.1074975284970758E-2</v>
      </c>
      <c r="J10550" s="112"/>
    </row>
    <row r="10551" spans="1:10" x14ac:dyDescent="0.3">
      <c r="A10551" s="24">
        <v>45429</v>
      </c>
      <c r="B10551" s="66">
        <f t="shared" si="195"/>
        <v>2011.4779000000001</v>
      </c>
      <c r="C10551" s="72">
        <v>1619.58</v>
      </c>
      <c r="E10551" s="112">
        <f t="shared" si="216"/>
        <v>165110</v>
      </c>
      <c r="F10551" s="69">
        <f t="shared" si="219"/>
        <v>6.4623413098363933E-2</v>
      </c>
      <c r="G10551" s="69">
        <f t="shared" si="220"/>
        <v>9.1073023678357512E-2</v>
      </c>
      <c r="J10551" s="112"/>
    </row>
    <row r="10552" spans="1:10" x14ac:dyDescent="0.3">
      <c r="A10552" s="24">
        <v>45430</v>
      </c>
      <c r="B10552" s="66">
        <f t="shared" si="195"/>
        <v>2011.4779000000001</v>
      </c>
      <c r="C10552" s="72">
        <v>1619.58</v>
      </c>
      <c r="E10552" s="112">
        <f t="shared" si="216"/>
        <v>165110</v>
      </c>
      <c r="F10552" s="69">
        <f t="shared" si="219"/>
        <v>6.4623413098363933E-2</v>
      </c>
      <c r="G10552" s="69">
        <f t="shared" si="220"/>
        <v>9.1073023678357512E-2</v>
      </c>
      <c r="J10552" s="112"/>
    </row>
    <row r="10553" spans="1:10" x14ac:dyDescent="0.3">
      <c r="A10553" s="24">
        <v>45431</v>
      </c>
      <c r="B10553" s="66">
        <f t="shared" si="195"/>
        <v>2011.4779000000001</v>
      </c>
      <c r="C10553" s="72">
        <v>1619.58</v>
      </c>
      <c r="E10553" s="112">
        <f t="shared" si="216"/>
        <v>165110</v>
      </c>
      <c r="F10553" s="69">
        <f t="shared" si="219"/>
        <v>6.4623413098363933E-2</v>
      </c>
      <c r="G10553" s="69">
        <f t="shared" si="220"/>
        <v>9.0869217005929925E-2</v>
      </c>
      <c r="J10553" s="112"/>
    </row>
    <row r="10554" spans="1:10" x14ac:dyDescent="0.3">
      <c r="A10554" s="24">
        <v>45432</v>
      </c>
      <c r="B10554" s="66">
        <f t="shared" si="195"/>
        <v>2011.4779000000001</v>
      </c>
      <c r="C10554" s="72">
        <v>1619.88</v>
      </c>
      <c r="E10554" s="112">
        <f t="shared" si="216"/>
        <v>165110</v>
      </c>
      <c r="F10554" s="69">
        <f t="shared" si="219"/>
        <v>6.4623413098363933E-2</v>
      </c>
      <c r="G10554" s="69">
        <f t="shared" si="220"/>
        <v>9.0869217005929925E-2</v>
      </c>
      <c r="J10554" s="112"/>
    </row>
    <row r="10555" spans="1:10" x14ac:dyDescent="0.3">
      <c r="A10555" s="24">
        <v>45433</v>
      </c>
      <c r="B10555" s="66">
        <f t="shared" si="195"/>
        <v>2011.4779000000001</v>
      </c>
      <c r="C10555" s="72">
        <v>1619.88</v>
      </c>
      <c r="E10555" s="112">
        <f t="shared" si="216"/>
        <v>165110</v>
      </c>
      <c r="F10555" s="69">
        <f t="shared" si="219"/>
        <v>6.4623413098363933E-2</v>
      </c>
      <c r="G10555" s="69">
        <f t="shared" si="220"/>
        <v>9.0869217005929925E-2</v>
      </c>
      <c r="J10555" s="112"/>
    </row>
    <row r="10556" spans="1:10" x14ac:dyDescent="0.3">
      <c r="A10556" s="24">
        <v>45434</v>
      </c>
      <c r="B10556" s="66">
        <f t="shared" si="195"/>
        <v>2011.4779000000001</v>
      </c>
      <c r="C10556" s="72">
        <v>1619.84</v>
      </c>
      <c r="E10556" s="112">
        <f t="shared" si="216"/>
        <v>165110</v>
      </c>
      <c r="F10556" s="69">
        <f t="shared" si="219"/>
        <v>6.4623413098363933E-2</v>
      </c>
      <c r="G10556" s="69">
        <f t="shared" si="220"/>
        <v>9.1073023678357512E-2</v>
      </c>
      <c r="J10556" s="112"/>
    </row>
    <row r="10557" spans="1:10" x14ac:dyDescent="0.3">
      <c r="A10557" s="24">
        <v>45435</v>
      </c>
      <c r="B10557" s="66">
        <f t="shared" si="195"/>
        <v>2011.4779000000001</v>
      </c>
      <c r="C10557" s="72">
        <v>1600.67</v>
      </c>
      <c r="E10557" s="112">
        <f t="shared" si="216"/>
        <v>165110</v>
      </c>
      <c r="F10557" s="69">
        <f t="shared" si="219"/>
        <v>6.4623413098363933E-2</v>
      </c>
      <c r="G10557" s="69">
        <f t="shared" si="220"/>
        <v>9.1073023678357512E-2</v>
      </c>
      <c r="J10557" s="112"/>
    </row>
    <row r="10558" spans="1:10" x14ac:dyDescent="0.3">
      <c r="A10558" s="24">
        <v>45436</v>
      </c>
      <c r="B10558" s="66">
        <f t="shared" si="195"/>
        <v>2011.4779000000001</v>
      </c>
      <c r="C10558" s="72">
        <v>1605.31</v>
      </c>
      <c r="E10558" s="112">
        <f t="shared" si="216"/>
        <v>165110</v>
      </c>
      <c r="F10558" s="69">
        <f t="shared" si="219"/>
        <v>6.4623413098363933E-2</v>
      </c>
      <c r="G10558" s="69">
        <f t="shared" si="220"/>
        <v>9.091781398163172E-2</v>
      </c>
      <c r="J10558" s="112"/>
    </row>
    <row r="10559" spans="1:10" x14ac:dyDescent="0.3">
      <c r="A10559" s="24">
        <v>45437</v>
      </c>
      <c r="B10559" s="66">
        <f t="shared" si="195"/>
        <v>2011.4779000000001</v>
      </c>
      <c r="C10559" s="72">
        <v>1605.31</v>
      </c>
      <c r="E10559" s="112">
        <f t="shared" si="216"/>
        <v>165110</v>
      </c>
      <c r="F10559" s="69">
        <f t="shared" si="219"/>
        <v>6.4623413098363933E-2</v>
      </c>
      <c r="G10559" s="69">
        <f t="shared" si="220"/>
        <v>9.1073023678357512E-2</v>
      </c>
      <c r="J10559" s="112"/>
    </row>
    <row r="10560" spans="1:10" x14ac:dyDescent="0.3">
      <c r="A10560" s="24">
        <v>45438</v>
      </c>
      <c r="B10560" s="66">
        <f t="shared" si="195"/>
        <v>2011.4779000000001</v>
      </c>
      <c r="C10560" s="72">
        <v>1605.31</v>
      </c>
      <c r="E10560" s="112">
        <f t="shared" si="216"/>
        <v>165110</v>
      </c>
      <c r="F10560" s="69">
        <f t="shared" si="219"/>
        <v>6.4623413098363933E-2</v>
      </c>
      <c r="G10560" s="69">
        <f t="shared" si="220"/>
        <v>9.1073023678357512E-2</v>
      </c>
      <c r="J10560" s="112"/>
    </row>
    <row r="10561" spans="1:10" x14ac:dyDescent="0.3">
      <c r="A10561" s="24">
        <v>45439</v>
      </c>
      <c r="B10561" s="66">
        <f t="shared" si="195"/>
        <v>2011.4779000000001</v>
      </c>
      <c r="C10561" s="72">
        <v>1607.14</v>
      </c>
      <c r="E10561" s="112">
        <f t="shared" si="216"/>
        <v>165110</v>
      </c>
      <c r="F10561" s="69">
        <f t="shared" si="219"/>
        <v>6.4623413098363933E-2</v>
      </c>
      <c r="G10561" s="69">
        <f t="shared" si="220"/>
        <v>9.1073023678357512E-2</v>
      </c>
      <c r="J10561" s="112"/>
    </row>
    <row r="10562" spans="1:10" x14ac:dyDescent="0.3">
      <c r="A10562" s="24">
        <v>45440</v>
      </c>
      <c r="B10562" s="66">
        <f t="shared" si="195"/>
        <v>2011.4779000000001</v>
      </c>
      <c r="C10562" s="72">
        <v>1608.99</v>
      </c>
      <c r="E10562" s="112">
        <f t="shared" si="216"/>
        <v>165110</v>
      </c>
      <c r="F10562" s="69">
        <f t="shared" si="219"/>
        <v>6.4623413098363933E-2</v>
      </c>
      <c r="G10562" s="69">
        <f t="shared" si="220"/>
        <v>9.1073023678357512E-2</v>
      </c>
      <c r="J10562" s="112"/>
    </row>
    <row r="10563" spans="1:10" x14ac:dyDescent="0.3">
      <c r="A10563" s="24">
        <v>45441</v>
      </c>
      <c r="B10563" s="66">
        <f t="shared" si="195"/>
        <v>2011.4779000000001</v>
      </c>
      <c r="C10563" s="72">
        <v>1603.39</v>
      </c>
      <c r="E10563" s="112">
        <f t="shared" si="216"/>
        <v>165110</v>
      </c>
      <c r="F10563" s="69">
        <f t="shared" ref="F10563" si="221">+SUM(D10198:D10563)/B10197</f>
        <v>6.4623413098363933E-2</v>
      </c>
      <c r="G10563" s="69">
        <f t="shared" ref="G10563" si="222">+SUM(D10198:D10563)/C10197</f>
        <v>8.9077683566468627E-2</v>
      </c>
      <c r="J10563" s="112"/>
    </row>
    <row r="10564" spans="1:10" x14ac:dyDescent="0.3">
      <c r="A10564" s="24">
        <v>45442</v>
      </c>
      <c r="B10564" s="66">
        <f t="shared" si="195"/>
        <v>2011.4779000000001</v>
      </c>
      <c r="C10564" s="72">
        <v>1603.13</v>
      </c>
      <c r="E10564" s="112">
        <f t="shared" si="216"/>
        <v>165110</v>
      </c>
      <c r="F10564" s="69">
        <f t="shared" ref="F10564" si="223">+SUM(D10199:D10564)/B10198</f>
        <v>6.4623413098363933E-2</v>
      </c>
      <c r="G10564" s="69">
        <f t="shared" ref="G10564" si="224">+SUM(D10199:D10564)/C10198</f>
        <v>8.8508182975975153E-2</v>
      </c>
      <c r="J10564" s="112"/>
    </row>
    <row r="10565" spans="1:10" x14ac:dyDescent="0.3">
      <c r="A10565" s="24">
        <v>45443</v>
      </c>
      <c r="B10565" s="66">
        <v>2031.3949</v>
      </c>
      <c r="C10565" s="72">
        <v>1598.8</v>
      </c>
      <c r="E10565" s="112">
        <f t="shared" si="216"/>
        <v>165110</v>
      </c>
      <c r="F10565" s="69">
        <f t="shared" ref="F10565" si="225">+SUM(D10200:D10565)/B10199</f>
        <v>6.4407438029486425E-2</v>
      </c>
      <c r="G10565" s="69">
        <f t="shared" ref="G10565" si="226">+SUM(D10200:D10565)/C10199</f>
        <v>8.8813976741385567E-2</v>
      </c>
      <c r="J10565" s="112"/>
    </row>
    <row r="10566" spans="1:10" x14ac:dyDescent="0.3">
      <c r="A10566" s="24">
        <v>45444</v>
      </c>
      <c r="B10566" s="66">
        <f t="shared" si="195"/>
        <v>2031.3949</v>
      </c>
      <c r="C10566" s="72">
        <v>1598.8</v>
      </c>
      <c r="E10566" s="112">
        <f t="shared" si="216"/>
        <v>165110</v>
      </c>
      <c r="F10566" s="69">
        <f t="shared" ref="F10566:F10568" si="227">+SUM(D10201:D10566)/B10200</f>
        <v>6.4407438029486425E-2</v>
      </c>
      <c r="G10566" s="69">
        <f t="shared" ref="G10566:G10568" si="228">+SUM(D10201:D10566)/C10200</f>
        <v>8.9296658017088998E-2</v>
      </c>
      <c r="J10566" s="112"/>
    </row>
    <row r="10567" spans="1:10" x14ac:dyDescent="0.3">
      <c r="A10567" s="24">
        <v>45445</v>
      </c>
      <c r="B10567" s="66">
        <f t="shared" si="195"/>
        <v>2031.3949</v>
      </c>
      <c r="C10567" s="72">
        <v>1598.8</v>
      </c>
      <c r="E10567" s="112">
        <f t="shared" si="216"/>
        <v>165110</v>
      </c>
      <c r="F10567" s="69">
        <f t="shared" si="227"/>
        <v>6.4407438029486425E-2</v>
      </c>
      <c r="G10567" s="69">
        <f t="shared" si="228"/>
        <v>8.91642713831063E-2</v>
      </c>
      <c r="J10567" s="112"/>
    </row>
    <row r="10568" spans="1:10" x14ac:dyDescent="0.3">
      <c r="A10568" s="24">
        <v>45446</v>
      </c>
      <c r="B10568" s="66">
        <f t="shared" si="195"/>
        <v>2031.3949</v>
      </c>
      <c r="C10568" s="72">
        <v>1598.13</v>
      </c>
      <c r="E10568" s="112">
        <f t="shared" si="216"/>
        <v>165110</v>
      </c>
      <c r="F10568" s="69">
        <f t="shared" si="227"/>
        <v>6.4407438029486425E-2</v>
      </c>
      <c r="G10568" s="69">
        <f t="shared" si="228"/>
        <v>8.91642713831063E-2</v>
      </c>
      <c r="J10568" s="112"/>
    </row>
    <row r="10569" spans="1:10" x14ac:dyDescent="0.3">
      <c r="A10569" s="24">
        <v>45447</v>
      </c>
      <c r="B10569" s="66">
        <f t="shared" si="195"/>
        <v>2031.3949</v>
      </c>
      <c r="C10569" s="72">
        <v>1610</v>
      </c>
      <c r="E10569" s="112">
        <f t="shared" si="216"/>
        <v>165110</v>
      </c>
      <c r="F10569" s="69">
        <f t="shared" ref="F10569" si="229">+SUM(D10204:D10569)/B10203</f>
        <v>6.4407438029486425E-2</v>
      </c>
      <c r="G10569" s="69">
        <f t="shared" ref="G10569" si="230">+SUM(D10204:D10569)/C10203</f>
        <v>8.91642713831063E-2</v>
      </c>
      <c r="J10569" s="112"/>
    </row>
    <row r="10570" spans="1:10" x14ac:dyDescent="0.3">
      <c r="A10570" s="24">
        <v>45448</v>
      </c>
      <c r="B10570" s="66">
        <f t="shared" ref="B10570:B10633" si="231">+B10569</f>
        <v>2031.3949</v>
      </c>
      <c r="C10570" s="72">
        <v>1600.9</v>
      </c>
      <c r="E10570" s="112">
        <f t="shared" si="216"/>
        <v>165110</v>
      </c>
      <c r="F10570" s="69">
        <f t="shared" ref="F10570:F10571" si="232">+SUM(D10205:D10570)/B10204</f>
        <v>6.4407438029486425E-2</v>
      </c>
      <c r="G10570" s="69">
        <f t="shared" ref="G10570:G10571" si="233">+SUM(D10205:D10570)/C10204</f>
        <v>8.6497315678941505E-2</v>
      </c>
      <c r="J10570" s="112"/>
    </row>
    <row r="10571" spans="1:10" x14ac:dyDescent="0.3">
      <c r="A10571" s="24">
        <v>45449</v>
      </c>
      <c r="B10571" s="66">
        <f t="shared" si="231"/>
        <v>2031.3949</v>
      </c>
      <c r="C10571" s="72">
        <v>1598.99</v>
      </c>
      <c r="E10571" s="112">
        <f t="shared" si="216"/>
        <v>165110</v>
      </c>
      <c r="F10571" s="69">
        <f t="shared" si="232"/>
        <v>6.4407438029486425E-2</v>
      </c>
      <c r="G10571" s="69">
        <f t="shared" si="233"/>
        <v>8.5768256983903113E-2</v>
      </c>
      <c r="J10571" s="112"/>
    </row>
    <row r="10572" spans="1:10" x14ac:dyDescent="0.3">
      <c r="A10572" s="24">
        <v>45450</v>
      </c>
      <c r="B10572" s="66">
        <f t="shared" si="231"/>
        <v>2031.3949</v>
      </c>
      <c r="C10572" s="72">
        <v>1600</v>
      </c>
      <c r="E10572" s="112">
        <f t="shared" si="216"/>
        <v>165110</v>
      </c>
      <c r="F10572" s="69">
        <f t="shared" ref="F10572:F10575" si="234">+SUM(D10207:D10572)/B10206</f>
        <v>6.4407438029486425E-2</v>
      </c>
      <c r="G10572" s="69">
        <f t="shared" ref="G10572:G10575" si="235">+SUM(D10207:D10572)/C10206</f>
        <v>8.4898478612417283E-2</v>
      </c>
      <c r="J10572" s="112"/>
    </row>
    <row r="10573" spans="1:10" x14ac:dyDescent="0.3">
      <c r="A10573" s="24">
        <v>45451</v>
      </c>
      <c r="B10573" s="66">
        <f t="shared" si="231"/>
        <v>2031.3949</v>
      </c>
      <c r="C10573" s="72">
        <v>1600</v>
      </c>
      <c r="E10573" s="112">
        <f t="shared" si="216"/>
        <v>165110</v>
      </c>
      <c r="F10573" s="69">
        <f t="shared" si="234"/>
        <v>6.4407438029486425E-2</v>
      </c>
      <c r="G10573" s="69">
        <f t="shared" si="235"/>
        <v>8.3993565974769771E-2</v>
      </c>
      <c r="J10573" s="112"/>
    </row>
    <row r="10574" spans="1:10" x14ac:dyDescent="0.3">
      <c r="A10574" s="24">
        <v>45452</v>
      </c>
      <c r="B10574" s="66">
        <f t="shared" si="231"/>
        <v>2031.3949</v>
      </c>
      <c r="C10574" s="72">
        <v>1600</v>
      </c>
      <c r="E10574" s="112">
        <f t="shared" si="216"/>
        <v>165110</v>
      </c>
      <c r="F10574" s="69">
        <f t="shared" si="234"/>
        <v>6.4407438029486425E-2</v>
      </c>
      <c r="G10574" s="69">
        <f t="shared" si="235"/>
        <v>8.3004402834274377E-2</v>
      </c>
      <c r="J10574" s="112"/>
    </row>
    <row r="10575" spans="1:10" x14ac:dyDescent="0.3">
      <c r="A10575" s="24">
        <v>45453</v>
      </c>
      <c r="B10575" s="66">
        <f t="shared" si="231"/>
        <v>2031.3949</v>
      </c>
      <c r="C10575" s="72">
        <v>1599.11</v>
      </c>
      <c r="E10575" s="112">
        <f t="shared" si="216"/>
        <v>165110</v>
      </c>
      <c r="F10575" s="69">
        <f t="shared" si="234"/>
        <v>6.4407438029486425E-2</v>
      </c>
      <c r="G10575" s="69">
        <f t="shared" si="235"/>
        <v>8.3004402834274377E-2</v>
      </c>
      <c r="J10575" s="112"/>
    </row>
    <row r="10576" spans="1:10" x14ac:dyDescent="0.3">
      <c r="A10576" s="24">
        <v>45454</v>
      </c>
      <c r="B10576" s="66">
        <f t="shared" si="231"/>
        <v>2031.3949</v>
      </c>
      <c r="C10576" s="72">
        <v>1598.78</v>
      </c>
      <c r="E10576" s="112">
        <f t="shared" si="216"/>
        <v>165110</v>
      </c>
      <c r="F10576" s="69">
        <f t="shared" ref="F10576:F10578" si="236">+SUM(D10211:D10576)/B10210</f>
        <v>6.4407438029486425E-2</v>
      </c>
      <c r="G10576" s="69">
        <f t="shared" ref="G10576:G10578" si="237">+SUM(D10211:D10576)/C10210</f>
        <v>8.3004402834274377E-2</v>
      </c>
      <c r="J10576" s="112"/>
    </row>
    <row r="10577" spans="1:10" x14ac:dyDescent="0.3">
      <c r="A10577" s="24">
        <v>45455</v>
      </c>
      <c r="B10577" s="66">
        <f t="shared" si="231"/>
        <v>2031.3949</v>
      </c>
      <c r="C10577" s="72">
        <v>1599.8</v>
      </c>
      <c r="E10577" s="112">
        <f t="shared" si="216"/>
        <v>165110</v>
      </c>
      <c r="F10577" s="69">
        <f t="shared" si="236"/>
        <v>6.4407438029486425E-2</v>
      </c>
      <c r="G10577" s="69">
        <f t="shared" si="237"/>
        <v>8.0758440312450844E-2</v>
      </c>
      <c r="J10577" s="112"/>
    </row>
    <row r="10578" spans="1:10" x14ac:dyDescent="0.3">
      <c r="A10578" s="24">
        <v>45456</v>
      </c>
      <c r="B10578" s="66">
        <f t="shared" si="231"/>
        <v>2031.3949</v>
      </c>
      <c r="C10578" s="72">
        <v>1597.48</v>
      </c>
      <c r="E10578" s="112">
        <f t="shared" si="216"/>
        <v>165110</v>
      </c>
      <c r="F10578" s="69">
        <f t="shared" si="236"/>
        <v>6.4407438029486425E-2</v>
      </c>
      <c r="G10578" s="69">
        <f t="shared" si="237"/>
        <v>7.9690389913373696E-2</v>
      </c>
      <c r="J10578" s="112"/>
    </row>
    <row r="10579" spans="1:10" x14ac:dyDescent="0.3">
      <c r="A10579" s="24">
        <v>45457</v>
      </c>
      <c r="B10579" s="66">
        <f t="shared" si="231"/>
        <v>2031.3949</v>
      </c>
      <c r="C10579" s="72">
        <v>1595.56</v>
      </c>
      <c r="E10579" s="112">
        <f t="shared" si="216"/>
        <v>165110</v>
      </c>
      <c r="F10579" s="69">
        <f t="shared" ref="F10579:F10584" si="238">+SUM(D10214:D10579)/B10213</f>
        <v>6.4407438029486425E-2</v>
      </c>
      <c r="G10579" s="69">
        <f t="shared" ref="G10579:G10584" si="239">+SUM(D10214:D10579)/C10213</f>
        <v>7.9694374706823917E-2</v>
      </c>
      <c r="J10579" s="112"/>
    </row>
    <row r="10580" spans="1:10" x14ac:dyDescent="0.3">
      <c r="A10580" s="24">
        <v>45458</v>
      </c>
      <c r="B10580" s="66">
        <f t="shared" si="231"/>
        <v>2031.3949</v>
      </c>
      <c r="C10580" s="72">
        <v>1595.56</v>
      </c>
      <c r="E10580" s="112">
        <f t="shared" si="216"/>
        <v>165110</v>
      </c>
      <c r="F10580" s="69">
        <f t="shared" si="238"/>
        <v>6.4407438029486425E-2</v>
      </c>
      <c r="G10580" s="69">
        <f t="shared" si="239"/>
        <v>8.0183527856024672E-2</v>
      </c>
      <c r="J10580" s="112"/>
    </row>
    <row r="10581" spans="1:10" x14ac:dyDescent="0.3">
      <c r="A10581" s="24">
        <v>45459</v>
      </c>
      <c r="B10581" s="66">
        <f t="shared" si="231"/>
        <v>2031.3949</v>
      </c>
      <c r="C10581" s="72">
        <v>1595.56</v>
      </c>
      <c r="E10581" s="112">
        <f t="shared" si="216"/>
        <v>165110</v>
      </c>
      <c r="F10581" s="69">
        <f t="shared" si="238"/>
        <v>6.4407438029486425E-2</v>
      </c>
      <c r="G10581" s="69">
        <f t="shared" si="239"/>
        <v>8.0190083741950011E-2</v>
      </c>
      <c r="J10581" s="112"/>
    </row>
    <row r="10582" spans="1:10" x14ac:dyDescent="0.3">
      <c r="A10582" s="24">
        <v>45460</v>
      </c>
      <c r="B10582" s="66">
        <f t="shared" si="231"/>
        <v>2031.3949</v>
      </c>
      <c r="C10582" s="72">
        <v>1593.99</v>
      </c>
      <c r="E10582" s="112">
        <f t="shared" si="216"/>
        <v>165110</v>
      </c>
      <c r="F10582" s="69">
        <f t="shared" si="238"/>
        <v>6.4407438029486425E-2</v>
      </c>
      <c r="G10582" s="69">
        <f t="shared" si="239"/>
        <v>8.0190083741950011E-2</v>
      </c>
      <c r="J10582" s="112"/>
    </row>
    <row r="10583" spans="1:10" x14ac:dyDescent="0.3">
      <c r="A10583" s="24">
        <v>45461</v>
      </c>
      <c r="B10583" s="66">
        <f t="shared" si="231"/>
        <v>2031.3949</v>
      </c>
      <c r="C10583" s="72">
        <v>1588.52</v>
      </c>
      <c r="E10583" s="112">
        <f t="shared" si="216"/>
        <v>165110</v>
      </c>
      <c r="F10583" s="69">
        <f t="shared" si="238"/>
        <v>6.4407438029486425E-2</v>
      </c>
      <c r="G10583" s="69">
        <f t="shared" si="239"/>
        <v>8.0190083741950011E-2</v>
      </c>
      <c r="J10583" s="112"/>
    </row>
    <row r="10584" spans="1:10" x14ac:dyDescent="0.3">
      <c r="A10584" s="24">
        <v>45462</v>
      </c>
      <c r="B10584" s="66">
        <f t="shared" si="231"/>
        <v>2031.3949</v>
      </c>
      <c r="C10584" s="72">
        <v>1584.73</v>
      </c>
      <c r="E10584" s="112">
        <f t="shared" si="216"/>
        <v>165110</v>
      </c>
      <c r="F10584" s="69">
        <f t="shared" si="238"/>
        <v>6.4407438029486425E-2</v>
      </c>
      <c r="G10584" s="69">
        <f t="shared" si="239"/>
        <v>7.9630417130982262E-2</v>
      </c>
      <c r="J10584" s="112"/>
    </row>
    <row r="10585" spans="1:10" x14ac:dyDescent="0.3">
      <c r="A10585" s="24">
        <v>45463</v>
      </c>
      <c r="B10585" s="66">
        <f t="shared" si="231"/>
        <v>2031.3949</v>
      </c>
      <c r="C10585" s="72">
        <v>1584.73</v>
      </c>
      <c r="E10585" s="112">
        <f t="shared" si="216"/>
        <v>165110</v>
      </c>
      <c r="F10585" s="69">
        <f t="shared" ref="F10585:F10588" si="240">+SUM(D10220:D10585)/B10219</f>
        <v>6.4407438029486425E-2</v>
      </c>
      <c r="G10585" s="69">
        <f t="shared" ref="G10585:G10589" si="241">+SUM(D10220:D10585)/C10219</f>
        <v>7.7986833086451018E-2</v>
      </c>
      <c r="J10585" s="112"/>
    </row>
    <row r="10586" spans="1:10" x14ac:dyDescent="0.3">
      <c r="A10586" s="24">
        <v>45464</v>
      </c>
      <c r="B10586" s="66">
        <f t="shared" si="231"/>
        <v>2031.3949</v>
      </c>
      <c r="C10586" s="72">
        <v>1588.01</v>
      </c>
      <c r="E10586" s="112">
        <f t="shared" si="216"/>
        <v>165110</v>
      </c>
      <c r="F10586" s="69">
        <f t="shared" si="240"/>
        <v>6.4407438029486425E-2</v>
      </c>
      <c r="G10586" s="69">
        <f t="shared" si="241"/>
        <v>7.7986833086451018E-2</v>
      </c>
      <c r="J10586" s="112"/>
    </row>
    <row r="10587" spans="1:10" x14ac:dyDescent="0.3">
      <c r="A10587" s="24">
        <v>45465</v>
      </c>
      <c r="B10587" s="66">
        <f t="shared" si="231"/>
        <v>2031.3949</v>
      </c>
      <c r="C10587" s="72">
        <v>1588.01</v>
      </c>
      <c r="E10587" s="112">
        <f t="shared" si="216"/>
        <v>165110</v>
      </c>
      <c r="F10587" s="69">
        <f t="shared" si="240"/>
        <v>6.4407438029486425E-2</v>
      </c>
      <c r="G10587" s="69">
        <f t="shared" si="241"/>
        <v>7.7983017216942216E-2</v>
      </c>
      <c r="J10587" s="112"/>
    </row>
    <row r="10588" spans="1:10" x14ac:dyDescent="0.3">
      <c r="A10588" s="24">
        <v>45466</v>
      </c>
      <c r="B10588" s="66">
        <f t="shared" si="231"/>
        <v>2031.3949</v>
      </c>
      <c r="C10588" s="72">
        <v>1588.01</v>
      </c>
      <c r="D10588" s="87">
        <v>14.945647942166</v>
      </c>
      <c r="E10588" s="112">
        <f t="shared" si="216"/>
        <v>165110</v>
      </c>
      <c r="F10588" s="69">
        <f t="shared" si="240"/>
        <v>6.3874834692676838E-2</v>
      </c>
      <c r="G10588" s="69">
        <f t="shared" si="241"/>
        <v>7.803305342491329E-2</v>
      </c>
      <c r="J10588" s="112"/>
    </row>
    <row r="10589" spans="1:10" x14ac:dyDescent="0.3">
      <c r="A10589" s="24">
        <v>45467</v>
      </c>
      <c r="B10589" s="66">
        <f t="shared" si="231"/>
        <v>2031.3949</v>
      </c>
      <c r="C10589" s="72">
        <v>1584.84</v>
      </c>
      <c r="E10589" s="112">
        <f t="shared" si="216"/>
        <v>165110</v>
      </c>
      <c r="F10589" s="69">
        <f>+SUM(D10224:D10589)/B10223</f>
        <v>6.3874834692676838E-2</v>
      </c>
      <c r="G10589" s="69">
        <f t="shared" si="241"/>
        <v>7.803305342491329E-2</v>
      </c>
      <c r="J10589" s="112"/>
    </row>
    <row r="10590" spans="1:10" x14ac:dyDescent="0.3">
      <c r="A10590" s="24">
        <v>45468</v>
      </c>
      <c r="B10590" s="66">
        <f t="shared" si="231"/>
        <v>2031.3949</v>
      </c>
      <c r="C10590" s="72">
        <v>1586.1</v>
      </c>
      <c r="E10590" s="112">
        <f t="shared" si="216"/>
        <v>165110</v>
      </c>
      <c r="F10590" s="69">
        <f t="shared" ref="F10590:F10603" si="242">+SUM(D10225:D10590)/B10224</f>
        <v>6.3874834692676838E-2</v>
      </c>
      <c r="G10590" s="69">
        <f t="shared" ref="G10590:G10603" si="243">+SUM(D10225:D10590)/C10224</f>
        <v>7.803305342491329E-2</v>
      </c>
      <c r="J10590" s="112"/>
    </row>
    <row r="10591" spans="1:10" x14ac:dyDescent="0.3">
      <c r="A10591" s="24">
        <v>45469</v>
      </c>
      <c r="B10591" s="66">
        <f t="shared" si="231"/>
        <v>2031.3949</v>
      </c>
      <c r="C10591" s="72">
        <v>1577.19</v>
      </c>
      <c r="E10591" s="112">
        <f t="shared" si="216"/>
        <v>165110</v>
      </c>
      <c r="F10591" s="69">
        <f t="shared" si="242"/>
        <v>6.3874834692676838E-2</v>
      </c>
      <c r="G10591" s="69">
        <f t="shared" si="243"/>
        <v>7.803305342491329E-2</v>
      </c>
      <c r="J10591" s="112"/>
    </row>
    <row r="10592" spans="1:10" x14ac:dyDescent="0.3">
      <c r="A10592" s="24">
        <v>45470</v>
      </c>
      <c r="B10592" s="66">
        <f t="shared" si="231"/>
        <v>2031.3949</v>
      </c>
      <c r="C10592" s="72">
        <v>1586.03</v>
      </c>
      <c r="E10592" s="112">
        <f t="shared" si="216"/>
        <v>165110</v>
      </c>
      <c r="F10592" s="69">
        <f t="shared" si="242"/>
        <v>6.3874834692676838E-2</v>
      </c>
      <c r="G10592" s="69">
        <f t="shared" si="243"/>
        <v>7.6787724137598684E-2</v>
      </c>
      <c r="J10592" s="112"/>
    </row>
    <row r="10593" spans="1:10" x14ac:dyDescent="0.3">
      <c r="A10593" s="24">
        <v>45471</v>
      </c>
      <c r="B10593" s="66">
        <f t="shared" si="231"/>
        <v>2031.3949</v>
      </c>
      <c r="C10593" s="72">
        <v>1578.79</v>
      </c>
      <c r="E10593" s="112">
        <f t="shared" si="216"/>
        <v>165110</v>
      </c>
      <c r="F10593" s="69">
        <f t="shared" si="242"/>
        <v>6.3874834692676838E-2</v>
      </c>
      <c r="G10593" s="69">
        <f t="shared" si="243"/>
        <v>7.5717294066985935E-2</v>
      </c>
      <c r="J10593" s="112"/>
    </row>
    <row r="10594" spans="1:10" x14ac:dyDescent="0.3">
      <c r="A10594" s="24">
        <v>45472</v>
      </c>
      <c r="B10594" s="66">
        <f t="shared" si="231"/>
        <v>2031.3949</v>
      </c>
      <c r="C10594" s="72">
        <v>1578.79</v>
      </c>
      <c r="E10594" s="112">
        <f t="shared" si="216"/>
        <v>165110</v>
      </c>
      <c r="F10594" s="69">
        <f t="shared" si="242"/>
        <v>6.3874834692676838E-2</v>
      </c>
      <c r="G10594" s="69">
        <f t="shared" si="243"/>
        <v>7.8985496340724909E-2</v>
      </c>
      <c r="J10594" s="112"/>
    </row>
    <row r="10595" spans="1:10" x14ac:dyDescent="0.3">
      <c r="A10595" s="24">
        <v>45473</v>
      </c>
      <c r="B10595" s="66">
        <v>2021.9222</v>
      </c>
      <c r="C10595" s="72">
        <v>1578.79</v>
      </c>
      <c r="E10595" s="112">
        <f t="shared" si="216"/>
        <v>165110</v>
      </c>
      <c r="F10595" s="69">
        <f t="shared" si="242"/>
        <v>6.3950313790086574E-2</v>
      </c>
      <c r="G10595" s="69">
        <f t="shared" si="243"/>
        <v>7.8796000057246615E-2</v>
      </c>
      <c r="J10595" s="112"/>
    </row>
    <row r="10596" spans="1:10" x14ac:dyDescent="0.3">
      <c r="A10596" s="24">
        <v>45474</v>
      </c>
      <c r="B10596" s="66">
        <f t="shared" si="231"/>
        <v>2021.9222</v>
      </c>
      <c r="C10596" s="72">
        <v>1574.34</v>
      </c>
      <c r="E10596" s="112">
        <f t="shared" si="216"/>
        <v>165110</v>
      </c>
      <c r="F10596" s="69">
        <f t="shared" si="242"/>
        <v>6.3950313790086574E-2</v>
      </c>
      <c r="G10596" s="69">
        <f t="shared" si="243"/>
        <v>7.8796000057246615E-2</v>
      </c>
      <c r="J10596" s="112"/>
    </row>
    <row r="10597" spans="1:10" x14ac:dyDescent="0.3">
      <c r="A10597" s="24">
        <v>45475</v>
      </c>
      <c r="B10597" s="66">
        <f t="shared" si="231"/>
        <v>2021.9222</v>
      </c>
      <c r="C10597" s="72">
        <v>1575.66</v>
      </c>
      <c r="E10597" s="112">
        <f t="shared" si="216"/>
        <v>165110</v>
      </c>
      <c r="F10597" s="69">
        <f t="shared" si="242"/>
        <v>6.3950313790086574E-2</v>
      </c>
      <c r="G10597" s="69">
        <f t="shared" si="243"/>
        <v>7.8796000057246615E-2</v>
      </c>
      <c r="J10597" s="112"/>
    </row>
    <row r="10598" spans="1:10" x14ac:dyDescent="0.3">
      <c r="A10598" s="24">
        <v>45476</v>
      </c>
      <c r="B10598" s="66">
        <f t="shared" si="231"/>
        <v>2021.9222</v>
      </c>
      <c r="C10598" s="72">
        <v>1576.72</v>
      </c>
      <c r="E10598" s="112">
        <f t="shared" si="216"/>
        <v>165110</v>
      </c>
      <c r="F10598" s="69">
        <f t="shared" si="242"/>
        <v>6.3950313790086574E-2</v>
      </c>
      <c r="G10598" s="69">
        <f t="shared" si="243"/>
        <v>7.8065330937025945E-2</v>
      </c>
      <c r="J10598" s="112"/>
    </row>
    <row r="10599" spans="1:10" x14ac:dyDescent="0.3">
      <c r="A10599" s="24">
        <v>45477</v>
      </c>
      <c r="B10599" s="66">
        <f t="shared" si="231"/>
        <v>2021.9222</v>
      </c>
      <c r="C10599" s="72">
        <v>1572.43</v>
      </c>
      <c r="E10599" s="112">
        <f t="shared" si="216"/>
        <v>165110</v>
      </c>
      <c r="F10599" s="69">
        <f t="shared" si="242"/>
        <v>6.3950313790086574E-2</v>
      </c>
      <c r="G10599" s="69">
        <f t="shared" si="243"/>
        <v>7.867001038490562E-2</v>
      </c>
      <c r="J10599" s="112"/>
    </row>
    <row r="10600" spans="1:10" x14ac:dyDescent="0.3">
      <c r="A10600" s="24">
        <v>45478</v>
      </c>
      <c r="B10600" s="66">
        <f t="shared" si="231"/>
        <v>2021.9222</v>
      </c>
      <c r="C10600" s="72">
        <v>1570.92</v>
      </c>
      <c r="E10600" s="112">
        <f t="shared" ref="E10600:E10611" si="244">+E10599</f>
        <v>165110</v>
      </c>
      <c r="F10600" s="69">
        <f t="shared" si="242"/>
        <v>6.3950313790086574E-2</v>
      </c>
      <c r="G10600" s="69">
        <f t="shared" si="243"/>
        <v>7.8112590942535171E-2</v>
      </c>
      <c r="J10600" s="112"/>
    </row>
    <row r="10601" spans="1:10" x14ac:dyDescent="0.3">
      <c r="A10601" s="24">
        <v>45479</v>
      </c>
      <c r="B10601" s="66">
        <f t="shared" si="231"/>
        <v>2021.9222</v>
      </c>
      <c r="C10601" s="72">
        <v>1570.92</v>
      </c>
      <c r="E10601" s="112">
        <f t="shared" si="244"/>
        <v>165110</v>
      </c>
      <c r="F10601" s="69">
        <f t="shared" si="242"/>
        <v>6.3950313790086574E-2</v>
      </c>
      <c r="G10601" s="69">
        <f t="shared" si="243"/>
        <v>7.9053147544507762E-2</v>
      </c>
      <c r="J10601" s="112"/>
    </row>
    <row r="10602" spans="1:10" x14ac:dyDescent="0.3">
      <c r="A10602" s="24">
        <v>45480</v>
      </c>
      <c r="B10602" s="66">
        <f t="shared" si="231"/>
        <v>2021.9222</v>
      </c>
      <c r="C10602" s="72">
        <v>1570.92</v>
      </c>
      <c r="E10602" s="112">
        <f t="shared" si="244"/>
        <v>165110</v>
      </c>
      <c r="F10602" s="69">
        <f t="shared" si="242"/>
        <v>6.3950313790086574E-2</v>
      </c>
      <c r="G10602" s="69">
        <f t="shared" si="243"/>
        <v>7.9065010780950615E-2</v>
      </c>
      <c r="J10602" s="112"/>
    </row>
    <row r="10603" spans="1:10" x14ac:dyDescent="0.3">
      <c r="A10603" s="24">
        <v>45481</v>
      </c>
      <c r="B10603" s="66">
        <f t="shared" si="231"/>
        <v>2021.9222</v>
      </c>
      <c r="C10603" s="72">
        <v>1570.92</v>
      </c>
      <c r="E10603" s="112">
        <f t="shared" si="244"/>
        <v>165110</v>
      </c>
      <c r="F10603" s="69">
        <f t="shared" si="242"/>
        <v>6.3950313790086574E-2</v>
      </c>
      <c r="G10603" s="69">
        <f t="shared" si="243"/>
        <v>7.9065010780950615E-2</v>
      </c>
      <c r="J10603" s="112"/>
    </row>
    <row r="10604" spans="1:10" x14ac:dyDescent="0.3">
      <c r="A10604" s="24">
        <v>45482</v>
      </c>
      <c r="B10604" s="66">
        <f t="shared" si="231"/>
        <v>2021.9222</v>
      </c>
      <c r="C10604" s="72">
        <v>1570.92</v>
      </c>
      <c r="E10604" s="112">
        <f t="shared" si="244"/>
        <v>165110</v>
      </c>
      <c r="F10604" s="69">
        <f t="shared" ref="F10604:F10607" si="245">+SUM(D10239:D10604)/B10238</f>
        <v>6.3950313790086574E-2</v>
      </c>
      <c r="G10604" s="69">
        <f t="shared" ref="G10604:G10607" si="246">+SUM(D10239:D10604)/C10238</f>
        <v>7.9065010780950615E-2</v>
      </c>
      <c r="J10604" s="112"/>
    </row>
    <row r="10605" spans="1:10" x14ac:dyDescent="0.3">
      <c r="A10605" s="24">
        <v>45483</v>
      </c>
      <c r="B10605" s="66">
        <f t="shared" si="231"/>
        <v>2021.9222</v>
      </c>
      <c r="C10605" s="72">
        <v>1570.92</v>
      </c>
      <c r="E10605" s="112">
        <f t="shared" si="244"/>
        <v>165110</v>
      </c>
      <c r="F10605" s="69">
        <f t="shared" si="245"/>
        <v>6.3950313790086574E-2</v>
      </c>
      <c r="G10605" s="69">
        <f t="shared" si="246"/>
        <v>7.9042770132563112E-2</v>
      </c>
      <c r="J10605" s="112"/>
    </row>
    <row r="10606" spans="1:10" x14ac:dyDescent="0.3">
      <c r="A10606" s="24">
        <v>45484</v>
      </c>
      <c r="B10606" s="66">
        <f t="shared" si="231"/>
        <v>2021.9222</v>
      </c>
      <c r="C10606" s="72">
        <v>1570.92</v>
      </c>
      <c r="E10606" s="112">
        <f t="shared" si="244"/>
        <v>165110</v>
      </c>
      <c r="F10606" s="69">
        <f t="shared" si="245"/>
        <v>6.3950313790086574E-2</v>
      </c>
      <c r="G10606" s="69">
        <f t="shared" si="246"/>
        <v>7.7927735276598173E-2</v>
      </c>
      <c r="J10606" s="112"/>
    </row>
    <row r="10607" spans="1:10" x14ac:dyDescent="0.3">
      <c r="A10607" s="24">
        <v>45485</v>
      </c>
      <c r="B10607" s="66">
        <f t="shared" si="231"/>
        <v>2021.9222</v>
      </c>
      <c r="C10607" s="72">
        <v>1570.92</v>
      </c>
      <c r="E10607" s="112">
        <f t="shared" si="244"/>
        <v>165110</v>
      </c>
      <c r="F10607" s="69">
        <f t="shared" si="245"/>
        <v>6.3950313790086574E-2</v>
      </c>
      <c r="G10607" s="69">
        <f t="shared" si="246"/>
        <v>7.9029925682416569E-2</v>
      </c>
      <c r="J10607" s="112"/>
    </row>
    <row r="10608" spans="1:10" x14ac:dyDescent="0.3">
      <c r="A10608" s="24">
        <v>45486</v>
      </c>
      <c r="B10608" s="66">
        <f t="shared" si="231"/>
        <v>2021.9222</v>
      </c>
      <c r="C10608" s="72">
        <v>1570.92</v>
      </c>
      <c r="E10608" s="112">
        <f t="shared" si="244"/>
        <v>165110</v>
      </c>
      <c r="F10608" s="69">
        <f t="shared" ref="F10608:F10613" si="247">+SUM(D10243:D10608)/B10242</f>
        <v>6.3950313790086574E-2</v>
      </c>
      <c r="G10608" s="69">
        <f t="shared" ref="G10608:G10613" si="248">+SUM(D10243:D10608)/C10242</f>
        <v>7.8541983609244137E-2</v>
      </c>
      <c r="J10608" s="112"/>
    </row>
    <row r="10609" spans="1:10" x14ac:dyDescent="0.3">
      <c r="A10609" s="24">
        <v>45487</v>
      </c>
      <c r="B10609" s="66">
        <f t="shared" si="231"/>
        <v>2021.9222</v>
      </c>
      <c r="C10609" s="72">
        <v>1570.92</v>
      </c>
      <c r="E10609" s="112">
        <f t="shared" si="244"/>
        <v>165110</v>
      </c>
      <c r="F10609" s="69">
        <f t="shared" si="247"/>
        <v>6.3950313790086574E-2</v>
      </c>
      <c r="G10609" s="69">
        <f t="shared" si="248"/>
        <v>7.7956080671171185E-2</v>
      </c>
      <c r="J10609" s="112"/>
    </row>
    <row r="10610" spans="1:10" x14ac:dyDescent="0.3">
      <c r="A10610" s="24">
        <v>45488</v>
      </c>
      <c r="B10610" s="66">
        <f t="shared" si="231"/>
        <v>2021.9222</v>
      </c>
      <c r="C10610" s="72">
        <v>1574.21</v>
      </c>
      <c r="E10610" s="112">
        <f t="shared" si="244"/>
        <v>165110</v>
      </c>
      <c r="F10610" s="69">
        <f t="shared" si="247"/>
        <v>6.3950313790086574E-2</v>
      </c>
      <c r="G10610" s="69">
        <f t="shared" si="248"/>
        <v>7.7956080671171185E-2</v>
      </c>
      <c r="J10610" s="112"/>
    </row>
    <row r="10611" spans="1:10" x14ac:dyDescent="0.3">
      <c r="A10611" s="24">
        <v>45489</v>
      </c>
      <c r="B10611" s="66">
        <f t="shared" si="231"/>
        <v>2021.9222</v>
      </c>
      <c r="C10611" s="72">
        <v>1574.21</v>
      </c>
      <c r="E10611" s="112">
        <f t="shared" si="244"/>
        <v>165110</v>
      </c>
      <c r="F10611" s="69">
        <f t="shared" si="247"/>
        <v>6.3950313790086574E-2</v>
      </c>
      <c r="G10611" s="69">
        <f t="shared" si="248"/>
        <v>7.7956080671171185E-2</v>
      </c>
      <c r="J10611" s="112"/>
    </row>
    <row r="10612" spans="1:10" x14ac:dyDescent="0.3">
      <c r="A10612" s="24">
        <v>45490</v>
      </c>
      <c r="B10612" s="66">
        <f t="shared" si="231"/>
        <v>2021.9222</v>
      </c>
      <c r="C10612" s="72">
        <v>1550.15</v>
      </c>
      <c r="E10612" s="112">
        <v>165645</v>
      </c>
      <c r="F10612" s="69">
        <f t="shared" si="247"/>
        <v>6.3950313790086574E-2</v>
      </c>
      <c r="G10612" s="69">
        <f t="shared" si="248"/>
        <v>7.8665116206011187E-2</v>
      </c>
      <c r="I10612" s="112"/>
      <c r="J10612" s="112"/>
    </row>
    <row r="10613" spans="1:10" x14ac:dyDescent="0.3">
      <c r="A10613" s="24">
        <v>45491</v>
      </c>
      <c r="B10613" s="66">
        <f t="shared" si="231"/>
        <v>2021.9222</v>
      </c>
      <c r="C10613" s="72">
        <v>1573.09</v>
      </c>
      <c r="E10613" s="112">
        <f>+E10612</f>
        <v>165645</v>
      </c>
      <c r="F10613" s="69">
        <f t="shared" si="247"/>
        <v>6.3950313790086574E-2</v>
      </c>
      <c r="G10613" s="69">
        <f t="shared" si="248"/>
        <v>7.9031901479953565E-2</v>
      </c>
      <c r="I10613" s="112"/>
      <c r="J10613" s="112"/>
    </row>
    <row r="10614" spans="1:10" x14ac:dyDescent="0.3">
      <c r="A10614" s="24">
        <v>45492</v>
      </c>
      <c r="B10614" s="66">
        <f t="shared" si="231"/>
        <v>2021.9222</v>
      </c>
      <c r="C10614" s="72">
        <v>1569.64</v>
      </c>
      <c r="E10614" s="112">
        <f t="shared" ref="E10614:E10616" si="249">+E10613</f>
        <v>165645</v>
      </c>
      <c r="F10614" s="69">
        <f t="shared" ref="F10614:F10620" si="250">+SUM(D10249:D10614)/B10248</f>
        <v>6.3950313790086574E-2</v>
      </c>
      <c r="G10614" s="69">
        <f t="shared" ref="G10614:G10620" si="251">+SUM(D10249:D10614)/C10248</f>
        <v>7.9003755688344807E-2</v>
      </c>
      <c r="I10614" s="112"/>
      <c r="J10614" s="112"/>
    </row>
    <row r="10615" spans="1:10" x14ac:dyDescent="0.3">
      <c r="A10615" s="24">
        <v>45493</v>
      </c>
      <c r="B10615" s="66">
        <f t="shared" si="231"/>
        <v>2021.9222</v>
      </c>
      <c r="C10615" s="72">
        <v>1569.64</v>
      </c>
      <c r="E10615" s="112">
        <f t="shared" si="249"/>
        <v>165645</v>
      </c>
      <c r="F10615" s="69">
        <f t="shared" si="250"/>
        <v>6.3950313790086574E-2</v>
      </c>
      <c r="G10615" s="69">
        <f t="shared" si="251"/>
        <v>7.8573218847863363E-2</v>
      </c>
      <c r="I10615" s="112"/>
      <c r="J10615" s="112"/>
    </row>
    <row r="10616" spans="1:10" x14ac:dyDescent="0.3">
      <c r="A10616" s="24">
        <v>45494</v>
      </c>
      <c r="B10616" s="66">
        <f t="shared" si="231"/>
        <v>2021.9222</v>
      </c>
      <c r="C10616" s="72">
        <v>1569.64</v>
      </c>
      <c r="E10616" s="112">
        <f t="shared" si="249"/>
        <v>165645</v>
      </c>
      <c r="F10616" s="69">
        <f t="shared" si="250"/>
        <v>6.3950313790086574E-2</v>
      </c>
      <c r="G10616" s="69">
        <f t="shared" si="251"/>
        <v>7.8583961699770374E-2</v>
      </c>
      <c r="I10616" s="112"/>
      <c r="J10616" s="112"/>
    </row>
    <row r="10617" spans="1:10" x14ac:dyDescent="0.3">
      <c r="A10617" s="24">
        <v>45495</v>
      </c>
      <c r="B10617" s="66">
        <f t="shared" si="231"/>
        <v>2021.9222</v>
      </c>
      <c r="C10617" s="72">
        <v>1573.47</v>
      </c>
      <c r="E10617" s="112">
        <v>166348</v>
      </c>
      <c r="F10617" s="69">
        <f t="shared" si="250"/>
        <v>6.3950313790086574E-2</v>
      </c>
      <c r="G10617" s="69">
        <f t="shared" si="251"/>
        <v>7.8583961699770374E-2</v>
      </c>
      <c r="I10617" s="112"/>
      <c r="J10617" s="112"/>
    </row>
    <row r="10618" spans="1:10" x14ac:dyDescent="0.3">
      <c r="A10618" s="24">
        <v>45496</v>
      </c>
      <c r="B10618" s="66">
        <f t="shared" si="231"/>
        <v>2021.9222</v>
      </c>
      <c r="C10618" s="72">
        <v>1563.61</v>
      </c>
      <c r="E10618" s="112">
        <f>+E10617</f>
        <v>166348</v>
      </c>
      <c r="F10618" s="69">
        <f t="shared" si="250"/>
        <v>6.3950313790086574E-2</v>
      </c>
      <c r="G10618" s="69">
        <f t="shared" si="251"/>
        <v>7.8583961699770374E-2</v>
      </c>
      <c r="I10618" s="112"/>
      <c r="J10618" s="112"/>
    </row>
    <row r="10619" spans="1:10" x14ac:dyDescent="0.3">
      <c r="A10619" s="24">
        <v>45497</v>
      </c>
      <c r="B10619" s="66">
        <f t="shared" si="231"/>
        <v>2021.9222</v>
      </c>
      <c r="C10619" s="72">
        <v>1555.06</v>
      </c>
      <c r="E10619" s="112">
        <f t="shared" ref="E10619:E10637" si="252">+E10618</f>
        <v>166348</v>
      </c>
      <c r="F10619" s="69">
        <f t="shared" si="250"/>
        <v>6.3950313790086574E-2</v>
      </c>
      <c r="G10619" s="69">
        <f t="shared" si="251"/>
        <v>7.8075453266236827E-2</v>
      </c>
      <c r="I10619" s="112"/>
      <c r="J10619" s="112"/>
    </row>
    <row r="10620" spans="1:10" x14ac:dyDescent="0.3">
      <c r="A10620" s="24">
        <v>45498</v>
      </c>
      <c r="B10620" s="66">
        <f t="shared" si="231"/>
        <v>2021.9222</v>
      </c>
      <c r="C10620" s="72">
        <v>1548.99</v>
      </c>
      <c r="E10620" s="112">
        <f t="shared" si="252"/>
        <v>166348</v>
      </c>
      <c r="F10620" s="69">
        <f t="shared" si="250"/>
        <v>6.3950313790086574E-2</v>
      </c>
      <c r="G10620" s="69">
        <f t="shared" si="251"/>
        <v>7.8600081486785711E-2</v>
      </c>
      <c r="I10620" s="112"/>
      <c r="J10620" s="112"/>
    </row>
    <row r="10621" spans="1:10" x14ac:dyDescent="0.3">
      <c r="A10621" s="24">
        <v>45499</v>
      </c>
      <c r="B10621" s="66">
        <f t="shared" si="231"/>
        <v>2021.9222</v>
      </c>
      <c r="C10621" s="72">
        <v>1480.28</v>
      </c>
      <c r="E10621" s="112">
        <f t="shared" si="252"/>
        <v>166348</v>
      </c>
      <c r="F10621" s="69">
        <f t="shared" ref="F10621:F10640" si="253">+SUM(D10256:D10621)/B10255</f>
        <v>6.3950313790086574E-2</v>
      </c>
      <c r="G10621" s="69">
        <f t="shared" ref="G10621:G10640" si="254">+SUM(D10256:D10621)/C10255</f>
        <v>7.8556133999233682E-2</v>
      </c>
      <c r="I10621" s="112"/>
      <c r="J10621" s="112"/>
    </row>
    <row r="10622" spans="1:10" x14ac:dyDescent="0.3">
      <c r="A10622" s="24">
        <v>45500</v>
      </c>
      <c r="B10622" s="66">
        <f t="shared" si="231"/>
        <v>2021.9222</v>
      </c>
      <c r="C10622" s="72">
        <v>1480.28</v>
      </c>
      <c r="E10622" s="112">
        <f t="shared" si="252"/>
        <v>166348</v>
      </c>
      <c r="F10622" s="69">
        <f t="shared" si="253"/>
        <v>6.3950313790086574E-2</v>
      </c>
      <c r="G10622" s="69">
        <f t="shared" si="254"/>
        <v>7.842653155526326E-2</v>
      </c>
      <c r="I10622" s="112"/>
      <c r="J10622" s="112"/>
    </row>
    <row r="10623" spans="1:10" x14ac:dyDescent="0.3">
      <c r="A10623" s="24">
        <v>45501</v>
      </c>
      <c r="B10623" s="66">
        <f t="shared" si="231"/>
        <v>2021.9222</v>
      </c>
      <c r="C10623" s="72">
        <v>1480.28</v>
      </c>
      <c r="E10623" s="112">
        <f t="shared" si="252"/>
        <v>166348</v>
      </c>
      <c r="F10623" s="69">
        <f t="shared" si="253"/>
        <v>6.3950313790086574E-2</v>
      </c>
      <c r="G10623" s="69">
        <f t="shared" si="254"/>
        <v>7.8588845785445754E-2</v>
      </c>
      <c r="I10623" s="112"/>
      <c r="J10623" s="112"/>
    </row>
    <row r="10624" spans="1:10" x14ac:dyDescent="0.3">
      <c r="A10624" s="24">
        <v>45502</v>
      </c>
      <c r="B10624" s="66">
        <f t="shared" si="231"/>
        <v>2021.9222</v>
      </c>
      <c r="C10624" s="72">
        <v>1536.17</v>
      </c>
      <c r="E10624" s="112">
        <f t="shared" si="252"/>
        <v>166348</v>
      </c>
      <c r="F10624" s="69">
        <f t="shared" si="253"/>
        <v>6.3950313790086574E-2</v>
      </c>
      <c r="G10624" s="69">
        <f t="shared" si="254"/>
        <v>7.8588845785445754E-2</v>
      </c>
      <c r="I10624" s="112"/>
      <c r="J10624" s="112"/>
    </row>
    <row r="10625" spans="1:10" x14ac:dyDescent="0.3">
      <c r="A10625" s="24">
        <v>45503</v>
      </c>
      <c r="B10625" s="66">
        <f t="shared" si="231"/>
        <v>2021.9222</v>
      </c>
      <c r="C10625" s="72">
        <v>1528.96</v>
      </c>
      <c r="E10625" s="112">
        <f t="shared" si="252"/>
        <v>166348</v>
      </c>
      <c r="F10625" s="69">
        <f t="shared" si="253"/>
        <v>6.3950313790086574E-2</v>
      </c>
      <c r="G10625" s="69">
        <f t="shared" si="254"/>
        <v>7.8588845785445754E-2</v>
      </c>
      <c r="I10625" s="112"/>
      <c r="J10625" s="112"/>
    </row>
    <row r="10626" spans="1:10" x14ac:dyDescent="0.3">
      <c r="A10626" s="24">
        <v>45504</v>
      </c>
      <c r="B10626" s="66">
        <v>2132.4421000000002</v>
      </c>
      <c r="C10626" s="72">
        <v>1523.42</v>
      </c>
      <c r="E10626" s="112">
        <f t="shared" si="252"/>
        <v>166348</v>
      </c>
      <c r="F10626" s="69">
        <f t="shared" si="253"/>
        <v>6.3570504687814569E-2</v>
      </c>
      <c r="G10626" s="69">
        <f t="shared" si="254"/>
        <v>7.8151212981456317E-2</v>
      </c>
      <c r="I10626" s="112"/>
      <c r="J10626" s="112"/>
    </row>
    <row r="10627" spans="1:10" x14ac:dyDescent="0.3">
      <c r="A10627" s="24">
        <v>45505</v>
      </c>
      <c r="B10627" s="66">
        <f t="shared" si="231"/>
        <v>2132.4421000000002</v>
      </c>
      <c r="C10627" s="72">
        <v>1516.35</v>
      </c>
      <c r="E10627" s="112">
        <f t="shared" si="252"/>
        <v>166348</v>
      </c>
      <c r="F10627" s="69">
        <f t="shared" si="253"/>
        <v>6.3570504687814569E-2</v>
      </c>
      <c r="G10627" s="69">
        <f t="shared" si="254"/>
        <v>7.8200027886471388E-2</v>
      </c>
      <c r="I10627" s="112"/>
      <c r="J10627" s="112"/>
    </row>
    <row r="10628" spans="1:10" x14ac:dyDescent="0.3">
      <c r="A10628" s="24">
        <v>45506</v>
      </c>
      <c r="B10628" s="66">
        <f t="shared" si="231"/>
        <v>2132.4421000000002</v>
      </c>
      <c r="C10628" s="72">
        <v>1498.94</v>
      </c>
      <c r="E10628" s="112">
        <f t="shared" si="252"/>
        <v>166348</v>
      </c>
      <c r="F10628" s="69">
        <f t="shared" si="253"/>
        <v>6.3570504687814569E-2</v>
      </c>
      <c r="G10628" s="69">
        <f t="shared" si="254"/>
        <v>7.8126104313143888E-2</v>
      </c>
      <c r="I10628" s="112"/>
      <c r="J10628" s="112"/>
    </row>
    <row r="10629" spans="1:10" x14ac:dyDescent="0.3">
      <c r="A10629" s="24">
        <v>45507</v>
      </c>
      <c r="B10629" s="66">
        <f t="shared" si="231"/>
        <v>2132.4421000000002</v>
      </c>
      <c r="C10629" s="72">
        <v>1498.94</v>
      </c>
      <c r="E10629" s="112">
        <f t="shared" si="252"/>
        <v>166348</v>
      </c>
      <c r="F10629" s="69">
        <f t="shared" si="253"/>
        <v>6.3570504687814569E-2</v>
      </c>
      <c r="G10629" s="69">
        <f t="shared" si="254"/>
        <v>7.886086769729049E-2</v>
      </c>
      <c r="I10629" s="112"/>
      <c r="J10629" s="112"/>
    </row>
    <row r="10630" spans="1:10" x14ac:dyDescent="0.3">
      <c r="A10630" s="24">
        <v>45508</v>
      </c>
      <c r="B10630" s="66">
        <f t="shared" si="231"/>
        <v>2132.4421000000002</v>
      </c>
      <c r="C10630" s="72">
        <v>1498.94</v>
      </c>
      <c r="E10630" s="112">
        <f t="shared" si="252"/>
        <v>166348</v>
      </c>
      <c r="F10630" s="69">
        <f t="shared" si="253"/>
        <v>6.3570504687814569E-2</v>
      </c>
      <c r="G10630" s="69">
        <f t="shared" si="254"/>
        <v>7.8052802165309604E-2</v>
      </c>
      <c r="I10630" s="112"/>
      <c r="J10630" s="112"/>
    </row>
    <row r="10631" spans="1:10" x14ac:dyDescent="0.3">
      <c r="A10631" s="24">
        <v>45509</v>
      </c>
      <c r="B10631" s="66">
        <f t="shared" si="231"/>
        <v>2132.4421000000002</v>
      </c>
      <c r="C10631" s="72">
        <v>1503.85</v>
      </c>
      <c r="E10631" s="112">
        <f t="shared" si="252"/>
        <v>166348</v>
      </c>
      <c r="F10631" s="69">
        <f t="shared" si="253"/>
        <v>6.3570504687814569E-2</v>
      </c>
      <c r="G10631" s="69">
        <f t="shared" si="254"/>
        <v>7.8052802165309604E-2</v>
      </c>
      <c r="I10631" s="112"/>
      <c r="J10631" s="112"/>
    </row>
    <row r="10632" spans="1:10" x14ac:dyDescent="0.3">
      <c r="A10632" s="24">
        <v>45510</v>
      </c>
      <c r="B10632" s="66">
        <f t="shared" si="231"/>
        <v>2132.4421000000002</v>
      </c>
      <c r="C10632" s="72">
        <v>1517.64</v>
      </c>
      <c r="E10632" s="112">
        <f t="shared" si="252"/>
        <v>166348</v>
      </c>
      <c r="F10632" s="69">
        <f t="shared" si="253"/>
        <v>6.3570504687814569E-2</v>
      </c>
      <c r="G10632" s="69">
        <f t="shared" si="254"/>
        <v>7.8052802165309604E-2</v>
      </c>
      <c r="I10632" s="112"/>
      <c r="J10632" s="112"/>
    </row>
    <row r="10633" spans="1:10" x14ac:dyDescent="0.3">
      <c r="A10633" s="24">
        <v>45511</v>
      </c>
      <c r="B10633" s="66">
        <f t="shared" si="231"/>
        <v>2132.4421000000002</v>
      </c>
      <c r="C10633" s="72">
        <v>1502.31</v>
      </c>
      <c r="E10633" s="112">
        <f t="shared" si="252"/>
        <v>166348</v>
      </c>
      <c r="F10633" s="69">
        <f t="shared" si="253"/>
        <v>6.3570504687814569E-2</v>
      </c>
      <c r="G10633" s="69">
        <f t="shared" si="254"/>
        <v>7.7479844542537424E-2</v>
      </c>
      <c r="I10633" s="112"/>
      <c r="J10633" s="112"/>
    </row>
    <row r="10634" spans="1:10" x14ac:dyDescent="0.3">
      <c r="A10634" s="24">
        <v>45512</v>
      </c>
      <c r="B10634" s="66">
        <f t="shared" ref="B10634:B10640" si="255">+B10633</f>
        <v>2132.4421000000002</v>
      </c>
      <c r="C10634" s="72">
        <v>1482.93</v>
      </c>
      <c r="E10634" s="112">
        <f t="shared" si="252"/>
        <v>166348</v>
      </c>
      <c r="F10634" s="69">
        <f t="shared" si="253"/>
        <v>6.3570504687814569E-2</v>
      </c>
      <c r="G10634" s="69">
        <f t="shared" si="254"/>
        <v>7.5738609723614736E-2</v>
      </c>
      <c r="I10634" s="112"/>
      <c r="J10634" s="112"/>
    </row>
    <row r="10635" spans="1:10" x14ac:dyDescent="0.3">
      <c r="A10635" s="24">
        <v>45513</v>
      </c>
      <c r="B10635" s="66">
        <f t="shared" si="255"/>
        <v>2132.4421000000002</v>
      </c>
      <c r="C10635" s="72">
        <v>1513.6</v>
      </c>
      <c r="E10635" s="112">
        <f t="shared" si="252"/>
        <v>166348</v>
      </c>
      <c r="F10635" s="69">
        <f t="shared" si="253"/>
        <v>6.3570504687814569E-2</v>
      </c>
      <c r="G10635" s="69">
        <f t="shared" si="254"/>
        <v>7.594148059352851E-2</v>
      </c>
      <c r="I10635" s="112"/>
      <c r="J10635" s="112"/>
    </row>
    <row r="10636" spans="1:10" x14ac:dyDescent="0.3">
      <c r="A10636" s="24">
        <v>45514</v>
      </c>
      <c r="B10636" s="66">
        <f t="shared" si="255"/>
        <v>2132.4421000000002</v>
      </c>
      <c r="C10636" s="72">
        <v>1513.6</v>
      </c>
      <c r="E10636" s="112">
        <f t="shared" si="252"/>
        <v>166348</v>
      </c>
      <c r="F10636" s="69">
        <f t="shared" si="253"/>
        <v>6.3570504687814569E-2</v>
      </c>
      <c r="G10636" s="69">
        <f t="shared" si="254"/>
        <v>7.6893254376431477E-2</v>
      </c>
      <c r="I10636" s="112"/>
      <c r="J10636" s="112"/>
    </row>
    <row r="10637" spans="1:10" x14ac:dyDescent="0.3">
      <c r="A10637" s="24">
        <v>45515</v>
      </c>
      <c r="B10637" s="66">
        <f t="shared" si="255"/>
        <v>2132.4421000000002</v>
      </c>
      <c r="C10637" s="72">
        <v>1513.6</v>
      </c>
      <c r="E10637" s="112">
        <f t="shared" si="252"/>
        <v>166348</v>
      </c>
      <c r="F10637" s="69">
        <f t="shared" si="253"/>
        <v>6.3570504687814569E-2</v>
      </c>
      <c r="G10637" s="69">
        <f t="shared" si="254"/>
        <v>7.6635079449616061E-2</v>
      </c>
      <c r="I10637" s="112"/>
      <c r="J10637" s="112"/>
    </row>
    <row r="10638" spans="1:10" x14ac:dyDescent="0.3">
      <c r="A10638" s="24">
        <v>45516</v>
      </c>
      <c r="B10638" s="66">
        <f t="shared" si="255"/>
        <v>2132.4421000000002</v>
      </c>
      <c r="C10638" s="72">
        <v>1515.04</v>
      </c>
      <c r="E10638" s="112">
        <v>195384</v>
      </c>
      <c r="F10638" s="69">
        <f t="shared" si="253"/>
        <v>6.3570504687814569E-2</v>
      </c>
      <c r="G10638" s="69">
        <f t="shared" si="254"/>
        <v>7.6635079449616061E-2</v>
      </c>
      <c r="I10638" s="112"/>
      <c r="J10638" s="112"/>
    </row>
    <row r="10639" spans="1:10" x14ac:dyDescent="0.3">
      <c r="A10639" s="24">
        <v>45517</v>
      </c>
      <c r="B10639" s="66">
        <f t="shared" si="255"/>
        <v>2132.4421000000002</v>
      </c>
      <c r="C10639" s="72">
        <v>1518.77</v>
      </c>
      <c r="E10639" s="112">
        <f>+E10638</f>
        <v>195384</v>
      </c>
      <c r="F10639" s="69">
        <f t="shared" si="253"/>
        <v>6.3570504687814569E-2</v>
      </c>
      <c r="G10639" s="69">
        <f t="shared" si="254"/>
        <v>7.6635079449616061E-2</v>
      </c>
      <c r="I10639" s="112"/>
      <c r="J10639" s="112"/>
    </row>
    <row r="10640" spans="1:10" x14ac:dyDescent="0.3">
      <c r="A10640" s="24">
        <v>45518</v>
      </c>
      <c r="B10640" s="66">
        <f t="shared" si="255"/>
        <v>2132.4421000000002</v>
      </c>
      <c r="C10640" s="72">
        <v>1520.04</v>
      </c>
      <c r="E10640" s="112">
        <f t="shared" ref="E10640:E10703" si="256">+E10639</f>
        <v>195384</v>
      </c>
      <c r="F10640" s="69">
        <f t="shared" si="253"/>
        <v>6.3570504687814569E-2</v>
      </c>
      <c r="G10640" s="69">
        <f t="shared" si="254"/>
        <v>7.7999359149651781E-2</v>
      </c>
      <c r="I10640" s="112"/>
      <c r="J10640" s="112"/>
    </row>
    <row r="10641" spans="1:10" x14ac:dyDescent="0.3">
      <c r="A10641" s="24">
        <v>45519</v>
      </c>
      <c r="B10641" s="66">
        <f>+B10640</f>
        <v>2132.4421000000002</v>
      </c>
      <c r="C10641" s="72">
        <v>1520.04</v>
      </c>
      <c r="E10641" s="112">
        <f t="shared" si="256"/>
        <v>195384</v>
      </c>
      <c r="F10641" s="69">
        <f t="shared" ref="F10641:F10646" si="257">+SUM(D10276:D10641)/B10275</f>
        <v>6.3570504687814569E-2</v>
      </c>
      <c r="G10641" s="69">
        <f t="shared" ref="G10641:G10646" si="258">+SUM(D10276:D10641)/C10275</f>
        <v>7.7999359149651781E-2</v>
      </c>
      <c r="I10641" s="112"/>
      <c r="J10641" s="112"/>
    </row>
    <row r="10642" spans="1:10" x14ac:dyDescent="0.3">
      <c r="A10642" s="24">
        <v>45520</v>
      </c>
      <c r="B10642" s="66">
        <f t="shared" ref="B10642:B10705" si="259">+B10641</f>
        <v>2132.4421000000002</v>
      </c>
      <c r="C10642" s="72">
        <v>1520.14</v>
      </c>
      <c r="E10642" s="112">
        <f t="shared" si="256"/>
        <v>195384</v>
      </c>
      <c r="F10642" s="69">
        <f t="shared" si="257"/>
        <v>6.3570504687814569E-2</v>
      </c>
      <c r="G10642" s="69">
        <f t="shared" si="258"/>
        <v>7.9029925682416569E-2</v>
      </c>
      <c r="I10642" s="112"/>
      <c r="J10642" s="112"/>
    </row>
    <row r="10643" spans="1:10" x14ac:dyDescent="0.3">
      <c r="A10643" s="24">
        <v>45521</v>
      </c>
      <c r="B10643" s="66">
        <f t="shared" si="259"/>
        <v>2132.4421000000002</v>
      </c>
      <c r="C10643" s="72">
        <v>1520.14</v>
      </c>
      <c r="E10643" s="112">
        <f t="shared" si="256"/>
        <v>195384</v>
      </c>
      <c r="F10643" s="69">
        <f t="shared" si="257"/>
        <v>6.3570504687814569E-2</v>
      </c>
      <c r="G10643" s="69">
        <f t="shared" si="258"/>
        <v>7.8303174345522197E-2</v>
      </c>
      <c r="I10643" s="112"/>
      <c r="J10643" s="112"/>
    </row>
    <row r="10644" spans="1:10" x14ac:dyDescent="0.3">
      <c r="A10644" s="24">
        <v>45522</v>
      </c>
      <c r="B10644" s="66">
        <f t="shared" si="259"/>
        <v>2132.4421000000002</v>
      </c>
      <c r="C10644" s="72">
        <v>1520.14</v>
      </c>
      <c r="E10644" s="112">
        <f t="shared" si="256"/>
        <v>195384</v>
      </c>
      <c r="F10644" s="69">
        <f t="shared" si="257"/>
        <v>6.3570504687814569E-2</v>
      </c>
      <c r="G10644" s="69">
        <f t="shared" si="258"/>
        <v>7.8895310558775661E-2</v>
      </c>
      <c r="I10644" s="112"/>
      <c r="J10644" s="112"/>
    </row>
    <row r="10645" spans="1:10" x14ac:dyDescent="0.3">
      <c r="A10645" s="24">
        <v>45523</v>
      </c>
      <c r="B10645" s="66">
        <f t="shared" si="259"/>
        <v>2132.4421000000002</v>
      </c>
      <c r="C10645" s="72">
        <v>1530.45</v>
      </c>
      <c r="E10645" s="112">
        <f t="shared" si="256"/>
        <v>195384</v>
      </c>
      <c r="F10645" s="69">
        <f t="shared" si="257"/>
        <v>6.3570504687814569E-2</v>
      </c>
      <c r="G10645" s="69">
        <f t="shared" si="258"/>
        <v>7.8895310558775661E-2</v>
      </c>
      <c r="I10645" s="112"/>
      <c r="J10645" s="112"/>
    </row>
    <row r="10646" spans="1:10" x14ac:dyDescent="0.3">
      <c r="A10646" s="24">
        <v>45524</v>
      </c>
      <c r="B10646" s="66">
        <f t="shared" si="259"/>
        <v>2132.4421000000002</v>
      </c>
      <c r="C10646" s="72">
        <v>1530.15</v>
      </c>
      <c r="E10646" s="112">
        <f t="shared" si="256"/>
        <v>195384</v>
      </c>
      <c r="F10646" s="69">
        <f t="shared" si="257"/>
        <v>6.3570504687814569E-2</v>
      </c>
      <c r="G10646" s="69">
        <f t="shared" si="258"/>
        <v>7.8895310558775661E-2</v>
      </c>
      <c r="I10646" s="112"/>
      <c r="J10646" s="112"/>
    </row>
    <row r="10647" spans="1:10" x14ac:dyDescent="0.3">
      <c r="A10647" s="24">
        <v>45525</v>
      </c>
      <c r="B10647" s="66">
        <f t="shared" si="259"/>
        <v>2132.4421000000002</v>
      </c>
      <c r="C10647" s="72">
        <v>1526.69</v>
      </c>
      <c r="E10647" s="112">
        <f t="shared" si="256"/>
        <v>195384</v>
      </c>
      <c r="F10647" s="69">
        <f t="shared" ref="F10647:F10655" si="260">+SUM(D10282:D10647)/B10281</f>
        <v>6.3570504687814569E-2</v>
      </c>
      <c r="G10647" s="69">
        <f t="shared" ref="G10647:G10655" si="261">+SUM(D10282:D10647)/C10281</f>
        <v>7.8968231751360821E-2</v>
      </c>
      <c r="I10647" s="112"/>
      <c r="J10647" s="112"/>
    </row>
    <row r="10648" spans="1:10" x14ac:dyDescent="0.3">
      <c r="A10648" s="24">
        <v>45526</v>
      </c>
      <c r="B10648" s="66">
        <f t="shared" si="259"/>
        <v>2132.4421000000002</v>
      </c>
      <c r="C10648" s="72">
        <v>1519.9</v>
      </c>
      <c r="E10648" s="112">
        <f t="shared" si="256"/>
        <v>195384</v>
      </c>
      <c r="F10648" s="69">
        <f t="shared" si="260"/>
        <v>6.3570504687814569E-2</v>
      </c>
      <c r="G10648" s="69">
        <f t="shared" si="261"/>
        <v>7.994580480875689E-2</v>
      </c>
      <c r="I10648" s="112"/>
      <c r="J10648" s="112"/>
    </row>
    <row r="10649" spans="1:10" x14ac:dyDescent="0.3">
      <c r="A10649" s="24">
        <v>45527</v>
      </c>
      <c r="B10649" s="66">
        <f t="shared" si="259"/>
        <v>2132.4421000000002</v>
      </c>
      <c r="C10649" s="72">
        <v>1519.2</v>
      </c>
      <c r="E10649" s="112">
        <f t="shared" si="256"/>
        <v>195384</v>
      </c>
      <c r="F10649" s="69">
        <f t="shared" si="260"/>
        <v>6.3570504687814569E-2</v>
      </c>
      <c r="G10649" s="69">
        <f t="shared" si="261"/>
        <v>7.9292582361488992E-2</v>
      </c>
      <c r="I10649" s="112"/>
      <c r="J10649" s="112"/>
    </row>
    <row r="10650" spans="1:10" x14ac:dyDescent="0.3">
      <c r="A10650" s="24">
        <v>45528</v>
      </c>
      <c r="B10650" s="66">
        <f t="shared" si="259"/>
        <v>2132.4421000000002</v>
      </c>
      <c r="C10650" s="72">
        <v>1519.2</v>
      </c>
      <c r="E10650" s="112">
        <f t="shared" si="256"/>
        <v>195384</v>
      </c>
      <c r="F10650" s="69">
        <f t="shared" si="260"/>
        <v>6.3570504687814569E-2</v>
      </c>
      <c r="G10650" s="69">
        <f t="shared" si="261"/>
        <v>7.8544910857869216E-2</v>
      </c>
      <c r="I10650" s="112"/>
      <c r="J10650" s="112"/>
    </row>
    <row r="10651" spans="1:10" x14ac:dyDescent="0.3">
      <c r="A10651" s="24">
        <v>45529</v>
      </c>
      <c r="B10651" s="66">
        <f t="shared" si="259"/>
        <v>2132.4421000000002</v>
      </c>
      <c r="C10651" s="72">
        <v>1519.2</v>
      </c>
      <c r="E10651" s="112">
        <f t="shared" si="256"/>
        <v>195384</v>
      </c>
      <c r="F10651" s="69">
        <f t="shared" si="260"/>
        <v>6.3570504687814569E-2</v>
      </c>
      <c r="G10651" s="69">
        <f t="shared" si="261"/>
        <v>7.8853490996312323E-2</v>
      </c>
      <c r="I10651" s="112"/>
      <c r="J10651" s="112"/>
    </row>
    <row r="10652" spans="1:10" x14ac:dyDescent="0.3">
      <c r="A10652" s="24">
        <v>45530</v>
      </c>
      <c r="B10652" s="66">
        <f t="shared" si="259"/>
        <v>2132.4421000000002</v>
      </c>
      <c r="C10652" s="72">
        <v>1514.12</v>
      </c>
      <c r="E10652" s="112">
        <f t="shared" si="256"/>
        <v>195384</v>
      </c>
      <c r="F10652" s="69">
        <f t="shared" si="260"/>
        <v>6.3570504687814569E-2</v>
      </c>
      <c r="G10652" s="69">
        <f t="shared" si="261"/>
        <v>7.8853490996312323E-2</v>
      </c>
      <c r="I10652" s="112"/>
      <c r="J10652" s="112"/>
    </row>
    <row r="10653" spans="1:10" x14ac:dyDescent="0.3">
      <c r="A10653" s="24">
        <v>45531</v>
      </c>
      <c r="B10653" s="66">
        <f t="shared" si="259"/>
        <v>2132.4421000000002</v>
      </c>
      <c r="C10653" s="72">
        <v>1495.73</v>
      </c>
      <c r="E10653" s="112">
        <f t="shared" si="256"/>
        <v>195384</v>
      </c>
      <c r="F10653" s="69">
        <f t="shared" si="260"/>
        <v>6.3570504687814569E-2</v>
      </c>
      <c r="G10653" s="69">
        <f t="shared" si="261"/>
        <v>7.8853490996312323E-2</v>
      </c>
      <c r="I10653" s="112"/>
      <c r="J10653" s="112"/>
    </row>
    <row r="10654" spans="1:10" x14ac:dyDescent="0.3">
      <c r="A10654" s="24">
        <v>45532</v>
      </c>
      <c r="B10654" s="66">
        <f t="shared" si="259"/>
        <v>2132.4421000000002</v>
      </c>
      <c r="C10654" s="72">
        <v>1489.11</v>
      </c>
      <c r="E10654" s="112">
        <f t="shared" si="256"/>
        <v>195384</v>
      </c>
      <c r="F10654" s="69">
        <f t="shared" si="260"/>
        <v>6.3570504687814569E-2</v>
      </c>
      <c r="G10654" s="69">
        <f t="shared" si="261"/>
        <v>7.9426063172489361E-2</v>
      </c>
      <c r="I10654" s="112"/>
      <c r="J10654" s="112"/>
    </row>
    <row r="10655" spans="1:10" x14ac:dyDescent="0.3">
      <c r="A10655" s="24">
        <v>45533</v>
      </c>
      <c r="B10655" s="66">
        <f t="shared" si="259"/>
        <v>2132.4421000000002</v>
      </c>
      <c r="C10655" s="72">
        <v>1509.62</v>
      </c>
      <c r="E10655" s="112">
        <f t="shared" si="256"/>
        <v>195384</v>
      </c>
      <c r="F10655" s="69">
        <f t="shared" si="260"/>
        <v>6.3570504687814569E-2</v>
      </c>
      <c r="G10655" s="69">
        <f t="shared" si="261"/>
        <v>7.9309989081360124E-2</v>
      </c>
      <c r="I10655" s="112"/>
      <c r="J10655" s="112"/>
    </row>
    <row r="10656" spans="1:10" x14ac:dyDescent="0.3">
      <c r="A10656" s="24">
        <v>45534</v>
      </c>
      <c r="B10656" s="66">
        <v>2008.2832000000001</v>
      </c>
      <c r="C10656" s="72">
        <v>1508.96</v>
      </c>
      <c r="E10656" s="112">
        <f t="shared" si="256"/>
        <v>195384</v>
      </c>
      <c r="F10656" s="69">
        <f t="shared" ref="F10656:F10662" si="262">+SUM(D10291:D10656)/B10290</f>
        <v>6.3570504687814569E-2</v>
      </c>
      <c r="G10656" s="69">
        <f t="shared" ref="G10656:G10662" si="263">+SUM(D10291:D10656)/C10290</f>
        <v>7.9073416061250262E-2</v>
      </c>
      <c r="I10656" s="112"/>
      <c r="J10656" s="112"/>
    </row>
    <row r="10657" spans="1:10" x14ac:dyDescent="0.3">
      <c r="A10657" s="24">
        <v>45535</v>
      </c>
      <c r="B10657" s="66">
        <f t="shared" si="259"/>
        <v>2008.2832000000001</v>
      </c>
      <c r="C10657" s="72">
        <v>1508.96</v>
      </c>
      <c r="E10657" s="112">
        <f t="shared" si="256"/>
        <v>195384</v>
      </c>
      <c r="F10657" s="69">
        <f t="shared" si="262"/>
        <v>6.2952642983364296E-2</v>
      </c>
      <c r="G10657" s="69">
        <f t="shared" si="263"/>
        <v>7.8779799817994434E-2</v>
      </c>
      <c r="I10657" s="112"/>
      <c r="J10657" s="112"/>
    </row>
    <row r="10658" spans="1:10" x14ac:dyDescent="0.3">
      <c r="A10658" s="24">
        <v>45536</v>
      </c>
      <c r="B10658" s="66">
        <f t="shared" si="259"/>
        <v>2008.2832000000001</v>
      </c>
      <c r="C10658" s="72">
        <v>1508.96</v>
      </c>
      <c r="E10658" s="112">
        <f t="shared" si="256"/>
        <v>195384</v>
      </c>
      <c r="F10658" s="69">
        <f t="shared" si="262"/>
        <v>6.2952642983364296E-2</v>
      </c>
      <c r="G10658" s="69">
        <f t="shared" si="263"/>
        <v>7.9020541993054888E-2</v>
      </c>
      <c r="I10658" s="112"/>
      <c r="J10658" s="112"/>
    </row>
    <row r="10659" spans="1:10" x14ac:dyDescent="0.3">
      <c r="A10659" s="24">
        <v>45537</v>
      </c>
      <c r="B10659" s="66">
        <f t="shared" si="259"/>
        <v>2008.2832000000001</v>
      </c>
      <c r="C10659" s="72">
        <v>1510.52</v>
      </c>
      <c r="E10659" s="112">
        <f t="shared" si="256"/>
        <v>195384</v>
      </c>
      <c r="F10659" s="69">
        <f t="shared" si="262"/>
        <v>6.2952642983364296E-2</v>
      </c>
      <c r="G10659" s="69">
        <f t="shared" si="263"/>
        <v>7.9020541993054888E-2</v>
      </c>
      <c r="I10659" s="112"/>
      <c r="J10659" s="112"/>
    </row>
    <row r="10660" spans="1:10" x14ac:dyDescent="0.3">
      <c r="A10660" s="24">
        <v>45538</v>
      </c>
      <c r="B10660" s="66">
        <f t="shared" si="259"/>
        <v>2008.2832000000001</v>
      </c>
      <c r="C10660" s="72">
        <v>1508.36</v>
      </c>
      <c r="E10660" s="112">
        <f t="shared" si="256"/>
        <v>195384</v>
      </c>
      <c r="F10660" s="69">
        <f t="shared" si="262"/>
        <v>6.2952642983364296E-2</v>
      </c>
      <c r="G10660" s="69">
        <f t="shared" si="263"/>
        <v>7.9020541993054888E-2</v>
      </c>
      <c r="I10660" s="112"/>
      <c r="J10660" s="112"/>
    </row>
    <row r="10661" spans="1:10" x14ac:dyDescent="0.3">
      <c r="A10661" s="24">
        <v>45539</v>
      </c>
      <c r="B10661" s="66">
        <f t="shared" si="259"/>
        <v>2008.2832000000001</v>
      </c>
      <c r="C10661" s="72">
        <v>1508.64</v>
      </c>
      <c r="E10661" s="112">
        <f t="shared" si="256"/>
        <v>195384</v>
      </c>
      <c r="F10661" s="69">
        <f t="shared" si="262"/>
        <v>6.2952642983364296E-2</v>
      </c>
      <c r="G10661" s="69">
        <f t="shared" si="263"/>
        <v>7.9557991853343127E-2</v>
      </c>
      <c r="I10661" s="112"/>
      <c r="J10661" s="112"/>
    </row>
    <row r="10662" spans="1:10" x14ac:dyDescent="0.3">
      <c r="A10662" s="24">
        <v>45540</v>
      </c>
      <c r="B10662" s="66">
        <f t="shared" si="259"/>
        <v>2008.2832000000001</v>
      </c>
      <c r="C10662" s="72">
        <v>1507.92</v>
      </c>
      <c r="E10662" s="112">
        <f t="shared" si="256"/>
        <v>195384</v>
      </c>
      <c r="F10662" s="69">
        <f t="shared" si="262"/>
        <v>6.2952642983364296E-2</v>
      </c>
      <c r="G10662" s="69">
        <f t="shared" si="263"/>
        <v>8.0369586222767325E-2</v>
      </c>
      <c r="I10662" s="112"/>
      <c r="J10662" s="112"/>
    </row>
    <row r="10663" spans="1:10" x14ac:dyDescent="0.3">
      <c r="A10663" s="24">
        <v>45541</v>
      </c>
      <c r="B10663" s="66">
        <f t="shared" si="259"/>
        <v>2008.2832000000001</v>
      </c>
      <c r="C10663" s="72">
        <v>1506</v>
      </c>
      <c r="E10663" s="112">
        <f t="shared" si="256"/>
        <v>195384</v>
      </c>
      <c r="F10663" s="69">
        <f t="shared" ref="F10663:F10669" si="264">+SUM(D10298:D10663)/B10297</f>
        <v>6.2952642983364296E-2</v>
      </c>
      <c r="G10663" s="69">
        <f t="shared" ref="G10663:G10669" si="265">+SUM(D10298:D10663)/C10297</f>
        <v>7.889186491880866E-2</v>
      </c>
      <c r="I10663" s="112"/>
      <c r="J10663" s="112"/>
    </row>
    <row r="10664" spans="1:10" x14ac:dyDescent="0.3">
      <c r="A10664" s="24">
        <v>45542</v>
      </c>
      <c r="B10664" s="66">
        <f t="shared" si="259"/>
        <v>2008.2832000000001</v>
      </c>
      <c r="C10664" s="72">
        <v>1506</v>
      </c>
      <c r="E10664" s="112">
        <f t="shared" si="256"/>
        <v>195384</v>
      </c>
      <c r="F10664" s="69">
        <f t="shared" si="264"/>
        <v>6.2952642983364296E-2</v>
      </c>
      <c r="G10664" s="69">
        <f t="shared" si="265"/>
        <v>8.3985043233173823E-2</v>
      </c>
      <c r="I10664" s="112"/>
      <c r="J10664" s="112"/>
    </row>
    <row r="10665" spans="1:10" x14ac:dyDescent="0.3">
      <c r="A10665" s="24">
        <v>45543</v>
      </c>
      <c r="B10665" s="66">
        <f t="shared" si="259"/>
        <v>2008.2832000000001</v>
      </c>
      <c r="C10665" s="72">
        <v>1506</v>
      </c>
      <c r="E10665" s="112">
        <f t="shared" si="256"/>
        <v>195384</v>
      </c>
      <c r="F10665" s="69">
        <f t="shared" si="264"/>
        <v>6.2952642983364296E-2</v>
      </c>
      <c r="G10665" s="69">
        <f t="shared" si="265"/>
        <v>8.4219982077971559E-2</v>
      </c>
      <c r="I10665" s="112"/>
      <c r="J10665" s="112"/>
    </row>
    <row r="10666" spans="1:10" x14ac:dyDescent="0.3">
      <c r="A10666" s="24">
        <v>45544</v>
      </c>
      <c r="B10666" s="66">
        <f t="shared" si="259"/>
        <v>2008.2832000000001</v>
      </c>
      <c r="C10666" s="72">
        <v>1505.94</v>
      </c>
      <c r="E10666" s="112">
        <f t="shared" si="256"/>
        <v>195384</v>
      </c>
      <c r="F10666" s="69">
        <f t="shared" si="264"/>
        <v>6.2952642983364296E-2</v>
      </c>
      <c r="G10666" s="69">
        <f t="shared" si="265"/>
        <v>8.4219982077971559E-2</v>
      </c>
      <c r="I10666" s="112"/>
      <c r="J10666" s="112"/>
    </row>
    <row r="10667" spans="1:10" x14ac:dyDescent="0.3">
      <c r="A10667" s="24">
        <v>45545</v>
      </c>
      <c r="B10667" s="66">
        <f t="shared" si="259"/>
        <v>2008.2832000000001</v>
      </c>
      <c r="C10667" s="72">
        <v>1504.29</v>
      </c>
      <c r="E10667" s="112">
        <f t="shared" si="256"/>
        <v>195384</v>
      </c>
      <c r="F10667" s="69">
        <f t="shared" si="264"/>
        <v>6.2952642983364296E-2</v>
      </c>
      <c r="G10667" s="69">
        <f t="shared" si="265"/>
        <v>8.4219982077971559E-2</v>
      </c>
      <c r="I10667" s="112"/>
      <c r="J10667" s="112"/>
    </row>
    <row r="10668" spans="1:10" x14ac:dyDescent="0.3">
      <c r="A10668" s="24">
        <v>45546</v>
      </c>
      <c r="B10668" s="66">
        <f t="shared" si="259"/>
        <v>2008.2832000000001</v>
      </c>
      <c r="C10668" s="72">
        <v>1504.35</v>
      </c>
      <c r="E10668" s="112">
        <f t="shared" si="256"/>
        <v>195384</v>
      </c>
      <c r="F10668" s="69">
        <f t="shared" si="264"/>
        <v>6.2952642983364296E-2</v>
      </c>
      <c r="G10668" s="69">
        <f t="shared" si="265"/>
        <v>8.4303083559034153E-2</v>
      </c>
      <c r="I10668" s="112"/>
      <c r="J10668" s="112"/>
    </row>
    <row r="10669" spans="1:10" x14ac:dyDescent="0.3">
      <c r="A10669" s="24">
        <v>45547</v>
      </c>
      <c r="B10669" s="66">
        <f t="shared" si="259"/>
        <v>2008.2832000000001</v>
      </c>
      <c r="C10669" s="72">
        <v>1498.51</v>
      </c>
      <c r="E10669" s="112">
        <f t="shared" si="256"/>
        <v>195384</v>
      </c>
      <c r="F10669" s="69">
        <f t="shared" si="264"/>
        <v>6.2952642983364296E-2</v>
      </c>
      <c r="G10669" s="69">
        <f t="shared" si="265"/>
        <v>8.6503267334715112E-2</v>
      </c>
      <c r="I10669" s="112"/>
      <c r="J10669" s="112"/>
    </row>
    <row r="10670" spans="1:10" x14ac:dyDescent="0.3">
      <c r="A10670" s="24">
        <v>45548</v>
      </c>
      <c r="B10670" s="66">
        <f t="shared" si="259"/>
        <v>2008.2832000000001</v>
      </c>
      <c r="C10670" s="72">
        <v>1500</v>
      </c>
      <c r="E10670" s="112">
        <f t="shared" si="256"/>
        <v>195384</v>
      </c>
      <c r="F10670" s="69">
        <f t="shared" ref="F10670:F10683" si="266">+SUM(D10305:D10670)/B10304</f>
        <v>6.2952642983364296E-2</v>
      </c>
      <c r="G10670" s="69">
        <f t="shared" ref="G10670:G10683" si="267">+SUM(D10305:D10670)/C10304</f>
        <v>8.4804588103595799E-2</v>
      </c>
      <c r="I10670" s="112"/>
      <c r="J10670" s="112"/>
    </row>
    <row r="10671" spans="1:10" x14ac:dyDescent="0.3">
      <c r="A10671" s="24">
        <v>45549</v>
      </c>
      <c r="B10671" s="66">
        <f t="shared" si="259"/>
        <v>2008.2832000000001</v>
      </c>
      <c r="C10671" s="72">
        <v>1500</v>
      </c>
      <c r="E10671" s="112">
        <f t="shared" si="256"/>
        <v>195384</v>
      </c>
      <c r="F10671" s="69">
        <f t="shared" si="266"/>
        <v>6.2952642983364296E-2</v>
      </c>
      <c r="G10671" s="69">
        <f t="shared" si="267"/>
        <v>8.4004013321198001E-2</v>
      </c>
      <c r="I10671" s="112"/>
      <c r="J10671" s="112"/>
    </row>
    <row r="10672" spans="1:10" x14ac:dyDescent="0.3">
      <c r="A10672" s="24">
        <v>45550</v>
      </c>
      <c r="B10672" s="66">
        <f t="shared" si="259"/>
        <v>2008.2832000000001</v>
      </c>
      <c r="C10672" s="72">
        <v>1500</v>
      </c>
      <c r="E10672" s="112">
        <f t="shared" si="256"/>
        <v>195384</v>
      </c>
      <c r="F10672" s="69">
        <f t="shared" si="266"/>
        <v>6.2952642983364296E-2</v>
      </c>
      <c r="G10672" s="69">
        <f t="shared" si="267"/>
        <v>7.9094189711557211E-2</v>
      </c>
      <c r="I10672" s="112"/>
      <c r="J10672" s="112"/>
    </row>
    <row r="10673" spans="1:10" x14ac:dyDescent="0.3">
      <c r="A10673" s="24">
        <v>45551</v>
      </c>
      <c r="B10673" s="66">
        <f t="shared" si="259"/>
        <v>2008.2832000000001</v>
      </c>
      <c r="C10673" s="72">
        <v>1499.8</v>
      </c>
      <c r="E10673" s="112">
        <f t="shared" si="256"/>
        <v>195384</v>
      </c>
      <c r="F10673" s="69">
        <f t="shared" si="266"/>
        <v>6.2952642983364296E-2</v>
      </c>
      <c r="G10673" s="69">
        <f t="shared" si="267"/>
        <v>7.9094189711557211E-2</v>
      </c>
      <c r="I10673" s="112"/>
      <c r="J10673" s="112"/>
    </row>
    <row r="10674" spans="1:10" x14ac:dyDescent="0.3">
      <c r="A10674" s="24">
        <v>45552</v>
      </c>
      <c r="B10674" s="66">
        <f t="shared" si="259"/>
        <v>2008.2832000000001</v>
      </c>
      <c r="C10674" s="72">
        <v>1514.89</v>
      </c>
      <c r="E10674" s="112">
        <f t="shared" si="256"/>
        <v>195384</v>
      </c>
      <c r="F10674" s="69">
        <f t="shared" si="266"/>
        <v>6.2952642983364296E-2</v>
      </c>
      <c r="G10674" s="69">
        <f t="shared" si="267"/>
        <v>7.9094189711557211E-2</v>
      </c>
      <c r="I10674" s="112"/>
      <c r="J10674" s="112"/>
    </row>
    <row r="10675" spans="1:10" x14ac:dyDescent="0.3">
      <c r="A10675" s="24">
        <v>45553</v>
      </c>
      <c r="B10675" s="66">
        <f t="shared" si="259"/>
        <v>2008.2832000000001</v>
      </c>
      <c r="C10675" s="72">
        <v>1514.89</v>
      </c>
      <c r="E10675" s="112">
        <f t="shared" si="256"/>
        <v>195384</v>
      </c>
      <c r="F10675" s="69">
        <f t="shared" si="266"/>
        <v>6.2952642983364296E-2</v>
      </c>
      <c r="G10675" s="69">
        <f t="shared" si="267"/>
        <v>7.9094189711557211E-2</v>
      </c>
      <c r="I10675" s="112"/>
      <c r="J10675" s="112"/>
    </row>
    <row r="10676" spans="1:10" x14ac:dyDescent="0.3">
      <c r="A10676" s="24">
        <v>45554</v>
      </c>
      <c r="B10676" s="66">
        <f t="shared" si="259"/>
        <v>2008.2832000000001</v>
      </c>
      <c r="C10676" s="72">
        <v>1514.89</v>
      </c>
      <c r="E10676" s="112">
        <f t="shared" si="256"/>
        <v>195384</v>
      </c>
      <c r="F10676" s="69">
        <f t="shared" si="266"/>
        <v>6.2952642983364296E-2</v>
      </c>
      <c r="G10676" s="69">
        <f t="shared" si="267"/>
        <v>7.9094189711557211E-2</v>
      </c>
      <c r="I10676" s="112"/>
      <c r="J10676" s="112"/>
    </row>
    <row r="10677" spans="1:10" x14ac:dyDescent="0.3">
      <c r="A10677" s="24">
        <v>45555</v>
      </c>
      <c r="B10677" s="66">
        <f t="shared" si="259"/>
        <v>2008.2832000000001</v>
      </c>
      <c r="C10677" s="72">
        <v>1514.89</v>
      </c>
      <c r="E10677" s="112">
        <f t="shared" si="256"/>
        <v>195384</v>
      </c>
      <c r="F10677" s="69">
        <f t="shared" si="266"/>
        <v>6.2952642983364296E-2</v>
      </c>
      <c r="G10677" s="69">
        <f t="shared" si="267"/>
        <v>7.9896301198538217E-2</v>
      </c>
      <c r="I10677" s="112"/>
      <c r="J10677" s="112"/>
    </row>
    <row r="10678" spans="1:10" x14ac:dyDescent="0.3">
      <c r="A10678" s="24">
        <v>45556</v>
      </c>
      <c r="B10678" s="66">
        <f t="shared" si="259"/>
        <v>2008.2832000000001</v>
      </c>
      <c r="C10678" s="72">
        <v>1514.89</v>
      </c>
      <c r="E10678" s="112">
        <f t="shared" si="256"/>
        <v>195384</v>
      </c>
      <c r="F10678" s="69">
        <f t="shared" si="266"/>
        <v>6.2952642983364296E-2</v>
      </c>
      <c r="G10678" s="69">
        <f t="shared" si="267"/>
        <v>7.9849884180596062E-2</v>
      </c>
      <c r="I10678" s="112"/>
      <c r="J10678" s="112"/>
    </row>
    <row r="10679" spans="1:10" x14ac:dyDescent="0.3">
      <c r="A10679" s="24">
        <v>45557</v>
      </c>
      <c r="B10679" s="66">
        <f t="shared" si="259"/>
        <v>2008.2832000000001</v>
      </c>
      <c r="C10679" s="72">
        <v>1514.89</v>
      </c>
      <c r="E10679" s="112">
        <f t="shared" si="256"/>
        <v>195384</v>
      </c>
      <c r="F10679" s="69">
        <f t="shared" si="266"/>
        <v>6.2952642983364296E-2</v>
      </c>
      <c r="G10679" s="69">
        <f t="shared" si="267"/>
        <v>7.9423069878314226E-2</v>
      </c>
      <c r="I10679" s="112"/>
      <c r="J10679" s="112"/>
    </row>
    <row r="10680" spans="1:10" x14ac:dyDescent="0.3">
      <c r="A10680" s="24">
        <v>45558</v>
      </c>
      <c r="B10680" s="66">
        <f t="shared" si="259"/>
        <v>2008.2832000000001</v>
      </c>
      <c r="C10680" s="72">
        <v>1499.99</v>
      </c>
      <c r="E10680" s="112">
        <f t="shared" si="256"/>
        <v>195384</v>
      </c>
      <c r="F10680" s="69">
        <f t="shared" si="266"/>
        <v>6.2952642983364296E-2</v>
      </c>
      <c r="G10680" s="69">
        <f t="shared" si="267"/>
        <v>7.9423069878314226E-2</v>
      </c>
      <c r="I10680" s="112"/>
      <c r="J10680" s="112"/>
    </row>
    <row r="10681" spans="1:10" x14ac:dyDescent="0.3">
      <c r="A10681" s="24">
        <v>45559</v>
      </c>
      <c r="B10681" s="66">
        <f t="shared" si="259"/>
        <v>2008.2832000000001</v>
      </c>
      <c r="C10681" s="72">
        <v>1493.88</v>
      </c>
      <c r="E10681" s="112">
        <f t="shared" si="256"/>
        <v>195384</v>
      </c>
      <c r="F10681" s="69">
        <f t="shared" si="266"/>
        <v>6.2952642983364296E-2</v>
      </c>
      <c r="G10681" s="69">
        <f t="shared" si="267"/>
        <v>7.9423069878314226E-2</v>
      </c>
      <c r="I10681" s="112"/>
      <c r="J10681" s="112"/>
    </row>
    <row r="10682" spans="1:10" x14ac:dyDescent="0.3">
      <c r="A10682" s="24">
        <v>45560</v>
      </c>
      <c r="B10682" s="66">
        <f t="shared" si="259"/>
        <v>2008.2832000000001</v>
      </c>
      <c r="C10682" s="72">
        <v>1502</v>
      </c>
      <c r="E10682" s="112">
        <f t="shared" si="256"/>
        <v>195384</v>
      </c>
      <c r="F10682" s="69">
        <f t="shared" si="266"/>
        <v>6.2952642983364296E-2</v>
      </c>
      <c r="G10682" s="69">
        <f t="shared" si="267"/>
        <v>8.2754390468436648E-2</v>
      </c>
      <c r="I10682" s="112"/>
      <c r="J10682" s="112"/>
    </row>
    <row r="10683" spans="1:10" x14ac:dyDescent="0.3">
      <c r="A10683" s="24">
        <v>45561</v>
      </c>
      <c r="B10683" s="66">
        <f t="shared" si="259"/>
        <v>2008.2832000000001</v>
      </c>
      <c r="C10683" s="72">
        <v>1498.03</v>
      </c>
      <c r="E10683" s="112">
        <f t="shared" si="256"/>
        <v>195384</v>
      </c>
      <c r="F10683" s="69">
        <f t="shared" si="266"/>
        <v>6.2952642983364296E-2</v>
      </c>
      <c r="G10683" s="69">
        <f t="shared" si="267"/>
        <v>8.2344283076235036E-2</v>
      </c>
      <c r="I10683" s="112"/>
    </row>
    <row r="10684" spans="1:10" x14ac:dyDescent="0.3">
      <c r="A10684" s="24">
        <v>45562</v>
      </c>
      <c r="B10684" s="66">
        <f t="shared" si="259"/>
        <v>2008.2832000000001</v>
      </c>
      <c r="C10684" s="72">
        <v>1498.99</v>
      </c>
      <c r="E10684" s="112">
        <f t="shared" si="256"/>
        <v>195384</v>
      </c>
      <c r="F10684" s="69">
        <f t="shared" ref="F10684:F10690" si="268">+SUM(D10319:D10684)/B10318</f>
        <v>6.2952642983364296E-2</v>
      </c>
      <c r="G10684" s="69">
        <f t="shared" ref="G10684:G10690" si="269">+SUM(D10319:D10684)/C10318</f>
        <v>7.9134284019467233E-2</v>
      </c>
      <c r="I10684" s="112"/>
    </row>
    <row r="10685" spans="1:10" x14ac:dyDescent="0.3">
      <c r="A10685" s="24">
        <v>45563</v>
      </c>
      <c r="B10685" s="66">
        <f t="shared" si="259"/>
        <v>2008.2832000000001</v>
      </c>
      <c r="C10685" s="72">
        <v>1498.99</v>
      </c>
      <c r="E10685" s="112">
        <f t="shared" si="256"/>
        <v>195384</v>
      </c>
      <c r="F10685" s="69">
        <f t="shared" si="268"/>
        <v>6.2952642983364296E-2</v>
      </c>
      <c r="G10685" s="69">
        <f t="shared" si="269"/>
        <v>7.9209136353416171E-2</v>
      </c>
      <c r="I10685" s="112"/>
    </row>
    <row r="10686" spans="1:10" x14ac:dyDescent="0.3">
      <c r="A10686" s="24">
        <v>45564</v>
      </c>
      <c r="B10686" s="66">
        <f t="shared" si="259"/>
        <v>2008.2832000000001</v>
      </c>
      <c r="C10686" s="72">
        <v>1498.99</v>
      </c>
      <c r="D10686" s="71">
        <v>17</v>
      </c>
      <c r="E10686" s="112">
        <f t="shared" si="256"/>
        <v>195384</v>
      </c>
      <c r="F10686" s="69">
        <f t="shared" si="268"/>
        <v>6.14590795695742E-2</v>
      </c>
      <c r="G10686" s="69">
        <f t="shared" si="269"/>
        <v>7.7226843180128055E-2</v>
      </c>
      <c r="I10686" s="112"/>
    </row>
    <row r="10687" spans="1:10" x14ac:dyDescent="0.3">
      <c r="A10687" s="24">
        <v>45565</v>
      </c>
      <c r="B10687" s="66">
        <v>2037.6503</v>
      </c>
      <c r="C10687" s="72">
        <v>1498.91</v>
      </c>
      <c r="E10687" s="112">
        <f t="shared" si="256"/>
        <v>195384</v>
      </c>
      <c r="F10687" s="69">
        <f t="shared" si="268"/>
        <v>6.0928344318654688E-2</v>
      </c>
      <c r="G10687" s="69">
        <f t="shared" si="269"/>
        <v>7.7226843180128055E-2</v>
      </c>
      <c r="I10687" s="112"/>
    </row>
    <row r="10688" spans="1:10" x14ac:dyDescent="0.3">
      <c r="A10688" s="24">
        <v>45566</v>
      </c>
      <c r="B10688" s="66">
        <f t="shared" si="259"/>
        <v>2037.6503</v>
      </c>
      <c r="C10688" s="72">
        <v>1497.84</v>
      </c>
      <c r="E10688" s="112">
        <f t="shared" si="256"/>
        <v>195384</v>
      </c>
      <c r="F10688" s="69">
        <f t="shared" si="268"/>
        <v>6.0928344318654688E-2</v>
      </c>
      <c r="G10688" s="69">
        <f t="shared" si="269"/>
        <v>7.7226843180128055E-2</v>
      </c>
      <c r="I10688" s="112"/>
    </row>
    <row r="10689" spans="1:9" x14ac:dyDescent="0.3">
      <c r="A10689" s="24">
        <v>45567</v>
      </c>
      <c r="B10689" s="66">
        <f t="shared" si="259"/>
        <v>2037.6503</v>
      </c>
      <c r="C10689" s="72">
        <v>1498.28</v>
      </c>
      <c r="E10689" s="112">
        <f t="shared" si="256"/>
        <v>195384</v>
      </c>
      <c r="F10689" s="69">
        <f t="shared" si="268"/>
        <v>6.0928344318654688E-2</v>
      </c>
      <c r="G10689" s="69">
        <f t="shared" si="269"/>
        <v>7.8093018061884956E-2</v>
      </c>
      <c r="I10689" s="112"/>
    </row>
    <row r="10690" spans="1:9" x14ac:dyDescent="0.3">
      <c r="A10690" s="24">
        <v>45568</v>
      </c>
      <c r="B10690" s="66">
        <f t="shared" si="259"/>
        <v>2037.6503</v>
      </c>
      <c r="C10690" s="72">
        <v>1480.85</v>
      </c>
      <c r="E10690" s="112">
        <f t="shared" si="256"/>
        <v>195384</v>
      </c>
      <c r="F10690" s="69">
        <f t="shared" si="268"/>
        <v>6.0928344318654688E-2</v>
      </c>
      <c r="G10690" s="69">
        <f t="shared" si="269"/>
        <v>7.9642766604215751E-2</v>
      </c>
      <c r="I10690" s="112"/>
    </row>
    <row r="10691" spans="1:9" x14ac:dyDescent="0.3">
      <c r="A10691" s="24">
        <v>45569</v>
      </c>
      <c r="B10691" s="66">
        <f t="shared" si="259"/>
        <v>2037.6503</v>
      </c>
      <c r="C10691" s="72">
        <v>1496.93</v>
      </c>
      <c r="E10691" s="112">
        <f t="shared" si="256"/>
        <v>195384</v>
      </c>
      <c r="F10691" s="69">
        <f t="shared" ref="F10691:F10697" si="270">+SUM(D10326:D10691)/B10325</f>
        <v>6.0928344318654688E-2</v>
      </c>
      <c r="G10691" s="69">
        <f t="shared" ref="G10691:G10697" si="271">+SUM(D10326:D10691)/C10325</f>
        <v>8.0160961747965262E-2</v>
      </c>
      <c r="I10691" s="112"/>
    </row>
    <row r="10692" spans="1:9" x14ac:dyDescent="0.3">
      <c r="A10692" s="24">
        <v>45570</v>
      </c>
      <c r="B10692" s="66">
        <f t="shared" si="259"/>
        <v>2037.6503</v>
      </c>
      <c r="C10692" s="72">
        <v>1496.93</v>
      </c>
      <c r="E10692" s="112">
        <f t="shared" si="256"/>
        <v>195384</v>
      </c>
      <c r="F10692" s="69">
        <f t="shared" si="270"/>
        <v>6.0928344318654688E-2</v>
      </c>
      <c r="G10692" s="69">
        <f t="shared" si="271"/>
        <v>8.0030003560321097E-2</v>
      </c>
      <c r="I10692" s="112"/>
    </row>
    <row r="10693" spans="1:9" x14ac:dyDescent="0.3">
      <c r="A10693" s="24">
        <v>45571</v>
      </c>
      <c r="B10693" s="66">
        <f t="shared" si="259"/>
        <v>2037.6503</v>
      </c>
      <c r="C10693" s="72">
        <v>1496.93</v>
      </c>
      <c r="E10693" s="112">
        <f t="shared" si="256"/>
        <v>195384</v>
      </c>
      <c r="F10693" s="69">
        <f t="shared" si="270"/>
        <v>6.0928344318654688E-2</v>
      </c>
      <c r="G10693" s="69">
        <f t="shared" si="271"/>
        <v>8.1116450325172174E-2</v>
      </c>
      <c r="I10693" s="112"/>
    </row>
    <row r="10694" spans="1:9" x14ac:dyDescent="0.3">
      <c r="A10694" s="24">
        <v>45572</v>
      </c>
      <c r="B10694" s="66">
        <f t="shared" si="259"/>
        <v>2037.6503</v>
      </c>
      <c r="C10694" s="72">
        <v>1481.12</v>
      </c>
      <c r="E10694" s="112">
        <f t="shared" si="256"/>
        <v>195384</v>
      </c>
      <c r="F10694" s="69">
        <f t="shared" si="270"/>
        <v>6.0928344318654688E-2</v>
      </c>
      <c r="G10694" s="69">
        <f t="shared" si="271"/>
        <v>8.1116450325172174E-2</v>
      </c>
      <c r="I10694" s="112"/>
    </row>
    <row r="10695" spans="1:9" x14ac:dyDescent="0.3">
      <c r="A10695" s="24">
        <v>45573</v>
      </c>
      <c r="B10695" s="66">
        <f t="shared" si="259"/>
        <v>2037.6503</v>
      </c>
      <c r="C10695" s="72">
        <v>1479.18</v>
      </c>
      <c r="E10695" s="112">
        <f t="shared" si="256"/>
        <v>195384</v>
      </c>
      <c r="F10695" s="69">
        <f t="shared" si="270"/>
        <v>6.0928344318654688E-2</v>
      </c>
      <c r="G10695" s="69">
        <f t="shared" si="271"/>
        <v>8.1116450325172174E-2</v>
      </c>
      <c r="I10695" s="112"/>
    </row>
    <row r="10696" spans="1:9" x14ac:dyDescent="0.3">
      <c r="A10696" s="24">
        <v>45574</v>
      </c>
      <c r="B10696" s="66">
        <f t="shared" si="259"/>
        <v>2037.6503</v>
      </c>
      <c r="C10696" s="72">
        <v>1485.39</v>
      </c>
      <c r="E10696" s="112">
        <f t="shared" si="256"/>
        <v>195384</v>
      </c>
      <c r="F10696" s="69">
        <f t="shared" si="270"/>
        <v>6.0928344318654688E-2</v>
      </c>
      <c r="G10696" s="69">
        <f t="shared" si="271"/>
        <v>8.1116450325172174E-2</v>
      </c>
      <c r="I10696" s="112"/>
    </row>
    <row r="10697" spans="1:9" x14ac:dyDescent="0.3">
      <c r="A10697" s="24">
        <v>45575</v>
      </c>
      <c r="B10697" s="66">
        <f t="shared" si="259"/>
        <v>2037.6503</v>
      </c>
      <c r="C10697" s="72">
        <v>1484.15</v>
      </c>
      <c r="E10697" s="112">
        <f t="shared" si="256"/>
        <v>195384</v>
      </c>
      <c r="F10697" s="69">
        <f t="shared" si="270"/>
        <v>6.0928344318654688E-2</v>
      </c>
      <c r="G10697" s="69">
        <f t="shared" si="271"/>
        <v>8.205243010426487E-2</v>
      </c>
      <c r="I10697" s="112"/>
    </row>
    <row r="10698" spans="1:9" x14ac:dyDescent="0.3">
      <c r="A10698" s="24">
        <v>45576</v>
      </c>
      <c r="B10698" s="66">
        <f t="shared" si="259"/>
        <v>2037.6503</v>
      </c>
      <c r="C10698" s="72">
        <v>1482.37</v>
      </c>
      <c r="E10698" s="112">
        <f t="shared" si="256"/>
        <v>195384</v>
      </c>
      <c r="F10698" s="69">
        <f t="shared" ref="F10698:F10744" si="272">+SUM(D10333:D10698)/B10332</f>
        <v>6.0928344318654688E-2</v>
      </c>
      <c r="G10698" s="69">
        <f t="shared" ref="G10698:G10744" si="273">+SUM(D10333:D10698)/C10332</f>
        <v>8.2548985985400045E-2</v>
      </c>
      <c r="I10698" s="112"/>
    </row>
    <row r="10699" spans="1:9" x14ac:dyDescent="0.3">
      <c r="A10699" s="24">
        <v>45577</v>
      </c>
      <c r="B10699" s="66">
        <f t="shared" si="259"/>
        <v>2037.6503</v>
      </c>
      <c r="C10699" s="72">
        <v>1482.37</v>
      </c>
      <c r="E10699" s="112">
        <f t="shared" si="256"/>
        <v>195384</v>
      </c>
      <c r="F10699" s="69">
        <f t="shared" si="272"/>
        <v>6.0928344318654688E-2</v>
      </c>
      <c r="G10699" s="69">
        <f t="shared" si="273"/>
        <v>8.2531325733145144E-2</v>
      </c>
      <c r="I10699" s="112"/>
    </row>
    <row r="10700" spans="1:9" x14ac:dyDescent="0.3">
      <c r="A10700" s="24">
        <v>45578</v>
      </c>
      <c r="B10700" s="66">
        <f t="shared" si="259"/>
        <v>2037.6503</v>
      </c>
      <c r="C10700" s="72">
        <v>1482.37</v>
      </c>
      <c r="E10700" s="112">
        <f t="shared" si="256"/>
        <v>195384</v>
      </c>
      <c r="F10700" s="69">
        <f t="shared" si="272"/>
        <v>6.0928344318654688E-2</v>
      </c>
      <c r="G10700" s="69">
        <f t="shared" si="273"/>
        <v>8.2363379920114832E-2</v>
      </c>
      <c r="I10700" s="112"/>
    </row>
    <row r="10701" spans="1:9" x14ac:dyDescent="0.3">
      <c r="A10701" s="24">
        <v>45579</v>
      </c>
      <c r="B10701" s="66">
        <f t="shared" si="259"/>
        <v>2037.6503</v>
      </c>
      <c r="C10701" s="72">
        <v>1481.84</v>
      </c>
      <c r="E10701" s="112">
        <f t="shared" si="256"/>
        <v>195384</v>
      </c>
      <c r="F10701" s="69">
        <f t="shared" si="272"/>
        <v>6.0928344318654688E-2</v>
      </c>
      <c r="G10701" s="69">
        <f t="shared" si="273"/>
        <v>8.2363379920114832E-2</v>
      </c>
      <c r="I10701" s="112"/>
    </row>
    <row r="10702" spans="1:9" x14ac:dyDescent="0.3">
      <c r="A10702" s="24">
        <v>45580</v>
      </c>
      <c r="B10702" s="66">
        <f t="shared" si="259"/>
        <v>2037.6503</v>
      </c>
      <c r="C10702" s="72">
        <v>1484.33</v>
      </c>
      <c r="E10702" s="112">
        <f t="shared" si="256"/>
        <v>195384</v>
      </c>
      <c r="F10702" s="69">
        <f t="shared" si="272"/>
        <v>6.0928344318654688E-2</v>
      </c>
      <c r="G10702" s="69">
        <f t="shared" si="273"/>
        <v>8.2363379920114832E-2</v>
      </c>
      <c r="I10702" s="112"/>
    </row>
    <row r="10703" spans="1:9" x14ac:dyDescent="0.3">
      <c r="A10703" s="24">
        <v>45581</v>
      </c>
      <c r="B10703" s="66">
        <f t="shared" si="259"/>
        <v>2037.6503</v>
      </c>
      <c r="C10703" s="72">
        <v>1504.38</v>
      </c>
      <c r="E10703" s="112">
        <f t="shared" si="256"/>
        <v>195384</v>
      </c>
      <c r="F10703" s="69">
        <f t="shared" si="272"/>
        <v>6.0928344318654688E-2</v>
      </c>
      <c r="G10703" s="69">
        <f t="shared" si="273"/>
        <v>8.2519188692348547E-2</v>
      </c>
      <c r="I10703" s="112"/>
    </row>
    <row r="10704" spans="1:9" x14ac:dyDescent="0.3">
      <c r="A10704" s="24">
        <v>45582</v>
      </c>
      <c r="B10704" s="66">
        <f t="shared" si="259"/>
        <v>2037.6503</v>
      </c>
      <c r="C10704" s="72">
        <v>1486.94</v>
      </c>
      <c r="E10704" s="112">
        <f t="shared" ref="E10704:E10767" si="274">+E10703</f>
        <v>195384</v>
      </c>
      <c r="F10704" s="69">
        <f t="shared" si="272"/>
        <v>6.0928344318654688E-2</v>
      </c>
      <c r="G10704" s="69">
        <f t="shared" si="273"/>
        <v>8.2882077218193753E-2</v>
      </c>
      <c r="I10704" s="112"/>
    </row>
    <row r="10705" spans="1:9" x14ac:dyDescent="0.3">
      <c r="A10705" s="24">
        <v>45583</v>
      </c>
      <c r="B10705" s="66">
        <f t="shared" si="259"/>
        <v>2037.6503</v>
      </c>
      <c r="C10705" s="72">
        <v>1501.57</v>
      </c>
      <c r="E10705" s="112">
        <f t="shared" si="274"/>
        <v>195384</v>
      </c>
      <c r="F10705" s="69">
        <f t="shared" si="272"/>
        <v>6.0928344318654688E-2</v>
      </c>
      <c r="G10705" s="69">
        <f t="shared" si="273"/>
        <v>8.2624126452801719E-2</v>
      </c>
      <c r="I10705" s="112"/>
    </row>
    <row r="10706" spans="1:9" x14ac:dyDescent="0.3">
      <c r="A10706" s="24">
        <v>45584</v>
      </c>
      <c r="B10706" s="66">
        <f t="shared" ref="B10706:B10769" si="275">+B10705</f>
        <v>2037.6503</v>
      </c>
      <c r="C10706" s="72">
        <v>1501.57</v>
      </c>
      <c r="E10706" s="112">
        <f t="shared" si="274"/>
        <v>195384</v>
      </c>
      <c r="F10706" s="69">
        <f t="shared" si="272"/>
        <v>6.0928344318654688E-2</v>
      </c>
      <c r="G10706" s="69">
        <f t="shared" si="273"/>
        <v>8.3162927420231944E-2</v>
      </c>
      <c r="I10706" s="112"/>
    </row>
    <row r="10707" spans="1:9" x14ac:dyDescent="0.3">
      <c r="A10707" s="24">
        <v>45585</v>
      </c>
      <c r="B10707" s="66">
        <f t="shared" si="275"/>
        <v>2037.6503</v>
      </c>
      <c r="C10707" s="72">
        <v>1501.57</v>
      </c>
      <c r="E10707" s="112">
        <f t="shared" si="274"/>
        <v>195384</v>
      </c>
      <c r="F10707" s="69">
        <f t="shared" si="272"/>
        <v>6.0928344318654688E-2</v>
      </c>
      <c r="G10707" s="69">
        <f t="shared" si="273"/>
        <v>8.3723562427086687E-2</v>
      </c>
      <c r="I10707" s="112"/>
    </row>
    <row r="10708" spans="1:9" x14ac:dyDescent="0.3">
      <c r="A10708" s="24">
        <v>45586</v>
      </c>
      <c r="B10708" s="66">
        <f t="shared" si="275"/>
        <v>2037.6503</v>
      </c>
      <c r="C10708" s="72">
        <v>1499.84</v>
      </c>
      <c r="E10708" s="112">
        <f t="shared" si="274"/>
        <v>195384</v>
      </c>
      <c r="F10708" s="69">
        <f t="shared" si="272"/>
        <v>6.0928344318654688E-2</v>
      </c>
      <c r="G10708" s="69">
        <f t="shared" si="273"/>
        <v>8.3723562427086687E-2</v>
      </c>
      <c r="I10708" s="112"/>
    </row>
    <row r="10709" spans="1:9" x14ac:dyDescent="0.3">
      <c r="A10709" s="24">
        <v>45587</v>
      </c>
      <c r="B10709" s="66">
        <f t="shared" si="275"/>
        <v>2037.6503</v>
      </c>
      <c r="C10709" s="72">
        <v>1489.62</v>
      </c>
      <c r="E10709" s="112">
        <f t="shared" si="274"/>
        <v>195384</v>
      </c>
      <c r="F10709" s="69">
        <f t="shared" si="272"/>
        <v>6.0928344318654688E-2</v>
      </c>
      <c r="G10709" s="69">
        <f t="shared" si="273"/>
        <v>8.3723562427086687E-2</v>
      </c>
      <c r="I10709" s="112"/>
    </row>
    <row r="10710" spans="1:9" x14ac:dyDescent="0.3">
      <c r="A10710" s="24">
        <v>45588</v>
      </c>
      <c r="B10710" s="66">
        <f t="shared" si="275"/>
        <v>2037.6503</v>
      </c>
      <c r="C10710" s="72">
        <v>1490.51</v>
      </c>
      <c r="E10710" s="112">
        <f t="shared" si="274"/>
        <v>195384</v>
      </c>
      <c r="F10710" s="69">
        <f t="shared" si="272"/>
        <v>6.0928344318654688E-2</v>
      </c>
      <c r="G10710" s="69">
        <f t="shared" si="273"/>
        <v>8.3221794501581889E-2</v>
      </c>
      <c r="I10710" s="112"/>
    </row>
    <row r="10711" spans="1:9" x14ac:dyDescent="0.3">
      <c r="A10711" s="24">
        <v>45589</v>
      </c>
      <c r="B10711" s="66">
        <f t="shared" si="275"/>
        <v>2037.6503</v>
      </c>
      <c r="C10711" s="72">
        <v>1496</v>
      </c>
      <c r="E10711" s="112">
        <f t="shared" si="274"/>
        <v>195384</v>
      </c>
      <c r="F10711" s="69">
        <f t="shared" si="272"/>
        <v>6.0928344318654688E-2</v>
      </c>
      <c r="G10711" s="69">
        <f t="shared" si="273"/>
        <v>8.3410730467477365E-2</v>
      </c>
      <c r="I10711" s="112"/>
    </row>
    <row r="10712" spans="1:9" x14ac:dyDescent="0.3">
      <c r="A10712" s="24">
        <v>45590</v>
      </c>
      <c r="B10712" s="66">
        <f t="shared" si="275"/>
        <v>2037.6503</v>
      </c>
      <c r="C10712" s="72">
        <v>1494.05</v>
      </c>
      <c r="E10712" s="112">
        <f t="shared" si="274"/>
        <v>195384</v>
      </c>
      <c r="F10712" s="69">
        <f t="shared" si="272"/>
        <v>6.0928344318654688E-2</v>
      </c>
      <c r="G10712" s="69">
        <f t="shared" si="273"/>
        <v>8.4047332220308218E-2</v>
      </c>
      <c r="I10712" s="112"/>
    </row>
    <row r="10713" spans="1:9" x14ac:dyDescent="0.3">
      <c r="A10713" s="24">
        <v>45591</v>
      </c>
      <c r="B10713" s="66">
        <f t="shared" si="275"/>
        <v>2037.6503</v>
      </c>
      <c r="C10713" s="72">
        <v>1494.05</v>
      </c>
      <c r="E10713" s="112">
        <f t="shared" si="274"/>
        <v>195384</v>
      </c>
      <c r="F10713" s="69">
        <f t="shared" si="272"/>
        <v>6.0928344318654688E-2</v>
      </c>
      <c r="G10713" s="69">
        <f t="shared" si="273"/>
        <v>8.5127663408520848E-2</v>
      </c>
      <c r="I10713" s="112"/>
    </row>
    <row r="10714" spans="1:9" x14ac:dyDescent="0.3">
      <c r="A10714" s="24">
        <v>45592</v>
      </c>
      <c r="B10714" s="66">
        <f t="shared" si="275"/>
        <v>2037.6503</v>
      </c>
      <c r="C10714" s="72">
        <v>1494.05</v>
      </c>
      <c r="E10714" s="112">
        <f t="shared" si="274"/>
        <v>195384</v>
      </c>
      <c r="F10714" s="69">
        <f t="shared" si="272"/>
        <v>6.0928344318654688E-2</v>
      </c>
      <c r="G10714" s="69">
        <f t="shared" si="273"/>
        <v>8.5127663408520848E-2</v>
      </c>
      <c r="I10714" s="112"/>
    </row>
    <row r="10715" spans="1:9" x14ac:dyDescent="0.3">
      <c r="A10715" s="24">
        <v>45593</v>
      </c>
      <c r="B10715" s="66">
        <f t="shared" si="275"/>
        <v>2037.6503</v>
      </c>
      <c r="C10715" s="72">
        <v>1490.91</v>
      </c>
      <c r="E10715" s="112">
        <f t="shared" si="274"/>
        <v>195384</v>
      </c>
      <c r="F10715" s="69">
        <f t="shared" si="272"/>
        <v>6.0928344318654688E-2</v>
      </c>
      <c r="G10715" s="69">
        <f t="shared" si="273"/>
        <v>8.5127663408520848E-2</v>
      </c>
      <c r="I10715" s="112"/>
    </row>
    <row r="10716" spans="1:9" x14ac:dyDescent="0.3">
      <c r="A10716" s="24">
        <v>45594</v>
      </c>
      <c r="B10716" s="66">
        <f t="shared" si="275"/>
        <v>2037.6503</v>
      </c>
      <c r="C10716" s="72">
        <v>1492.38</v>
      </c>
      <c r="E10716" s="112">
        <f t="shared" si="274"/>
        <v>195384</v>
      </c>
      <c r="F10716" s="69">
        <f t="shared" si="272"/>
        <v>6.0928344318654688E-2</v>
      </c>
      <c r="G10716" s="69">
        <f t="shared" si="273"/>
        <v>8.5127663408520848E-2</v>
      </c>
      <c r="I10716" s="112"/>
    </row>
    <row r="10717" spans="1:9" x14ac:dyDescent="0.3">
      <c r="A10717" s="24">
        <v>45595</v>
      </c>
      <c r="B10717" s="66">
        <v>2054.4825000000001</v>
      </c>
      <c r="C10717" s="72">
        <v>1496.41</v>
      </c>
      <c r="E10717" s="112">
        <f t="shared" si="274"/>
        <v>195384</v>
      </c>
      <c r="F10717" s="69">
        <f t="shared" si="272"/>
        <v>6.0245700821725694E-2</v>
      </c>
      <c r="G10717" s="69">
        <f t="shared" si="273"/>
        <v>8.5795020461797461E-2</v>
      </c>
      <c r="I10717" s="112"/>
    </row>
    <row r="10718" spans="1:9" x14ac:dyDescent="0.3">
      <c r="A10718" s="24">
        <v>45596</v>
      </c>
      <c r="B10718" s="66">
        <f t="shared" si="275"/>
        <v>2054.4825000000001</v>
      </c>
      <c r="C10718" s="72">
        <v>1496.41</v>
      </c>
      <c r="E10718" s="112">
        <f t="shared" si="274"/>
        <v>195384</v>
      </c>
      <c r="F10718" s="69">
        <f t="shared" si="272"/>
        <v>6.0245700821725694E-2</v>
      </c>
      <c r="G10718" s="69">
        <f t="shared" si="273"/>
        <v>8.5730076593701562E-2</v>
      </c>
      <c r="I10718" s="112"/>
    </row>
    <row r="10719" spans="1:9" x14ac:dyDescent="0.3">
      <c r="A10719" s="24">
        <v>45597</v>
      </c>
      <c r="B10719" s="66">
        <f t="shared" si="275"/>
        <v>2054.4825000000001</v>
      </c>
      <c r="C10719" s="72">
        <v>1496.41</v>
      </c>
      <c r="E10719" s="112">
        <f t="shared" si="274"/>
        <v>195384</v>
      </c>
      <c r="F10719" s="69">
        <f t="shared" si="272"/>
        <v>6.0245700821725694E-2</v>
      </c>
      <c r="G10719" s="69">
        <f t="shared" si="273"/>
        <v>8.5730076593701562E-2</v>
      </c>
      <c r="I10719" s="112"/>
    </row>
    <row r="10720" spans="1:9" x14ac:dyDescent="0.3">
      <c r="A10720" s="24">
        <v>45598</v>
      </c>
      <c r="B10720" s="66">
        <f t="shared" si="275"/>
        <v>2054.4825000000001</v>
      </c>
      <c r="C10720" s="72">
        <v>1496.41</v>
      </c>
      <c r="E10720" s="112">
        <f t="shared" si="274"/>
        <v>195384</v>
      </c>
      <c r="F10720" s="69">
        <f t="shared" si="272"/>
        <v>6.0245700821725694E-2</v>
      </c>
      <c r="G10720" s="69">
        <f t="shared" si="273"/>
        <v>8.6092992553031614E-2</v>
      </c>
      <c r="I10720" s="112"/>
    </row>
    <row r="10721" spans="1:9" x14ac:dyDescent="0.3">
      <c r="A10721" s="24">
        <v>45599</v>
      </c>
      <c r="B10721" s="66">
        <f t="shared" si="275"/>
        <v>2054.4825000000001</v>
      </c>
      <c r="C10721" s="72">
        <v>1496.41</v>
      </c>
      <c r="E10721" s="112">
        <f t="shared" si="274"/>
        <v>195384</v>
      </c>
      <c r="F10721" s="69">
        <f t="shared" si="272"/>
        <v>6.0245700821725694E-2</v>
      </c>
      <c r="G10721" s="69">
        <f t="shared" si="273"/>
        <v>8.608638848805196E-2</v>
      </c>
      <c r="I10721" s="112"/>
    </row>
    <row r="10722" spans="1:9" x14ac:dyDescent="0.3">
      <c r="A10722" s="24">
        <v>45600</v>
      </c>
      <c r="B10722" s="66">
        <f t="shared" si="275"/>
        <v>2054.4825000000001</v>
      </c>
      <c r="C10722" s="72">
        <v>1499.93</v>
      </c>
      <c r="E10722" s="112">
        <f t="shared" si="274"/>
        <v>195384</v>
      </c>
      <c r="F10722" s="69">
        <f t="shared" si="272"/>
        <v>6.0245700821725694E-2</v>
      </c>
      <c r="G10722" s="69">
        <f t="shared" si="273"/>
        <v>8.608638848805196E-2</v>
      </c>
      <c r="I10722" s="112"/>
    </row>
    <row r="10723" spans="1:9" x14ac:dyDescent="0.3">
      <c r="A10723" s="24">
        <v>45601</v>
      </c>
      <c r="B10723" s="66">
        <f t="shared" si="275"/>
        <v>2054.4825000000001</v>
      </c>
      <c r="C10723" s="72">
        <v>1496.06</v>
      </c>
      <c r="E10723" s="112">
        <f t="shared" si="274"/>
        <v>195384</v>
      </c>
      <c r="F10723" s="69">
        <f t="shared" si="272"/>
        <v>6.0245700821725694E-2</v>
      </c>
      <c r="G10723" s="69">
        <f t="shared" si="273"/>
        <v>8.608638848805196E-2</v>
      </c>
      <c r="I10723" s="112"/>
    </row>
    <row r="10724" spans="1:9" x14ac:dyDescent="0.3">
      <c r="A10724" s="24">
        <v>45602</v>
      </c>
      <c r="B10724" s="66">
        <f t="shared" si="275"/>
        <v>2054.4825000000001</v>
      </c>
      <c r="C10724" s="72">
        <v>1497.09</v>
      </c>
      <c r="E10724" s="112">
        <f t="shared" si="274"/>
        <v>195384</v>
      </c>
      <c r="F10724" s="69">
        <f t="shared" si="272"/>
        <v>6.0245700821725694E-2</v>
      </c>
      <c r="G10724" s="69">
        <f t="shared" si="273"/>
        <v>8.6362217607047959E-2</v>
      </c>
      <c r="I10724" s="112"/>
    </row>
    <row r="10725" spans="1:9" x14ac:dyDescent="0.3">
      <c r="A10725" s="24">
        <v>45603</v>
      </c>
      <c r="B10725" s="66">
        <f t="shared" si="275"/>
        <v>2054.4825000000001</v>
      </c>
      <c r="C10725" s="72">
        <v>1481.63</v>
      </c>
      <c r="E10725" s="112">
        <f t="shared" si="274"/>
        <v>195384</v>
      </c>
      <c r="F10725" s="69">
        <f t="shared" si="272"/>
        <v>6.0245700821725694E-2</v>
      </c>
      <c r="G10725" s="69">
        <f t="shared" si="273"/>
        <v>8.6261437849378106E-2</v>
      </c>
      <c r="I10725" s="112"/>
    </row>
    <row r="10726" spans="1:9" x14ac:dyDescent="0.3">
      <c r="A10726" s="24">
        <v>45604</v>
      </c>
      <c r="B10726" s="66">
        <f t="shared" si="275"/>
        <v>2054.4825000000001</v>
      </c>
      <c r="C10726" s="72">
        <v>1495.9</v>
      </c>
      <c r="E10726" s="112">
        <f t="shared" si="274"/>
        <v>195384</v>
      </c>
      <c r="F10726" s="69">
        <f t="shared" si="272"/>
        <v>6.0245700821725694E-2</v>
      </c>
      <c r="G10726" s="69">
        <f t="shared" si="273"/>
        <v>8.6303652215036802E-2</v>
      </c>
      <c r="I10726" s="112"/>
    </row>
    <row r="10727" spans="1:9" x14ac:dyDescent="0.3">
      <c r="A10727" s="24">
        <v>45605</v>
      </c>
      <c r="B10727" s="66">
        <f t="shared" si="275"/>
        <v>2054.4825000000001</v>
      </c>
      <c r="C10727" s="72">
        <v>1495.9</v>
      </c>
      <c r="E10727" s="112">
        <f t="shared" si="274"/>
        <v>195384</v>
      </c>
      <c r="F10727" s="69">
        <f t="shared" si="272"/>
        <v>6.0245700821725694E-2</v>
      </c>
      <c r="G10727" s="69">
        <f t="shared" si="273"/>
        <v>8.6026397973426136E-2</v>
      </c>
      <c r="I10727" s="112"/>
    </row>
    <row r="10728" spans="1:9" x14ac:dyDescent="0.3">
      <c r="A10728" s="24">
        <v>45606</v>
      </c>
      <c r="B10728" s="66">
        <f t="shared" si="275"/>
        <v>2054.4825000000001</v>
      </c>
      <c r="C10728" s="72">
        <v>1495.9</v>
      </c>
      <c r="E10728" s="112">
        <f t="shared" si="274"/>
        <v>195384</v>
      </c>
      <c r="F10728" s="69">
        <f t="shared" si="272"/>
        <v>6.0245700821725694E-2</v>
      </c>
      <c r="G10728" s="69">
        <f t="shared" si="273"/>
        <v>8.3942745979156075E-2</v>
      </c>
      <c r="I10728" s="112"/>
    </row>
    <row r="10729" spans="1:9" x14ac:dyDescent="0.3">
      <c r="A10729" s="24">
        <v>45607</v>
      </c>
      <c r="B10729" s="66">
        <f t="shared" si="275"/>
        <v>2054.4825000000001</v>
      </c>
      <c r="C10729" s="72">
        <v>1497.9</v>
      </c>
      <c r="E10729" s="112">
        <f t="shared" si="274"/>
        <v>195384</v>
      </c>
      <c r="F10729" s="69">
        <f t="shared" si="272"/>
        <v>6.0245700821725694E-2</v>
      </c>
      <c r="G10729" s="69">
        <f t="shared" si="273"/>
        <v>8.3942745979156075E-2</v>
      </c>
      <c r="I10729" s="112"/>
    </row>
    <row r="10730" spans="1:9" x14ac:dyDescent="0.3">
      <c r="A10730" s="24">
        <v>45608</v>
      </c>
      <c r="B10730" s="66">
        <f t="shared" si="275"/>
        <v>2054.4825000000001</v>
      </c>
      <c r="C10730" s="72">
        <v>1488.56</v>
      </c>
      <c r="E10730" s="112">
        <f t="shared" si="274"/>
        <v>195384</v>
      </c>
      <c r="F10730" s="69">
        <f t="shared" si="272"/>
        <v>6.0245700821725694E-2</v>
      </c>
      <c r="G10730" s="69">
        <f t="shared" si="273"/>
        <v>8.3942745979156075E-2</v>
      </c>
      <c r="I10730" s="112"/>
    </row>
    <row r="10731" spans="1:9" x14ac:dyDescent="0.3">
      <c r="A10731" s="24">
        <v>45609</v>
      </c>
      <c r="B10731" s="66">
        <f t="shared" si="275"/>
        <v>2054.4825000000001</v>
      </c>
      <c r="C10731" s="72">
        <v>1486.22</v>
      </c>
      <c r="E10731" s="112">
        <f t="shared" si="274"/>
        <v>195384</v>
      </c>
      <c r="F10731" s="69">
        <f t="shared" si="272"/>
        <v>6.0245700821725694E-2</v>
      </c>
      <c r="G10731" s="69">
        <f t="shared" si="273"/>
        <v>8.506079494233855E-2</v>
      </c>
      <c r="I10731" s="112"/>
    </row>
    <row r="10732" spans="1:9" x14ac:dyDescent="0.3">
      <c r="A10732" s="24">
        <v>45610</v>
      </c>
      <c r="B10732" s="66">
        <f t="shared" si="275"/>
        <v>2054.4825000000001</v>
      </c>
      <c r="C10732" s="72">
        <v>1485.78</v>
      </c>
      <c r="E10732" s="112">
        <f t="shared" si="274"/>
        <v>195384</v>
      </c>
      <c r="F10732" s="69">
        <f t="shared" si="272"/>
        <v>6.0245700821725694E-2</v>
      </c>
      <c r="G10732" s="69">
        <f t="shared" si="273"/>
        <v>8.5737817028306476E-2</v>
      </c>
      <c r="I10732" s="112"/>
    </row>
    <row r="10733" spans="1:9" x14ac:dyDescent="0.3">
      <c r="A10733" s="24">
        <v>45611</v>
      </c>
      <c r="B10733" s="66">
        <f t="shared" si="275"/>
        <v>2054.4825000000001</v>
      </c>
      <c r="C10733" s="72">
        <v>1480.32</v>
      </c>
      <c r="E10733" s="112">
        <f t="shared" si="274"/>
        <v>195384</v>
      </c>
      <c r="F10733" s="69">
        <f t="shared" si="272"/>
        <v>6.0245700821725694E-2</v>
      </c>
      <c r="G10733" s="69">
        <f t="shared" si="273"/>
        <v>8.5137056870644975E-2</v>
      </c>
      <c r="I10733" s="112"/>
    </row>
    <row r="10734" spans="1:9" x14ac:dyDescent="0.3">
      <c r="A10734" s="24">
        <v>45612</v>
      </c>
      <c r="B10734" s="66">
        <f t="shared" si="275"/>
        <v>2054.4825000000001</v>
      </c>
      <c r="C10734" s="72">
        <v>1480.32</v>
      </c>
      <c r="E10734" s="112">
        <f t="shared" si="274"/>
        <v>195384</v>
      </c>
      <c r="F10734" s="69">
        <f t="shared" si="272"/>
        <v>6.0245700821725694E-2</v>
      </c>
      <c r="G10734" s="69">
        <f t="shared" si="273"/>
        <v>8.5686637022445153E-2</v>
      </c>
      <c r="I10734" s="112"/>
    </row>
    <row r="10735" spans="1:9" x14ac:dyDescent="0.3">
      <c r="A10735" s="24">
        <v>45613</v>
      </c>
      <c r="B10735" s="66">
        <f t="shared" si="275"/>
        <v>2054.4825000000001</v>
      </c>
      <c r="C10735" s="72">
        <v>1480.32</v>
      </c>
      <c r="E10735" s="112">
        <f t="shared" si="274"/>
        <v>195384</v>
      </c>
      <c r="F10735" s="69">
        <f t="shared" si="272"/>
        <v>6.0245700821725694E-2</v>
      </c>
      <c r="G10735" s="69">
        <f t="shared" si="273"/>
        <v>8.651049502923433E-2</v>
      </c>
      <c r="I10735" s="112"/>
    </row>
    <row r="10736" spans="1:9" x14ac:dyDescent="0.3">
      <c r="A10736" s="24">
        <v>45614</v>
      </c>
      <c r="B10736" s="66">
        <f t="shared" si="275"/>
        <v>2054.4825000000001</v>
      </c>
      <c r="C10736" s="72">
        <v>1482.59</v>
      </c>
      <c r="E10736" s="112">
        <f t="shared" si="274"/>
        <v>195384</v>
      </c>
      <c r="F10736" s="69">
        <f t="shared" si="272"/>
        <v>6.0245700821725694E-2</v>
      </c>
      <c r="G10736" s="69">
        <f t="shared" si="273"/>
        <v>8.651049502923433E-2</v>
      </c>
      <c r="I10736" s="112"/>
    </row>
    <row r="10737" spans="1:9" x14ac:dyDescent="0.3">
      <c r="A10737" s="24">
        <v>45615</v>
      </c>
      <c r="B10737" s="66">
        <f t="shared" si="275"/>
        <v>2054.4825000000001</v>
      </c>
      <c r="C10737" s="72">
        <v>1474.98</v>
      </c>
      <c r="E10737" s="112">
        <f t="shared" si="274"/>
        <v>195384</v>
      </c>
      <c r="F10737" s="69">
        <f t="shared" si="272"/>
        <v>6.0245700821725694E-2</v>
      </c>
      <c r="G10737" s="69">
        <f t="shared" si="273"/>
        <v>8.651049502923433E-2</v>
      </c>
      <c r="I10737" s="112"/>
    </row>
    <row r="10738" spans="1:9" x14ac:dyDescent="0.3">
      <c r="A10738" s="24">
        <v>45616</v>
      </c>
      <c r="B10738" s="66">
        <f t="shared" si="275"/>
        <v>2054.4825000000001</v>
      </c>
      <c r="C10738" s="72">
        <v>1485.74</v>
      </c>
      <c r="E10738" s="112">
        <f t="shared" si="274"/>
        <v>195384</v>
      </c>
      <c r="F10738" s="69">
        <f t="shared" si="272"/>
        <v>6.0245700821725694E-2</v>
      </c>
      <c r="G10738" s="69">
        <f t="shared" si="273"/>
        <v>8.6557201719160357E-2</v>
      </c>
      <c r="I10738" s="112"/>
    </row>
    <row r="10739" spans="1:9" x14ac:dyDescent="0.3">
      <c r="A10739" s="24">
        <v>45617</v>
      </c>
      <c r="B10739" s="66">
        <f t="shared" si="275"/>
        <v>2054.4825000000001</v>
      </c>
      <c r="C10739" s="72">
        <v>1478.89</v>
      </c>
      <c r="E10739" s="112">
        <f t="shared" si="274"/>
        <v>195384</v>
      </c>
      <c r="F10739" s="69">
        <f t="shared" si="272"/>
        <v>6.0245700821725694E-2</v>
      </c>
      <c r="G10739" s="69">
        <f t="shared" si="273"/>
        <v>8.6058182528645777E-2</v>
      </c>
      <c r="I10739" s="112"/>
    </row>
    <row r="10740" spans="1:9" x14ac:dyDescent="0.3">
      <c r="A10740" s="24">
        <v>45618</v>
      </c>
      <c r="B10740" s="66">
        <f t="shared" si="275"/>
        <v>2054.4825000000001</v>
      </c>
      <c r="C10740" s="72">
        <v>1479.51</v>
      </c>
      <c r="E10740" s="112">
        <f t="shared" si="274"/>
        <v>195384</v>
      </c>
      <c r="F10740" s="69">
        <f t="shared" si="272"/>
        <v>6.0245700821725694E-2</v>
      </c>
      <c r="G10740" s="69">
        <f t="shared" si="273"/>
        <v>8.1753563636997692E-2</v>
      </c>
      <c r="I10740" s="112"/>
    </row>
    <row r="10741" spans="1:9" x14ac:dyDescent="0.3">
      <c r="A10741" s="24">
        <v>45619</v>
      </c>
      <c r="B10741" s="66">
        <f t="shared" si="275"/>
        <v>2054.4825000000001</v>
      </c>
      <c r="C10741" s="72">
        <v>1479.51</v>
      </c>
      <c r="E10741" s="112">
        <f t="shared" si="274"/>
        <v>195384</v>
      </c>
      <c r="F10741" s="69">
        <f t="shared" si="272"/>
        <v>6.0245700821725694E-2</v>
      </c>
      <c r="G10741" s="69">
        <f t="shared" si="273"/>
        <v>8.3242558002324024E-2</v>
      </c>
      <c r="I10741" s="112"/>
    </row>
    <row r="10742" spans="1:9" x14ac:dyDescent="0.3">
      <c r="A10742" s="24">
        <v>45620</v>
      </c>
      <c r="B10742" s="66">
        <f t="shared" si="275"/>
        <v>2054.4825000000001</v>
      </c>
      <c r="C10742" s="72">
        <v>1479.51</v>
      </c>
      <c r="E10742" s="112">
        <f t="shared" si="274"/>
        <v>195384</v>
      </c>
      <c r="F10742" s="69">
        <f t="shared" si="272"/>
        <v>6.0245700821725694E-2</v>
      </c>
      <c r="G10742" s="69">
        <f t="shared" si="273"/>
        <v>8.3493659981107249E-2</v>
      </c>
      <c r="I10742" s="112"/>
    </row>
    <row r="10743" spans="1:9" x14ac:dyDescent="0.3">
      <c r="A10743" s="24">
        <v>45621</v>
      </c>
      <c r="B10743" s="66">
        <f t="shared" si="275"/>
        <v>2054.4825000000001</v>
      </c>
      <c r="C10743" s="72">
        <v>1479.24</v>
      </c>
      <c r="E10743" s="112">
        <f t="shared" si="274"/>
        <v>195384</v>
      </c>
      <c r="F10743" s="69">
        <f t="shared" si="272"/>
        <v>6.0245700821725694E-2</v>
      </c>
      <c r="G10743" s="69">
        <f t="shared" si="273"/>
        <v>8.3493659981107249E-2</v>
      </c>
      <c r="I10743" s="112"/>
    </row>
    <row r="10744" spans="1:9" x14ac:dyDescent="0.3">
      <c r="A10744" s="24">
        <v>45622</v>
      </c>
      <c r="B10744" s="66">
        <f t="shared" si="275"/>
        <v>2054.4825000000001</v>
      </c>
      <c r="C10744" s="72">
        <v>1484.98</v>
      </c>
      <c r="E10744" s="112">
        <f t="shared" si="274"/>
        <v>195384</v>
      </c>
      <c r="F10744" s="69">
        <f t="shared" si="272"/>
        <v>6.0245700821725694E-2</v>
      </c>
      <c r="G10744" s="69">
        <f t="shared" si="273"/>
        <v>8.3493659981107249E-2</v>
      </c>
      <c r="I10744" s="112"/>
    </row>
    <row r="10745" spans="1:9" x14ac:dyDescent="0.3">
      <c r="A10745" s="24">
        <v>45623</v>
      </c>
      <c r="B10745" s="66">
        <f t="shared" si="275"/>
        <v>2054.4825000000001</v>
      </c>
      <c r="C10745" s="72">
        <v>1480.72</v>
      </c>
      <c r="E10745" s="112">
        <f t="shared" si="274"/>
        <v>195384</v>
      </c>
      <c r="F10745" s="69">
        <f t="shared" ref="F10745:F10746" si="276">+SUM(D10380:D10745)/B10379</f>
        <v>6.0245700821725694E-2</v>
      </c>
      <c r="G10745" s="69">
        <f t="shared" ref="G10745:G10746" si="277">+SUM(D10380:D10745)/C10379</f>
        <v>8.5370207458950714E-2</v>
      </c>
      <c r="I10745" s="112"/>
    </row>
    <row r="10746" spans="1:9" x14ac:dyDescent="0.3">
      <c r="A10746" s="24">
        <v>45624</v>
      </c>
      <c r="B10746" s="66">
        <f t="shared" si="275"/>
        <v>2054.4825000000001</v>
      </c>
      <c r="C10746" s="72">
        <v>1487.74</v>
      </c>
      <c r="E10746" s="112">
        <f t="shared" si="274"/>
        <v>195384</v>
      </c>
      <c r="F10746" s="69">
        <f t="shared" si="276"/>
        <v>6.0245700821725694E-2</v>
      </c>
      <c r="G10746" s="69">
        <f t="shared" si="277"/>
        <v>8.689351654972724E-2</v>
      </c>
      <c r="I10746" s="112"/>
    </row>
    <row r="10747" spans="1:9" x14ac:dyDescent="0.3">
      <c r="A10747" s="24">
        <v>45625</v>
      </c>
      <c r="B10747" s="66">
        <f t="shared" si="275"/>
        <v>2054.4825000000001</v>
      </c>
      <c r="C10747" s="72">
        <v>1486.18</v>
      </c>
      <c r="E10747" s="112">
        <f t="shared" si="274"/>
        <v>195384</v>
      </c>
      <c r="F10747" s="69">
        <f t="shared" ref="F10747:F10753" si="278">+SUM(D10382:D10747)/B10381</f>
        <v>6.0245700821725694E-2</v>
      </c>
      <c r="G10747" s="69">
        <f t="shared" ref="G10747:G10753" si="279">+SUM(D10382:D10747)/C10381</f>
        <v>8.4278571978936151E-2</v>
      </c>
      <c r="I10747" s="112"/>
    </row>
    <row r="10748" spans="1:9" x14ac:dyDescent="0.3">
      <c r="A10748" s="24">
        <v>45626</v>
      </c>
      <c r="B10748" s="66">
        <v>2077.5097999999998</v>
      </c>
      <c r="C10748" s="72">
        <v>1486.18</v>
      </c>
      <c r="E10748" s="112">
        <f t="shared" si="274"/>
        <v>195384</v>
      </c>
      <c r="F10748" s="69">
        <f t="shared" si="278"/>
        <v>5.9727463474476834E-2</v>
      </c>
      <c r="G10748" s="69">
        <f t="shared" si="279"/>
        <v>8.3411857654742974E-2</v>
      </c>
      <c r="I10748" s="112"/>
    </row>
    <row r="10749" spans="1:9" x14ac:dyDescent="0.3">
      <c r="A10749" s="24">
        <v>45627</v>
      </c>
      <c r="B10749" s="66">
        <f t="shared" si="275"/>
        <v>2077.5097999999998</v>
      </c>
      <c r="C10749" s="72">
        <v>1486.18</v>
      </c>
      <c r="E10749" s="112">
        <f t="shared" si="274"/>
        <v>195384</v>
      </c>
      <c r="F10749" s="69">
        <f t="shared" si="278"/>
        <v>5.9727463474476834E-2</v>
      </c>
      <c r="G10749" s="69">
        <f t="shared" si="279"/>
        <v>8.3410730467477365E-2</v>
      </c>
      <c r="I10749" s="112"/>
    </row>
    <row r="10750" spans="1:9" x14ac:dyDescent="0.3">
      <c r="A10750" s="24">
        <v>45628</v>
      </c>
      <c r="B10750" s="66">
        <f t="shared" si="275"/>
        <v>2077.5097999999998</v>
      </c>
      <c r="C10750" s="72">
        <v>1474.68</v>
      </c>
      <c r="E10750" s="112">
        <f t="shared" si="274"/>
        <v>195384</v>
      </c>
      <c r="F10750" s="69">
        <f t="shared" si="278"/>
        <v>5.9727463474476834E-2</v>
      </c>
      <c r="G10750" s="69">
        <f t="shared" si="279"/>
        <v>8.3410730467477365E-2</v>
      </c>
      <c r="I10750" s="112"/>
    </row>
    <row r="10751" spans="1:9" x14ac:dyDescent="0.3">
      <c r="A10751" s="24">
        <v>45629</v>
      </c>
      <c r="B10751" s="66">
        <f t="shared" si="275"/>
        <v>2077.5097999999998</v>
      </c>
      <c r="C10751" s="72">
        <v>1471.49</v>
      </c>
      <c r="E10751" s="112">
        <f t="shared" si="274"/>
        <v>195384</v>
      </c>
      <c r="F10751" s="69">
        <f t="shared" si="278"/>
        <v>5.9727463474476834E-2</v>
      </c>
      <c r="G10751" s="69">
        <f t="shared" si="279"/>
        <v>8.3410730467477365E-2</v>
      </c>
      <c r="I10751" s="112"/>
    </row>
    <row r="10752" spans="1:9" x14ac:dyDescent="0.3">
      <c r="A10752" s="24">
        <v>45630</v>
      </c>
      <c r="B10752" s="66">
        <f t="shared" si="275"/>
        <v>2077.5097999999998</v>
      </c>
      <c r="C10752" s="72">
        <v>1476.4</v>
      </c>
      <c r="E10752" s="112">
        <f t="shared" si="274"/>
        <v>195384</v>
      </c>
      <c r="F10752" s="69">
        <f t="shared" si="278"/>
        <v>5.9727463474476834E-2</v>
      </c>
      <c r="G10752" s="69">
        <f t="shared" si="279"/>
        <v>8.2613620668058538E-2</v>
      </c>
      <c r="I10752" s="112"/>
    </row>
    <row r="10753" spans="1:9" x14ac:dyDescent="0.3">
      <c r="A10753" s="24">
        <v>45631</v>
      </c>
      <c r="B10753" s="66">
        <f t="shared" si="275"/>
        <v>2077.5097999999998</v>
      </c>
      <c r="C10753" s="72">
        <v>1469.62</v>
      </c>
      <c r="E10753" s="112">
        <f t="shared" si="274"/>
        <v>195384</v>
      </c>
      <c r="F10753" s="69">
        <f t="shared" si="278"/>
        <v>5.9727463474476834E-2</v>
      </c>
      <c r="G10753" s="69">
        <f t="shared" si="279"/>
        <v>8.4013584703661742E-2</v>
      </c>
      <c r="I10753" s="112"/>
    </row>
    <row r="10754" spans="1:9" x14ac:dyDescent="0.3">
      <c r="A10754" s="24">
        <v>45632</v>
      </c>
      <c r="B10754" s="66">
        <f t="shared" si="275"/>
        <v>2077.5097999999998</v>
      </c>
      <c r="C10754" s="72">
        <v>1450.94</v>
      </c>
      <c r="E10754" s="112">
        <f t="shared" si="274"/>
        <v>195384</v>
      </c>
      <c r="F10754" s="69">
        <f t="shared" ref="F10754:F10760" si="280">+SUM(D10389:D10754)/B10388</f>
        <v>5.9727463474476834E-2</v>
      </c>
      <c r="G10754" s="69">
        <f t="shared" ref="G10754:G10760" si="281">+SUM(D10389:D10754)/C10388</f>
        <v>8.3990148995343905E-2</v>
      </c>
      <c r="I10754" s="112"/>
    </row>
    <row r="10755" spans="1:9" x14ac:dyDescent="0.3">
      <c r="A10755" s="24">
        <v>45633</v>
      </c>
      <c r="B10755" s="66">
        <f t="shared" si="275"/>
        <v>2077.5097999999998</v>
      </c>
      <c r="C10755" s="72">
        <v>1450.94</v>
      </c>
      <c r="E10755" s="112">
        <f t="shared" si="274"/>
        <v>195384</v>
      </c>
      <c r="F10755" s="69">
        <f t="shared" si="280"/>
        <v>5.9727463474476834E-2</v>
      </c>
      <c r="G10755" s="69">
        <f t="shared" si="281"/>
        <v>8.2347996192293049E-2</v>
      </c>
      <c r="I10755" s="112"/>
    </row>
    <row r="10756" spans="1:9" x14ac:dyDescent="0.3">
      <c r="A10756" s="24">
        <v>45634</v>
      </c>
      <c r="B10756" s="66">
        <f t="shared" si="275"/>
        <v>2077.5097999999998</v>
      </c>
      <c r="C10756" s="72">
        <v>1450.94</v>
      </c>
      <c r="E10756" s="112">
        <f t="shared" si="274"/>
        <v>195384</v>
      </c>
      <c r="F10756" s="69">
        <f t="shared" si="280"/>
        <v>5.9727463474476834E-2</v>
      </c>
      <c r="G10756" s="69">
        <f t="shared" si="281"/>
        <v>8.2347996192293049E-2</v>
      </c>
      <c r="I10756" s="112"/>
    </row>
    <row r="10757" spans="1:9" x14ac:dyDescent="0.3">
      <c r="A10757" s="24">
        <v>45635</v>
      </c>
      <c r="B10757" s="66">
        <f t="shared" si="275"/>
        <v>2077.5097999999998</v>
      </c>
      <c r="C10757" s="72">
        <v>1455.51</v>
      </c>
      <c r="E10757" s="112">
        <f t="shared" si="274"/>
        <v>195384</v>
      </c>
      <c r="F10757" s="69">
        <f t="shared" si="280"/>
        <v>5.9727463474476834E-2</v>
      </c>
      <c r="G10757" s="69">
        <f t="shared" si="281"/>
        <v>8.2347996192293049E-2</v>
      </c>
      <c r="I10757" s="112"/>
    </row>
    <row r="10758" spans="1:9" x14ac:dyDescent="0.3">
      <c r="A10758" s="24">
        <v>45636</v>
      </c>
      <c r="B10758" s="66">
        <f t="shared" si="275"/>
        <v>2077.5097999999998</v>
      </c>
      <c r="C10758" s="72">
        <v>1457.36</v>
      </c>
      <c r="E10758" s="112">
        <f t="shared" si="274"/>
        <v>195384</v>
      </c>
      <c r="F10758" s="69">
        <f t="shared" si="280"/>
        <v>5.9727463474476834E-2</v>
      </c>
      <c r="G10758" s="69">
        <f t="shared" si="281"/>
        <v>8.2347996192293049E-2</v>
      </c>
      <c r="I10758" s="112"/>
    </row>
    <row r="10759" spans="1:9" x14ac:dyDescent="0.3">
      <c r="A10759" s="24">
        <v>45637</v>
      </c>
      <c r="B10759" s="66">
        <f t="shared" si="275"/>
        <v>2077.5097999999998</v>
      </c>
      <c r="C10759" s="72">
        <v>1489.02</v>
      </c>
      <c r="E10759" s="112">
        <f t="shared" si="274"/>
        <v>195384</v>
      </c>
      <c r="F10759" s="69">
        <f t="shared" si="280"/>
        <v>5.9727463474476834E-2</v>
      </c>
      <c r="G10759" s="69">
        <f t="shared" si="281"/>
        <v>8.2403514536420724E-2</v>
      </c>
      <c r="I10759" s="112"/>
    </row>
    <row r="10760" spans="1:9" x14ac:dyDescent="0.3">
      <c r="A10760" s="24">
        <v>45638</v>
      </c>
      <c r="B10760" s="66">
        <f t="shared" si="275"/>
        <v>2077.5097999999998</v>
      </c>
      <c r="C10760" s="72">
        <v>1476.9</v>
      </c>
      <c r="E10760" s="112">
        <f t="shared" si="274"/>
        <v>195384</v>
      </c>
      <c r="F10760" s="69">
        <f t="shared" si="280"/>
        <v>5.9727463474476834E-2</v>
      </c>
      <c r="G10760" s="69">
        <f t="shared" si="281"/>
        <v>8.2403514536420724E-2</v>
      </c>
      <c r="I10760" s="112"/>
    </row>
    <row r="10761" spans="1:9" x14ac:dyDescent="0.3">
      <c r="A10761" s="24">
        <v>45639</v>
      </c>
      <c r="B10761" s="66">
        <f t="shared" si="275"/>
        <v>2077.5097999999998</v>
      </c>
      <c r="C10761" s="72">
        <v>1483.58</v>
      </c>
      <c r="E10761" s="112">
        <f t="shared" si="274"/>
        <v>195384</v>
      </c>
      <c r="F10761" s="69">
        <f t="shared" ref="F10761:F10767" si="282">+SUM(D10396:D10761)/B10395</f>
        <v>5.9727463474476834E-2</v>
      </c>
      <c r="G10761" s="69">
        <f t="shared" ref="G10761:G10767" si="283">+SUM(D10396:D10761)/C10395</f>
        <v>8.2301330772270073E-2</v>
      </c>
      <c r="I10761" s="112"/>
    </row>
    <row r="10762" spans="1:9" x14ac:dyDescent="0.3">
      <c r="A10762" s="24">
        <v>45640</v>
      </c>
      <c r="B10762" s="66">
        <f t="shared" si="275"/>
        <v>2077.5097999999998</v>
      </c>
      <c r="C10762" s="72">
        <v>1483.58</v>
      </c>
      <c r="E10762" s="112">
        <f t="shared" si="274"/>
        <v>195384</v>
      </c>
      <c r="F10762" s="69">
        <f t="shared" si="282"/>
        <v>5.9727463474476834E-2</v>
      </c>
      <c r="G10762" s="69">
        <f t="shared" si="283"/>
        <v>8.2330970909802195E-2</v>
      </c>
      <c r="I10762" s="112"/>
    </row>
    <row r="10763" spans="1:9" x14ac:dyDescent="0.3">
      <c r="A10763" s="24">
        <v>45641</v>
      </c>
      <c r="B10763" s="66">
        <f t="shared" si="275"/>
        <v>2077.5097999999998</v>
      </c>
      <c r="C10763" s="72">
        <v>1483.58</v>
      </c>
      <c r="E10763" s="112">
        <f t="shared" si="274"/>
        <v>195384</v>
      </c>
      <c r="F10763" s="69">
        <f t="shared" si="282"/>
        <v>5.9727463474476834E-2</v>
      </c>
      <c r="G10763" s="69">
        <f t="shared" si="283"/>
        <v>8.2244306152517002E-2</v>
      </c>
      <c r="I10763" s="112"/>
    </row>
    <row r="10764" spans="1:9" x14ac:dyDescent="0.3">
      <c r="A10764" s="24">
        <v>45642</v>
      </c>
      <c r="B10764" s="66">
        <f t="shared" si="275"/>
        <v>2077.5097999999998</v>
      </c>
      <c r="C10764" s="72">
        <v>1474.83</v>
      </c>
      <c r="E10764" s="112">
        <f t="shared" si="274"/>
        <v>195384</v>
      </c>
      <c r="F10764" s="69">
        <f t="shared" si="282"/>
        <v>5.9727463474476834E-2</v>
      </c>
      <c r="G10764" s="69">
        <f t="shared" si="283"/>
        <v>8.2244306152517002E-2</v>
      </c>
      <c r="I10764" s="112"/>
    </row>
    <row r="10765" spans="1:9" x14ac:dyDescent="0.3">
      <c r="A10765" s="24">
        <v>45643</v>
      </c>
      <c r="B10765" s="66">
        <f t="shared" si="275"/>
        <v>2077.5097999999998</v>
      </c>
      <c r="C10765" s="72">
        <v>1476.54</v>
      </c>
      <c r="E10765" s="112">
        <f t="shared" si="274"/>
        <v>195384</v>
      </c>
      <c r="F10765" s="69">
        <f t="shared" si="282"/>
        <v>5.9727463474476834E-2</v>
      </c>
      <c r="G10765" s="69">
        <f t="shared" si="283"/>
        <v>8.2244306152517002E-2</v>
      </c>
      <c r="I10765" s="112"/>
    </row>
    <row r="10766" spans="1:9" x14ac:dyDescent="0.3">
      <c r="A10766" s="24">
        <v>45644</v>
      </c>
      <c r="B10766" s="66">
        <f t="shared" si="275"/>
        <v>2077.5097999999998</v>
      </c>
      <c r="C10766" s="72">
        <v>1458.49</v>
      </c>
      <c r="D10766" s="71">
        <v>17</v>
      </c>
      <c r="E10766" s="112">
        <f t="shared" si="274"/>
        <v>195384</v>
      </c>
      <c r="F10766" s="69">
        <f t="shared" si="282"/>
        <v>5.8275981368517575E-2</v>
      </c>
      <c r="G10766" s="69">
        <f t="shared" si="283"/>
        <v>8.0944524701697218E-2</v>
      </c>
      <c r="I10766" s="112"/>
    </row>
    <row r="10767" spans="1:9" x14ac:dyDescent="0.3">
      <c r="A10767" s="24">
        <v>45645</v>
      </c>
      <c r="B10767" s="66">
        <f t="shared" si="275"/>
        <v>2077.5097999999998</v>
      </c>
      <c r="C10767" s="72">
        <v>1453.98</v>
      </c>
      <c r="E10767" s="112">
        <f t="shared" si="274"/>
        <v>195384</v>
      </c>
      <c r="F10767" s="69">
        <f t="shared" si="282"/>
        <v>5.8275981368517575E-2</v>
      </c>
      <c r="G10767" s="69">
        <f t="shared" si="283"/>
        <v>8.0053091248083547E-2</v>
      </c>
      <c r="I10767" s="112"/>
    </row>
    <row r="10768" spans="1:9" x14ac:dyDescent="0.3">
      <c r="A10768" s="24">
        <v>45646</v>
      </c>
      <c r="B10768" s="66">
        <f t="shared" si="275"/>
        <v>2077.5097999999998</v>
      </c>
      <c r="C10768" s="72">
        <v>1443.41</v>
      </c>
      <c r="E10768" s="112">
        <f t="shared" ref="E10768:E10831" si="284">+E10767</f>
        <v>195384</v>
      </c>
      <c r="F10768" s="69">
        <f t="shared" ref="F10768:F10774" si="285">+SUM(D10403:D10768)/B10402</f>
        <v>5.8275981368517575E-2</v>
      </c>
      <c r="G10768" s="69">
        <f t="shared" ref="G10768:G10774" si="286">+SUM(D10403:D10768)/C10402</f>
        <v>7.9242027034122697E-2</v>
      </c>
      <c r="I10768" s="112"/>
    </row>
    <row r="10769" spans="1:9" x14ac:dyDescent="0.3">
      <c r="A10769" s="24">
        <v>45647</v>
      </c>
      <c r="B10769" s="66">
        <f t="shared" si="275"/>
        <v>2077.5097999999998</v>
      </c>
      <c r="C10769" s="72">
        <v>1443.41</v>
      </c>
      <c r="E10769" s="112">
        <f t="shared" si="284"/>
        <v>195384</v>
      </c>
      <c r="F10769" s="69">
        <f t="shared" si="285"/>
        <v>5.8275981368517575E-2</v>
      </c>
      <c r="G10769" s="69">
        <f t="shared" si="286"/>
        <v>7.8798783874826805E-2</v>
      </c>
      <c r="I10769" s="112"/>
    </row>
    <row r="10770" spans="1:9" x14ac:dyDescent="0.3">
      <c r="A10770" s="24">
        <v>45648</v>
      </c>
      <c r="B10770" s="66">
        <f t="shared" ref="B10770:B10833" si="287">+B10769</f>
        <v>2077.5097999999998</v>
      </c>
      <c r="C10770" s="72">
        <v>1443.41</v>
      </c>
      <c r="E10770" s="112">
        <f t="shared" si="284"/>
        <v>195384</v>
      </c>
      <c r="F10770" s="69">
        <f t="shared" si="285"/>
        <v>5.8275981368517575E-2</v>
      </c>
      <c r="G10770" s="69">
        <f t="shared" si="286"/>
        <v>7.9242027034122697E-2</v>
      </c>
      <c r="I10770" s="112"/>
    </row>
    <row r="10771" spans="1:9" x14ac:dyDescent="0.3">
      <c r="A10771" s="24">
        <v>45649</v>
      </c>
      <c r="B10771" s="66">
        <f t="shared" si="287"/>
        <v>2077.5097999999998</v>
      </c>
      <c r="C10771" s="72">
        <v>1441.05</v>
      </c>
      <c r="E10771" s="112">
        <f t="shared" si="284"/>
        <v>195384</v>
      </c>
      <c r="F10771" s="69">
        <f t="shared" si="285"/>
        <v>5.8275981368517575E-2</v>
      </c>
      <c r="G10771" s="69">
        <f t="shared" si="286"/>
        <v>7.9242027034122697E-2</v>
      </c>
      <c r="I10771" s="112"/>
    </row>
    <row r="10772" spans="1:9" x14ac:dyDescent="0.3">
      <c r="A10772" s="24">
        <v>45650</v>
      </c>
      <c r="B10772" s="66">
        <f t="shared" si="287"/>
        <v>2077.5097999999998</v>
      </c>
      <c r="C10772" s="72">
        <v>1434.64</v>
      </c>
      <c r="E10772" s="112">
        <f t="shared" si="284"/>
        <v>195384</v>
      </c>
      <c r="F10772" s="69">
        <f t="shared" si="285"/>
        <v>5.8275981368517575E-2</v>
      </c>
      <c r="G10772" s="69">
        <f t="shared" si="286"/>
        <v>7.9242027034122697E-2</v>
      </c>
      <c r="I10772" s="112"/>
    </row>
    <row r="10773" spans="1:9" x14ac:dyDescent="0.3">
      <c r="A10773" s="24">
        <v>45651</v>
      </c>
      <c r="B10773" s="66">
        <f t="shared" si="287"/>
        <v>2077.5097999999998</v>
      </c>
      <c r="C10773" s="72">
        <v>1434.64</v>
      </c>
      <c r="E10773" s="112">
        <f t="shared" si="284"/>
        <v>195384</v>
      </c>
      <c r="F10773" s="69">
        <f t="shared" si="285"/>
        <v>5.8275981368517575E-2</v>
      </c>
      <c r="G10773" s="69">
        <f t="shared" si="286"/>
        <v>7.9242027034122697E-2</v>
      </c>
      <c r="I10773" s="112"/>
    </row>
    <row r="10774" spans="1:9" x14ac:dyDescent="0.3">
      <c r="A10774" s="24">
        <v>45652</v>
      </c>
      <c r="B10774" s="66">
        <f t="shared" si="287"/>
        <v>2077.5097999999998</v>
      </c>
      <c r="C10774" s="72">
        <v>1442.18</v>
      </c>
      <c r="E10774" s="112">
        <f t="shared" si="284"/>
        <v>195384</v>
      </c>
      <c r="F10774" s="69">
        <f t="shared" si="285"/>
        <v>5.8275981368517575E-2</v>
      </c>
      <c r="G10774" s="69">
        <f t="shared" si="286"/>
        <v>8.030394099064371E-2</v>
      </c>
      <c r="I10774" s="112"/>
    </row>
    <row r="10775" spans="1:9" x14ac:dyDescent="0.3">
      <c r="A10775" s="24">
        <v>45653</v>
      </c>
      <c r="B10775" s="66">
        <f t="shared" si="287"/>
        <v>2077.5097999999998</v>
      </c>
      <c r="C10775" s="72">
        <v>1426.66</v>
      </c>
      <c r="E10775" s="112">
        <f t="shared" si="284"/>
        <v>195384</v>
      </c>
      <c r="F10775" s="69">
        <f t="shared" ref="F10775:F10781" si="288">+SUM(D10410:D10775)/B10409</f>
        <v>5.8275981368517575E-2</v>
      </c>
      <c r="G10775" s="69">
        <f t="shared" ref="G10775:G10781" si="289">+SUM(D10410:D10775)/C10409</f>
        <v>8.1774341680776755E-2</v>
      </c>
      <c r="I10775" s="112"/>
    </row>
    <row r="10776" spans="1:9" x14ac:dyDescent="0.3">
      <c r="A10776" s="24">
        <v>45654</v>
      </c>
      <c r="B10776" s="66">
        <f t="shared" si="287"/>
        <v>2077.5097999999998</v>
      </c>
      <c r="C10776" s="72">
        <v>1426.66</v>
      </c>
      <c r="E10776" s="112">
        <f t="shared" si="284"/>
        <v>195384</v>
      </c>
      <c r="F10776" s="69">
        <f t="shared" si="288"/>
        <v>5.8275981368517575E-2</v>
      </c>
      <c r="G10776" s="69">
        <f t="shared" si="289"/>
        <v>8.1772676170341702E-2</v>
      </c>
      <c r="I10776" s="112"/>
    </row>
    <row r="10777" spans="1:9" x14ac:dyDescent="0.3">
      <c r="A10777" s="24">
        <v>45655</v>
      </c>
      <c r="B10777" s="66">
        <f t="shared" si="287"/>
        <v>2077.5097999999998</v>
      </c>
      <c r="C10777" s="72">
        <v>1426.66</v>
      </c>
      <c r="E10777" s="112">
        <f t="shared" si="284"/>
        <v>195384</v>
      </c>
      <c r="F10777" s="69">
        <f t="shared" si="288"/>
        <v>5.8275981368517575E-2</v>
      </c>
      <c r="G10777" s="69">
        <f t="shared" si="289"/>
        <v>8.1548453356352704E-2</v>
      </c>
      <c r="I10777" s="112"/>
    </row>
    <row r="10778" spans="1:9" x14ac:dyDescent="0.3">
      <c r="A10778" s="24">
        <v>45656</v>
      </c>
      <c r="B10778" s="66">
        <f t="shared" si="287"/>
        <v>2077.5097999999998</v>
      </c>
      <c r="C10778" s="72">
        <v>1422.54</v>
      </c>
      <c r="E10778" s="112">
        <f t="shared" si="284"/>
        <v>195384</v>
      </c>
      <c r="F10778" s="69">
        <f t="shared" si="288"/>
        <v>5.8275981368517575E-2</v>
      </c>
      <c r="G10778" s="69">
        <f t="shared" si="289"/>
        <v>8.1548453356352704E-2</v>
      </c>
      <c r="I10778" s="112"/>
    </row>
    <row r="10779" spans="1:9" x14ac:dyDescent="0.3">
      <c r="A10779" s="24">
        <v>45657</v>
      </c>
      <c r="B10779" s="66">
        <v>2047.85</v>
      </c>
      <c r="C10779" s="72">
        <v>1422.54</v>
      </c>
      <c r="E10779" s="112">
        <f t="shared" si="284"/>
        <v>195384</v>
      </c>
      <c r="F10779" s="69">
        <f t="shared" si="288"/>
        <v>5.9026646989725998E-2</v>
      </c>
      <c r="G10779" s="69">
        <f t="shared" si="289"/>
        <v>8.1548453356352704E-2</v>
      </c>
      <c r="I10779" s="112"/>
    </row>
    <row r="10780" spans="1:9" x14ac:dyDescent="0.3">
      <c r="A10780" s="24">
        <v>45658</v>
      </c>
      <c r="B10780" s="66">
        <f t="shared" si="287"/>
        <v>2047.85</v>
      </c>
      <c r="C10780" s="72">
        <v>1422.54</v>
      </c>
      <c r="E10780" s="112">
        <f t="shared" si="284"/>
        <v>195384</v>
      </c>
      <c r="F10780" s="69">
        <f t="shared" si="288"/>
        <v>5.9026646989725998E-2</v>
      </c>
      <c r="G10780" s="69">
        <f t="shared" si="289"/>
        <v>8.1548453356352704E-2</v>
      </c>
      <c r="I10780" s="112"/>
    </row>
    <row r="10781" spans="1:9" x14ac:dyDescent="0.3">
      <c r="A10781" s="24">
        <v>45659</v>
      </c>
      <c r="B10781" s="66">
        <f t="shared" si="287"/>
        <v>2047.85</v>
      </c>
      <c r="C10781" s="72">
        <v>1419.42</v>
      </c>
      <c r="E10781" s="112">
        <f t="shared" si="284"/>
        <v>195384</v>
      </c>
      <c r="F10781" s="69">
        <f t="shared" si="288"/>
        <v>5.9026646989725998E-2</v>
      </c>
      <c r="G10781" s="69">
        <f t="shared" si="289"/>
        <v>8.0662644798099759E-2</v>
      </c>
      <c r="I10781" s="112"/>
    </row>
    <row r="10782" spans="1:9" x14ac:dyDescent="0.3">
      <c r="A10782" s="24">
        <v>45660</v>
      </c>
      <c r="B10782" s="66">
        <f t="shared" si="287"/>
        <v>2047.85</v>
      </c>
      <c r="C10782" s="72">
        <v>1421.5</v>
      </c>
      <c r="E10782" s="112">
        <f t="shared" si="284"/>
        <v>195384</v>
      </c>
      <c r="F10782" s="69">
        <f t="shared" ref="F10782:F10786" si="290">+SUM(D10417:D10782)/B10416</f>
        <v>5.9026646989725998E-2</v>
      </c>
      <c r="G10782" s="69">
        <f t="shared" ref="G10782:G10786" si="291">+SUM(D10417:D10782)/C10416</f>
        <v>8.0920053404725967E-2</v>
      </c>
      <c r="I10782" s="112"/>
    </row>
    <row r="10783" spans="1:9" x14ac:dyDescent="0.3">
      <c r="A10783" s="24">
        <v>45663</v>
      </c>
      <c r="B10783" s="66">
        <f t="shared" si="287"/>
        <v>2047.85</v>
      </c>
      <c r="C10783" s="72">
        <v>1416.15</v>
      </c>
      <c r="E10783" s="112">
        <f t="shared" si="284"/>
        <v>195384</v>
      </c>
      <c r="F10783" s="69">
        <f t="shared" si="290"/>
        <v>5.9026646989725998E-2</v>
      </c>
      <c r="G10783" s="69">
        <f t="shared" si="291"/>
        <v>8.1237695150517653E-2</v>
      </c>
      <c r="I10783" s="112"/>
    </row>
    <row r="10784" spans="1:9" x14ac:dyDescent="0.3">
      <c r="A10784" s="24">
        <v>45664</v>
      </c>
      <c r="B10784" s="66">
        <f t="shared" si="287"/>
        <v>2047.85</v>
      </c>
      <c r="C10784" s="72">
        <v>1410.11</v>
      </c>
      <c r="E10784" s="112">
        <f t="shared" si="284"/>
        <v>195384</v>
      </c>
      <c r="F10784" s="69">
        <f t="shared" si="290"/>
        <v>5.9026646989725998E-2</v>
      </c>
      <c r="G10784" s="69">
        <f t="shared" si="291"/>
        <v>8.1380404234873249E-2</v>
      </c>
      <c r="I10784" s="112"/>
    </row>
    <row r="10785" spans="1:9" x14ac:dyDescent="0.3">
      <c r="A10785" s="24">
        <v>45665</v>
      </c>
      <c r="B10785" s="66">
        <f t="shared" si="287"/>
        <v>2047.85</v>
      </c>
      <c r="C10785" s="72">
        <v>1414.84</v>
      </c>
      <c r="E10785" s="112">
        <f t="shared" si="284"/>
        <v>195384</v>
      </c>
      <c r="F10785" s="69">
        <f t="shared" si="290"/>
        <v>5.9026646989725998E-2</v>
      </c>
      <c r="G10785" s="69">
        <f t="shared" si="291"/>
        <v>8.1380404234873249E-2</v>
      </c>
      <c r="I10785" s="112"/>
    </row>
    <row r="10786" spans="1:9" x14ac:dyDescent="0.3">
      <c r="A10786" s="24">
        <v>45666</v>
      </c>
      <c r="B10786" s="66">
        <f t="shared" si="287"/>
        <v>2047.85</v>
      </c>
      <c r="C10786" s="72">
        <v>1419.97</v>
      </c>
      <c r="E10786" s="112">
        <f t="shared" si="284"/>
        <v>195384</v>
      </c>
      <c r="F10786" s="69">
        <f t="shared" si="290"/>
        <v>5.9026646989725998E-2</v>
      </c>
      <c r="G10786" s="69">
        <f t="shared" si="291"/>
        <v>8.1380404234873249E-2</v>
      </c>
      <c r="I10786" s="112"/>
    </row>
    <row r="10787" spans="1:9" x14ac:dyDescent="0.3">
      <c r="A10787" s="24">
        <v>45667</v>
      </c>
      <c r="B10787" s="66">
        <f t="shared" si="287"/>
        <v>2047.85</v>
      </c>
      <c r="C10787" s="72">
        <v>1419.99</v>
      </c>
      <c r="E10787" s="112">
        <f t="shared" si="284"/>
        <v>195384</v>
      </c>
      <c r="F10787" s="69">
        <f t="shared" ref="F10787:F10793" si="292">+SUM(D10422:D10787)/B10421</f>
        <v>5.9026646989725998E-2</v>
      </c>
      <c r="G10787" s="69">
        <f t="shared" ref="G10787:G10793" si="293">+SUM(D10422:D10787)/C10421</f>
        <v>8.1088388296586419E-2</v>
      </c>
      <c r="I10787" s="112"/>
    </row>
    <row r="10788" spans="1:9" x14ac:dyDescent="0.3">
      <c r="A10788" s="24">
        <v>45668</v>
      </c>
      <c r="B10788" s="66">
        <f t="shared" si="287"/>
        <v>2047.85</v>
      </c>
      <c r="C10788" s="72">
        <v>1419.99</v>
      </c>
      <c r="E10788" s="112">
        <f t="shared" si="284"/>
        <v>195384</v>
      </c>
      <c r="F10788" s="69">
        <f t="shared" si="292"/>
        <v>5.9026646989725998E-2</v>
      </c>
      <c r="G10788" s="69">
        <f t="shared" si="293"/>
        <v>8.1328751581273812E-2</v>
      </c>
      <c r="I10788" s="112"/>
    </row>
    <row r="10789" spans="1:9" x14ac:dyDescent="0.3">
      <c r="A10789" s="24">
        <v>45669</v>
      </c>
      <c r="B10789" s="66">
        <f t="shared" si="287"/>
        <v>2047.85</v>
      </c>
      <c r="C10789" s="72">
        <v>1419.99</v>
      </c>
      <c r="E10789" s="112">
        <f t="shared" si="284"/>
        <v>195384</v>
      </c>
      <c r="F10789" s="69">
        <f t="shared" si="292"/>
        <v>5.9026646989725998E-2</v>
      </c>
      <c r="G10789" s="69">
        <f t="shared" si="293"/>
        <v>8.1205380813663575E-2</v>
      </c>
      <c r="I10789" s="112"/>
    </row>
    <row r="10790" spans="1:9" x14ac:dyDescent="0.3">
      <c r="A10790" s="24">
        <v>45670</v>
      </c>
      <c r="B10790" s="66">
        <f t="shared" si="287"/>
        <v>2047.85</v>
      </c>
      <c r="C10790" s="72">
        <v>1416.57</v>
      </c>
      <c r="E10790" s="112">
        <f t="shared" si="284"/>
        <v>195384</v>
      </c>
      <c r="F10790" s="69">
        <f t="shared" si="292"/>
        <v>5.9026646989725998E-2</v>
      </c>
      <c r="G10790" s="69">
        <f t="shared" si="293"/>
        <v>8.1178563017689429E-2</v>
      </c>
      <c r="I10790" s="112"/>
    </row>
    <row r="10791" spans="1:9" x14ac:dyDescent="0.3">
      <c r="A10791" s="24">
        <v>45671</v>
      </c>
      <c r="B10791" s="66">
        <f t="shared" si="287"/>
        <v>2047.85</v>
      </c>
      <c r="C10791" s="72">
        <v>1419.76</v>
      </c>
      <c r="E10791" s="112">
        <f t="shared" si="284"/>
        <v>195384</v>
      </c>
      <c r="F10791" s="69">
        <f t="shared" si="292"/>
        <v>5.9026646989725998E-2</v>
      </c>
      <c r="G10791" s="69">
        <f t="shared" si="293"/>
        <v>8.1276616007197613E-2</v>
      </c>
      <c r="I10791" s="112"/>
    </row>
    <row r="10792" spans="1:9" x14ac:dyDescent="0.3">
      <c r="A10792" s="24">
        <v>45672</v>
      </c>
      <c r="B10792" s="66">
        <f t="shared" si="287"/>
        <v>2047.85</v>
      </c>
      <c r="C10792" s="72">
        <v>1419.83</v>
      </c>
      <c r="E10792" s="112">
        <f t="shared" si="284"/>
        <v>195384</v>
      </c>
      <c r="F10792" s="69">
        <f t="shared" si="292"/>
        <v>5.9026646989725998E-2</v>
      </c>
      <c r="G10792" s="69">
        <f t="shared" si="293"/>
        <v>8.1276616007197613E-2</v>
      </c>
      <c r="I10792" s="112"/>
    </row>
    <row r="10793" spans="1:9" x14ac:dyDescent="0.3">
      <c r="A10793" s="24">
        <v>45673</v>
      </c>
      <c r="B10793" s="66">
        <f t="shared" si="287"/>
        <v>2047.85</v>
      </c>
      <c r="C10793" s="72">
        <v>1418.45</v>
      </c>
      <c r="E10793" s="112">
        <f t="shared" si="284"/>
        <v>195384</v>
      </c>
      <c r="F10793" s="69">
        <f t="shared" si="292"/>
        <v>5.9026646989725998E-2</v>
      </c>
      <c r="G10793" s="69">
        <f t="shared" si="293"/>
        <v>8.1276616007197613E-2</v>
      </c>
      <c r="I10793" s="112"/>
    </row>
    <row r="10794" spans="1:9" x14ac:dyDescent="0.3">
      <c r="A10794" s="24">
        <v>45674</v>
      </c>
      <c r="B10794" s="66">
        <f t="shared" si="287"/>
        <v>2047.85</v>
      </c>
      <c r="C10794" s="72">
        <v>1416.22</v>
      </c>
      <c r="E10794" s="112">
        <f t="shared" si="284"/>
        <v>195384</v>
      </c>
      <c r="F10794" s="69">
        <f t="shared" ref="F10794:F10800" si="294">+SUM(D10429:D10794)/B10428</f>
        <v>5.9026646989725998E-2</v>
      </c>
      <c r="G10794" s="69">
        <f t="shared" ref="G10794:G10800" si="295">+SUM(D10429:D10794)/C10428</f>
        <v>8.0729683906639121E-2</v>
      </c>
    </row>
    <row r="10795" spans="1:9" x14ac:dyDescent="0.3">
      <c r="A10795" s="24">
        <v>45675</v>
      </c>
      <c r="B10795" s="66">
        <f t="shared" si="287"/>
        <v>2047.85</v>
      </c>
      <c r="C10795" s="72">
        <v>1416.22</v>
      </c>
      <c r="E10795" s="112">
        <f t="shared" si="284"/>
        <v>195384</v>
      </c>
      <c r="F10795" s="69">
        <f t="shared" si="294"/>
        <v>5.9026646989725998E-2</v>
      </c>
      <c r="G10795" s="69">
        <f t="shared" si="295"/>
        <v>8.1056192608155234E-2</v>
      </c>
    </row>
    <row r="10796" spans="1:9" x14ac:dyDescent="0.3">
      <c r="A10796" s="24">
        <v>45676</v>
      </c>
      <c r="B10796" s="66">
        <f t="shared" si="287"/>
        <v>2047.85</v>
      </c>
      <c r="C10796" s="72">
        <v>1416.22</v>
      </c>
      <c r="E10796" s="112">
        <f t="shared" si="284"/>
        <v>195384</v>
      </c>
      <c r="F10796" s="69">
        <f t="shared" si="294"/>
        <v>5.9026646989725998E-2</v>
      </c>
      <c r="G10796" s="69">
        <f t="shared" si="295"/>
        <v>8.099786899691773E-2</v>
      </c>
    </row>
    <row r="10797" spans="1:9" x14ac:dyDescent="0.3">
      <c r="A10797" s="24">
        <v>45677</v>
      </c>
      <c r="B10797" s="66">
        <f t="shared" si="287"/>
        <v>2047.85</v>
      </c>
      <c r="C10797" s="72">
        <v>1419.14</v>
      </c>
      <c r="E10797" s="112">
        <f t="shared" si="284"/>
        <v>195384</v>
      </c>
      <c r="F10797" s="69">
        <f t="shared" si="294"/>
        <v>5.9026646989725998E-2</v>
      </c>
      <c r="G10797" s="69">
        <f t="shared" si="295"/>
        <v>8.1364461844743816E-2</v>
      </c>
    </row>
    <row r="10798" spans="1:9" x14ac:dyDescent="0.3">
      <c r="A10798" s="24">
        <v>45678</v>
      </c>
      <c r="B10798" s="66">
        <f t="shared" si="287"/>
        <v>2047.85</v>
      </c>
      <c r="C10798" s="72">
        <v>1400.46</v>
      </c>
      <c r="E10798" s="112">
        <f t="shared" si="284"/>
        <v>195384</v>
      </c>
      <c r="F10798" s="69">
        <f t="shared" si="294"/>
        <v>5.9026646989725998E-2</v>
      </c>
      <c r="G10798" s="69">
        <f t="shared" si="295"/>
        <v>8.1581593928425372E-2</v>
      </c>
    </row>
    <row r="10799" spans="1:9" x14ac:dyDescent="0.3">
      <c r="A10799" s="24">
        <v>45679</v>
      </c>
      <c r="B10799" s="66">
        <f t="shared" si="287"/>
        <v>2047.85</v>
      </c>
      <c r="C10799" s="72">
        <v>1401.09</v>
      </c>
      <c r="E10799" s="112">
        <f t="shared" si="284"/>
        <v>195384</v>
      </c>
      <c r="F10799" s="69">
        <f t="shared" si="294"/>
        <v>5.9026646989725998E-2</v>
      </c>
      <c r="G10799" s="69">
        <f t="shared" si="295"/>
        <v>8.1581593928425372E-2</v>
      </c>
    </row>
    <row r="10800" spans="1:9" x14ac:dyDescent="0.3">
      <c r="A10800" s="24">
        <v>45680</v>
      </c>
      <c r="B10800" s="66">
        <f t="shared" si="287"/>
        <v>2047.85</v>
      </c>
      <c r="C10800" s="72">
        <v>1415.75</v>
      </c>
      <c r="E10800" s="112">
        <f t="shared" si="284"/>
        <v>195384</v>
      </c>
      <c r="F10800" s="69">
        <f t="shared" si="294"/>
        <v>5.9026646989725998E-2</v>
      </c>
      <c r="G10800" s="69">
        <f t="shared" si="295"/>
        <v>8.1581593928425372E-2</v>
      </c>
    </row>
    <row r="10801" spans="1:7" x14ac:dyDescent="0.3">
      <c r="A10801" s="24">
        <v>45681</v>
      </c>
      <c r="B10801" s="66">
        <f t="shared" si="287"/>
        <v>2047.85</v>
      </c>
      <c r="C10801" s="72">
        <v>1419.82</v>
      </c>
      <c r="E10801" s="112">
        <f t="shared" si="284"/>
        <v>195384</v>
      </c>
      <c r="F10801" s="69">
        <f t="shared" ref="F10801:F10807" si="296">+SUM(D10436:D10801)/B10435</f>
        <v>5.9026646989725998E-2</v>
      </c>
      <c r="G10801" s="69">
        <f t="shared" ref="G10801:G10807" si="297">+SUM(D10436:D10801)/C10435</f>
        <v>8.1659580401265433E-2</v>
      </c>
    </row>
    <row r="10802" spans="1:7" x14ac:dyDescent="0.3">
      <c r="A10802" s="24">
        <v>45682</v>
      </c>
      <c r="B10802" s="66">
        <f t="shared" si="287"/>
        <v>2047.85</v>
      </c>
      <c r="C10802" s="72">
        <v>1419.82</v>
      </c>
      <c r="E10802" s="112">
        <f t="shared" si="284"/>
        <v>195384</v>
      </c>
      <c r="F10802" s="69">
        <f t="shared" si="296"/>
        <v>5.9026646989725998E-2</v>
      </c>
      <c r="G10802" s="69">
        <f t="shared" si="297"/>
        <v>8.1659580401265433E-2</v>
      </c>
    </row>
    <row r="10803" spans="1:7" x14ac:dyDescent="0.3">
      <c r="A10803" s="24">
        <v>45683</v>
      </c>
      <c r="B10803" s="66">
        <f t="shared" si="287"/>
        <v>2047.85</v>
      </c>
      <c r="C10803" s="72">
        <v>1419.82</v>
      </c>
      <c r="E10803" s="112">
        <f t="shared" si="284"/>
        <v>195384</v>
      </c>
      <c r="F10803" s="69">
        <f t="shared" si="296"/>
        <v>5.9026646989725998E-2</v>
      </c>
      <c r="G10803" s="69">
        <f t="shared" si="297"/>
        <v>8.1109684236947144E-2</v>
      </c>
    </row>
    <row r="10804" spans="1:7" x14ac:dyDescent="0.3">
      <c r="A10804" s="24">
        <v>45684</v>
      </c>
      <c r="B10804" s="66">
        <f t="shared" si="287"/>
        <v>2047.85</v>
      </c>
      <c r="C10804" s="72">
        <v>1418.42</v>
      </c>
      <c r="E10804" s="112">
        <f t="shared" si="284"/>
        <v>195384</v>
      </c>
      <c r="F10804" s="69">
        <f t="shared" si="296"/>
        <v>5.9026646989725998E-2</v>
      </c>
      <c r="G10804" s="69">
        <f t="shared" si="297"/>
        <v>8.1383153554277679E-2</v>
      </c>
    </row>
    <row r="10805" spans="1:7" x14ac:dyDescent="0.3">
      <c r="A10805" s="24">
        <v>45685</v>
      </c>
      <c r="B10805" s="66">
        <f t="shared" si="287"/>
        <v>2047.85</v>
      </c>
      <c r="C10805" s="72">
        <v>1419.33</v>
      </c>
      <c r="E10805" s="112">
        <f t="shared" si="284"/>
        <v>195384</v>
      </c>
      <c r="F10805" s="69">
        <f t="shared" si="296"/>
        <v>5.9026646989725998E-2</v>
      </c>
      <c r="G10805" s="69">
        <f t="shared" si="297"/>
        <v>8.0298587394577667E-2</v>
      </c>
    </row>
    <row r="10806" spans="1:7" x14ac:dyDescent="0.3">
      <c r="A10806" s="24">
        <v>45686</v>
      </c>
      <c r="B10806" s="66">
        <f t="shared" si="287"/>
        <v>2047.85</v>
      </c>
      <c r="C10806" s="72">
        <v>1416.67</v>
      </c>
      <c r="E10806" s="112">
        <f t="shared" si="284"/>
        <v>195384</v>
      </c>
      <c r="F10806" s="69">
        <f t="shared" si="296"/>
        <v>5.9026646989725998E-2</v>
      </c>
      <c r="G10806" s="69">
        <f t="shared" si="297"/>
        <v>8.0298587394577667E-2</v>
      </c>
    </row>
    <row r="10807" spans="1:7" x14ac:dyDescent="0.3">
      <c r="A10807" s="24">
        <v>45687</v>
      </c>
      <c r="B10807" s="66">
        <f t="shared" si="287"/>
        <v>2047.85</v>
      </c>
      <c r="C10807" s="72">
        <v>1437.16</v>
      </c>
      <c r="E10807" s="112">
        <f t="shared" si="284"/>
        <v>195384</v>
      </c>
      <c r="F10807" s="69">
        <f t="shared" si="296"/>
        <v>5.9026646989725998E-2</v>
      </c>
      <c r="G10807" s="69">
        <f t="shared" si="297"/>
        <v>8.0298587394577667E-2</v>
      </c>
    </row>
    <row r="10808" spans="1:7" x14ac:dyDescent="0.3">
      <c r="A10808" s="24">
        <v>45688</v>
      </c>
      <c r="B10808" s="66">
        <v>2051.0277999999998</v>
      </c>
      <c r="C10808" s="72">
        <v>1456.4</v>
      </c>
      <c r="E10808" s="112">
        <f t="shared" si="284"/>
        <v>195384</v>
      </c>
      <c r="F10808" s="69">
        <f t="shared" ref="F10808:F10814" si="298">+SUM(D10443:D10808)/B10442</f>
        <v>5.9026646989725998E-2</v>
      </c>
      <c r="G10808" s="69">
        <f t="shared" ref="G10808:G10814" si="299">+SUM(D10443:D10808)/C10442</f>
        <v>7.9415487177167565E-2</v>
      </c>
    </row>
    <row r="10809" spans="1:7" x14ac:dyDescent="0.3">
      <c r="A10809" s="24">
        <v>45689</v>
      </c>
      <c r="B10809" s="66">
        <f t="shared" si="287"/>
        <v>2051.0277999999998</v>
      </c>
      <c r="C10809" s="72">
        <v>1456.4</v>
      </c>
      <c r="E10809" s="112">
        <f t="shared" si="284"/>
        <v>195384</v>
      </c>
      <c r="F10809" s="69">
        <f t="shared" si="298"/>
        <v>5.9026646989725998E-2</v>
      </c>
      <c r="G10809" s="69">
        <f t="shared" si="299"/>
        <v>8.0307153490950037E-2</v>
      </c>
    </row>
    <row r="10810" spans="1:7" x14ac:dyDescent="0.3">
      <c r="A10810" s="24">
        <v>45690</v>
      </c>
      <c r="B10810" s="66">
        <f t="shared" si="287"/>
        <v>2051.0277999999998</v>
      </c>
      <c r="C10810" s="72">
        <v>1456.4</v>
      </c>
      <c r="E10810" s="112">
        <f t="shared" si="284"/>
        <v>195384</v>
      </c>
      <c r="F10810" s="69">
        <f t="shared" si="298"/>
        <v>5.9714968965203681E-2</v>
      </c>
      <c r="G10810" s="69">
        <f t="shared" si="299"/>
        <v>8.0178319914705615E-2</v>
      </c>
    </row>
    <row r="10811" spans="1:7" x14ac:dyDescent="0.3">
      <c r="A10811" s="24">
        <v>45691</v>
      </c>
      <c r="B10811" s="66">
        <f t="shared" si="287"/>
        <v>2051.0277999999998</v>
      </c>
      <c r="C10811" s="72">
        <v>1475.73</v>
      </c>
      <c r="E10811" s="112">
        <f t="shared" si="284"/>
        <v>195384</v>
      </c>
      <c r="F10811" s="69">
        <f t="shared" si="298"/>
        <v>5.9714968965203681E-2</v>
      </c>
      <c r="G10811" s="69">
        <f t="shared" si="299"/>
        <v>8.0439624870183399E-2</v>
      </c>
    </row>
    <row r="10812" spans="1:7" x14ac:dyDescent="0.3">
      <c r="A10812" s="24">
        <v>45692</v>
      </c>
      <c r="B10812" s="66">
        <f t="shared" si="287"/>
        <v>2051.0277999999998</v>
      </c>
      <c r="C10812" s="72">
        <v>1480.73</v>
      </c>
      <c r="E10812" s="112">
        <f t="shared" si="284"/>
        <v>195384</v>
      </c>
      <c r="F10812" s="69">
        <f t="shared" si="298"/>
        <v>5.9714968965203681E-2</v>
      </c>
      <c r="G10812" s="69">
        <f t="shared" si="299"/>
        <v>8.0444460015405603E-2</v>
      </c>
    </row>
    <row r="10813" spans="1:7" x14ac:dyDescent="0.3">
      <c r="A10813" s="24">
        <v>45693</v>
      </c>
      <c r="B10813" s="66">
        <f t="shared" si="287"/>
        <v>2051.0277999999998</v>
      </c>
      <c r="C10813" s="72">
        <v>1509.65</v>
      </c>
      <c r="E10813" s="112">
        <f t="shared" si="284"/>
        <v>195384</v>
      </c>
      <c r="F10813" s="69">
        <f t="shared" si="298"/>
        <v>5.9714968965203681E-2</v>
      </c>
      <c r="G10813" s="69">
        <f t="shared" si="299"/>
        <v>8.0444460015405603E-2</v>
      </c>
    </row>
    <row r="10814" spans="1:7" x14ac:dyDescent="0.3">
      <c r="A10814" s="24">
        <v>45694</v>
      </c>
      <c r="B10814" s="66">
        <f t="shared" si="287"/>
        <v>2051.0277999999998</v>
      </c>
      <c r="C10814" s="72">
        <v>1504.35</v>
      </c>
      <c r="E10814" s="112">
        <f t="shared" si="284"/>
        <v>195384</v>
      </c>
      <c r="F10814" s="69">
        <f t="shared" si="298"/>
        <v>5.9714968965203681E-2</v>
      </c>
      <c r="G10814" s="69">
        <f t="shared" si="299"/>
        <v>8.0444460015405603E-2</v>
      </c>
    </row>
    <row r="10815" spans="1:7" x14ac:dyDescent="0.3">
      <c r="A10815" s="24">
        <v>45695</v>
      </c>
      <c r="B10815" s="66">
        <f t="shared" si="287"/>
        <v>2051.0277999999998</v>
      </c>
      <c r="C10815" s="72">
        <v>1500.58</v>
      </c>
      <c r="E10815" s="112">
        <f t="shared" si="284"/>
        <v>195384</v>
      </c>
      <c r="F10815" s="69">
        <f t="shared" ref="F10815:F10828" si="300">+SUM(D10450:D10815)/B10449</f>
        <v>5.9714968965203681E-2</v>
      </c>
      <c r="G10815" s="69">
        <f t="shared" ref="G10815:G10828" si="301">+SUM(D10450:D10815)/C10449</f>
        <v>8.0441236520674336E-2</v>
      </c>
    </row>
    <row r="10816" spans="1:7" x14ac:dyDescent="0.3">
      <c r="A10816" s="24">
        <v>45696</v>
      </c>
      <c r="B10816" s="66">
        <f t="shared" si="287"/>
        <v>2051.0277999999998</v>
      </c>
      <c r="C10816" s="72">
        <v>1500.58</v>
      </c>
      <c r="E10816" s="112">
        <f t="shared" si="284"/>
        <v>195384</v>
      </c>
      <c r="F10816" s="69">
        <f t="shared" si="300"/>
        <v>5.9714968965203681E-2</v>
      </c>
      <c r="G10816" s="69">
        <f t="shared" si="301"/>
        <v>7.9734070177719427E-2</v>
      </c>
    </row>
    <row r="10817" spans="1:7" x14ac:dyDescent="0.3">
      <c r="A10817" s="24">
        <v>45697</v>
      </c>
      <c r="B10817" s="66">
        <f t="shared" si="287"/>
        <v>2051.0277999999998</v>
      </c>
      <c r="C10817" s="72">
        <v>1500.58</v>
      </c>
      <c r="E10817" s="112">
        <f t="shared" si="284"/>
        <v>195384</v>
      </c>
      <c r="F10817" s="69">
        <f t="shared" si="300"/>
        <v>5.9714968965203681E-2</v>
      </c>
      <c r="G10817" s="69">
        <f t="shared" si="301"/>
        <v>7.9780017282243085E-2</v>
      </c>
    </row>
    <row r="10818" spans="1:7" x14ac:dyDescent="0.3">
      <c r="A10818" s="24">
        <v>45698</v>
      </c>
      <c r="B10818" s="66">
        <f t="shared" si="287"/>
        <v>2051.0277999999998</v>
      </c>
      <c r="C10818" s="72">
        <v>1486.18</v>
      </c>
      <c r="E10818" s="112">
        <f t="shared" si="284"/>
        <v>195384</v>
      </c>
      <c r="F10818" s="69">
        <f t="shared" si="300"/>
        <v>5.9714968965203681E-2</v>
      </c>
      <c r="G10818" s="69">
        <f t="shared" si="301"/>
        <v>7.9655501975297111E-2</v>
      </c>
    </row>
    <row r="10819" spans="1:7" x14ac:dyDescent="0.3">
      <c r="A10819" s="24">
        <v>45699</v>
      </c>
      <c r="B10819" s="66">
        <f t="shared" si="287"/>
        <v>2051.0277999999998</v>
      </c>
      <c r="C10819" s="72">
        <v>1491.26</v>
      </c>
      <c r="E10819" s="112">
        <f t="shared" si="284"/>
        <v>195384</v>
      </c>
      <c r="F10819" s="69">
        <f t="shared" si="300"/>
        <v>5.9714968965203681E-2</v>
      </c>
      <c r="G10819" s="69">
        <f t="shared" si="301"/>
        <v>7.8746751413391117E-2</v>
      </c>
    </row>
    <row r="10820" spans="1:7" x14ac:dyDescent="0.3">
      <c r="A10820" s="24">
        <v>45700</v>
      </c>
      <c r="B10820" s="66">
        <f t="shared" si="287"/>
        <v>2051.0277999999998</v>
      </c>
      <c r="C10820" s="72">
        <v>1477.11</v>
      </c>
      <c r="E10820" s="112">
        <f t="shared" si="284"/>
        <v>195384</v>
      </c>
      <c r="F10820" s="69">
        <f t="shared" si="300"/>
        <v>5.9714968965203681E-2</v>
      </c>
      <c r="G10820" s="69">
        <f t="shared" si="301"/>
        <v>7.8746751413391117E-2</v>
      </c>
    </row>
    <row r="10821" spans="1:7" x14ac:dyDescent="0.3">
      <c r="A10821" s="24">
        <v>45701</v>
      </c>
      <c r="B10821" s="66">
        <f t="shared" si="287"/>
        <v>2051.0277999999998</v>
      </c>
      <c r="C10821" s="72">
        <v>1490.59</v>
      </c>
      <c r="E10821" s="112">
        <f t="shared" si="284"/>
        <v>195384</v>
      </c>
      <c r="F10821" s="69">
        <f t="shared" si="300"/>
        <v>5.9714968965203681E-2</v>
      </c>
      <c r="G10821" s="69">
        <f t="shared" si="301"/>
        <v>7.8746751413391117E-2</v>
      </c>
    </row>
    <row r="10822" spans="1:7" x14ac:dyDescent="0.3">
      <c r="A10822" s="24">
        <v>45702</v>
      </c>
      <c r="B10822" s="66">
        <f t="shared" si="287"/>
        <v>2051.0277999999998</v>
      </c>
      <c r="C10822" s="72">
        <v>1499.14</v>
      </c>
      <c r="E10822" s="112">
        <f t="shared" si="284"/>
        <v>195384</v>
      </c>
      <c r="F10822" s="69">
        <f t="shared" si="300"/>
        <v>5.9714968965203681E-2</v>
      </c>
      <c r="G10822" s="69">
        <f t="shared" si="301"/>
        <v>7.8704557751582291E-2</v>
      </c>
    </row>
    <row r="10823" spans="1:7" x14ac:dyDescent="0.3">
      <c r="A10823" s="24">
        <v>45703</v>
      </c>
      <c r="B10823" s="66">
        <f t="shared" si="287"/>
        <v>2051.0277999999998</v>
      </c>
      <c r="C10823" s="72">
        <v>1499.14</v>
      </c>
      <c r="E10823" s="112">
        <f t="shared" si="284"/>
        <v>195384</v>
      </c>
      <c r="F10823" s="69">
        <f t="shared" si="300"/>
        <v>5.9714968965203681E-2</v>
      </c>
      <c r="G10823" s="69">
        <f t="shared" si="301"/>
        <v>7.952717380863393E-2</v>
      </c>
    </row>
    <row r="10824" spans="1:7" x14ac:dyDescent="0.3">
      <c r="A10824" s="24">
        <v>45704</v>
      </c>
      <c r="B10824" s="66">
        <f t="shared" si="287"/>
        <v>2051.0277999999998</v>
      </c>
      <c r="C10824" s="72">
        <v>1499.14</v>
      </c>
      <c r="E10824" s="112">
        <f t="shared" si="284"/>
        <v>195384</v>
      </c>
      <c r="F10824" s="69">
        <f t="shared" si="300"/>
        <v>5.9714968965203681E-2</v>
      </c>
      <c r="G10824" s="69">
        <f t="shared" si="301"/>
        <v>7.9182119509493804E-2</v>
      </c>
    </row>
    <row r="10825" spans="1:7" x14ac:dyDescent="0.3">
      <c r="A10825" s="24">
        <v>45705</v>
      </c>
      <c r="B10825" s="66">
        <f t="shared" si="287"/>
        <v>2051.0277999999998</v>
      </c>
      <c r="C10825" s="72">
        <v>1493.18</v>
      </c>
      <c r="E10825" s="112">
        <f t="shared" si="284"/>
        <v>195384</v>
      </c>
      <c r="F10825" s="69">
        <f t="shared" si="300"/>
        <v>5.9714968965203681E-2</v>
      </c>
      <c r="G10825" s="69">
        <f t="shared" si="301"/>
        <v>7.7835357772277652E-2</v>
      </c>
    </row>
    <row r="10826" spans="1:7" x14ac:dyDescent="0.3">
      <c r="A10826" s="24">
        <v>45706</v>
      </c>
      <c r="B10826" s="66">
        <f t="shared" si="287"/>
        <v>2051.0277999999998</v>
      </c>
      <c r="C10826" s="72">
        <v>1487.46</v>
      </c>
      <c r="E10826" s="112">
        <f t="shared" si="284"/>
        <v>195384</v>
      </c>
      <c r="F10826" s="69">
        <f t="shared" si="300"/>
        <v>5.9714968965203681E-2</v>
      </c>
      <c r="G10826" s="69">
        <f t="shared" si="301"/>
        <v>7.765870901286695E-2</v>
      </c>
    </row>
    <row r="10827" spans="1:7" x14ac:dyDescent="0.3">
      <c r="A10827" s="24">
        <v>45707</v>
      </c>
      <c r="B10827" s="66">
        <f t="shared" si="287"/>
        <v>2051.0277999999998</v>
      </c>
      <c r="C10827" s="72">
        <v>1486.91</v>
      </c>
      <c r="E10827" s="112">
        <f t="shared" si="284"/>
        <v>195384</v>
      </c>
      <c r="F10827" s="69">
        <f t="shared" si="300"/>
        <v>5.9714968965203681E-2</v>
      </c>
      <c r="G10827" s="69">
        <f t="shared" si="301"/>
        <v>7.765870901286695E-2</v>
      </c>
    </row>
    <row r="10828" spans="1:7" x14ac:dyDescent="0.3">
      <c r="A10828" s="24">
        <v>45708</v>
      </c>
      <c r="B10828" s="66">
        <f t="shared" si="287"/>
        <v>2051.0277999999998</v>
      </c>
      <c r="C10828" s="72">
        <v>1481.8</v>
      </c>
      <c r="E10828" s="112">
        <f t="shared" si="284"/>
        <v>195384</v>
      </c>
      <c r="F10828" s="69">
        <f t="shared" si="300"/>
        <v>5.9714968965203681E-2</v>
      </c>
      <c r="G10828" s="69">
        <f t="shared" si="301"/>
        <v>7.765870901286695E-2</v>
      </c>
    </row>
    <row r="10829" spans="1:7" x14ac:dyDescent="0.3">
      <c r="A10829" s="24">
        <v>45709</v>
      </c>
      <c r="B10829" s="66">
        <f t="shared" si="287"/>
        <v>2051.0277999999998</v>
      </c>
      <c r="C10829" s="72">
        <v>1487.68</v>
      </c>
      <c r="E10829" s="112">
        <f t="shared" si="284"/>
        <v>195384</v>
      </c>
      <c r="F10829" s="69">
        <f t="shared" ref="F10829:F10835" si="302">+SUM(D10464:D10829)/B10463</f>
        <v>5.9714968965203681E-2</v>
      </c>
      <c r="G10829" s="69">
        <f t="shared" ref="G10829:G10835" si="303">+SUM(D10464:D10829)/C10463</f>
        <v>7.7008280272788984E-2</v>
      </c>
    </row>
    <row r="10830" spans="1:7" x14ac:dyDescent="0.3">
      <c r="A10830" s="24">
        <v>45710</v>
      </c>
      <c r="B10830" s="66">
        <f t="shared" si="287"/>
        <v>2051.0277999999998</v>
      </c>
      <c r="C10830" s="72">
        <v>1487.68</v>
      </c>
      <c r="E10830" s="112">
        <f t="shared" si="284"/>
        <v>195384</v>
      </c>
      <c r="F10830" s="69">
        <f t="shared" si="302"/>
        <v>5.9714968965203681E-2</v>
      </c>
      <c r="G10830" s="69">
        <f t="shared" si="303"/>
        <v>7.5503131815847169E-2</v>
      </c>
    </row>
    <row r="10831" spans="1:7" x14ac:dyDescent="0.3">
      <c r="A10831" s="24">
        <v>45711</v>
      </c>
      <c r="B10831" s="66">
        <f t="shared" si="287"/>
        <v>2051.0277999999998</v>
      </c>
      <c r="C10831" s="72">
        <v>1487.68</v>
      </c>
      <c r="E10831" s="112">
        <f t="shared" si="284"/>
        <v>195384</v>
      </c>
      <c r="F10831" s="69">
        <f t="shared" si="302"/>
        <v>5.9714968965203681E-2</v>
      </c>
      <c r="G10831" s="69">
        <f t="shared" si="303"/>
        <v>7.8795175447048005E-2</v>
      </c>
    </row>
    <row r="10832" spans="1:7" x14ac:dyDescent="0.3">
      <c r="A10832" s="24">
        <v>45712</v>
      </c>
      <c r="B10832" s="66">
        <f t="shared" si="287"/>
        <v>2051.0277999999998</v>
      </c>
      <c r="C10832" s="72">
        <v>1497.72</v>
      </c>
      <c r="E10832" s="112">
        <f t="shared" ref="E10832:E10895" si="304">+E10831</f>
        <v>195384</v>
      </c>
      <c r="F10832" s="69">
        <f t="shared" si="302"/>
        <v>5.9714968965203681E-2</v>
      </c>
      <c r="G10832" s="69">
        <f t="shared" si="303"/>
        <v>8.0237072305809884E-2</v>
      </c>
    </row>
    <row r="10833" spans="1:7" x14ac:dyDescent="0.3">
      <c r="A10833" s="24">
        <v>45713</v>
      </c>
      <c r="B10833" s="66">
        <f t="shared" si="287"/>
        <v>2051.0277999999998</v>
      </c>
      <c r="C10833" s="72">
        <v>1481.27</v>
      </c>
      <c r="E10833" s="112">
        <f t="shared" si="304"/>
        <v>195384</v>
      </c>
      <c r="F10833" s="69">
        <f t="shared" si="302"/>
        <v>5.9714968965203681E-2</v>
      </c>
      <c r="G10833" s="69">
        <f t="shared" si="303"/>
        <v>7.8383419185804507E-2</v>
      </c>
    </row>
    <row r="10834" spans="1:7" x14ac:dyDescent="0.3">
      <c r="A10834" s="24">
        <v>45714</v>
      </c>
      <c r="B10834" s="66">
        <f t="shared" ref="B10834:B10855" si="305">+B10833</f>
        <v>2051.0277999999998</v>
      </c>
      <c r="C10834" s="72">
        <v>1480.12</v>
      </c>
      <c r="E10834" s="112">
        <f t="shared" si="304"/>
        <v>195384</v>
      </c>
      <c r="F10834" s="69">
        <f t="shared" si="302"/>
        <v>5.9714968965203681E-2</v>
      </c>
      <c r="G10834" s="69">
        <f t="shared" si="303"/>
        <v>7.8383419185804507E-2</v>
      </c>
    </row>
    <row r="10835" spans="1:7" x14ac:dyDescent="0.3">
      <c r="A10835" s="24">
        <v>45715</v>
      </c>
      <c r="B10835" s="66">
        <f t="shared" si="305"/>
        <v>2051.0277999999998</v>
      </c>
      <c r="C10835" s="72">
        <v>1501.13</v>
      </c>
      <c r="E10835" s="112">
        <f t="shared" si="304"/>
        <v>195384</v>
      </c>
      <c r="F10835" s="69">
        <f t="shared" si="302"/>
        <v>5.9714968965203681E-2</v>
      </c>
      <c r="G10835" s="69">
        <f t="shared" si="303"/>
        <v>7.8383419185804507E-2</v>
      </c>
    </row>
    <row r="10836" spans="1:7" x14ac:dyDescent="0.3">
      <c r="A10836" s="24">
        <v>45716</v>
      </c>
      <c r="B10836" s="66">
        <v>2061.5781999999999</v>
      </c>
      <c r="C10836" s="1">
        <v>1512.76</v>
      </c>
      <c r="E10836" s="112">
        <f t="shared" si="304"/>
        <v>195384</v>
      </c>
      <c r="F10836" s="69">
        <f t="shared" ref="F10836:F10854" si="306">+SUM(D10471:D10836)/B10470</f>
        <v>5.9714968965203681E-2</v>
      </c>
      <c r="G10836" s="69">
        <f t="shared" ref="G10836:G10854" si="307">+SUM(D10471:D10836)/C10470</f>
        <v>7.8420163088074646E-2</v>
      </c>
    </row>
    <row r="10837" spans="1:7" x14ac:dyDescent="0.3">
      <c r="A10837" s="24">
        <v>45717</v>
      </c>
      <c r="B10837" s="66">
        <f t="shared" si="305"/>
        <v>2061.5781999999999</v>
      </c>
      <c r="C10837" s="1">
        <v>1512.76</v>
      </c>
      <c r="E10837" s="112">
        <f t="shared" si="304"/>
        <v>195384</v>
      </c>
      <c r="F10837" s="69">
        <f t="shared" si="306"/>
        <v>5.9714968965203681E-2</v>
      </c>
      <c r="G10837" s="69">
        <f t="shared" si="307"/>
        <v>7.6934498235084858E-2</v>
      </c>
    </row>
    <row r="10838" spans="1:7" x14ac:dyDescent="0.3">
      <c r="A10838" s="24">
        <v>45718</v>
      </c>
      <c r="B10838" s="66">
        <f t="shared" si="305"/>
        <v>2061.5781999999999</v>
      </c>
      <c r="C10838" s="1">
        <v>1512.76</v>
      </c>
      <c r="E10838" s="112">
        <f t="shared" si="304"/>
        <v>195384</v>
      </c>
      <c r="F10838" s="69">
        <f t="shared" si="306"/>
        <v>5.9714968965203681E-2</v>
      </c>
      <c r="G10838" s="69">
        <f t="shared" si="307"/>
        <v>7.6428260293323752E-2</v>
      </c>
    </row>
    <row r="10839" spans="1:7" x14ac:dyDescent="0.3">
      <c r="A10839" s="24">
        <v>45719</v>
      </c>
      <c r="B10839" s="66">
        <f t="shared" si="305"/>
        <v>2061.5781999999999</v>
      </c>
      <c r="C10839" s="1">
        <v>1502.15</v>
      </c>
      <c r="E10839" s="112">
        <f t="shared" si="304"/>
        <v>195384</v>
      </c>
      <c r="F10839" s="69">
        <f t="shared" si="306"/>
        <v>5.9391585295492516E-2</v>
      </c>
      <c r="G10839" s="69">
        <f t="shared" si="307"/>
        <v>7.5534382132224506E-2</v>
      </c>
    </row>
    <row r="10840" spans="1:7" x14ac:dyDescent="0.3">
      <c r="A10840" s="24">
        <v>45720</v>
      </c>
      <c r="B10840" s="66">
        <f t="shared" si="305"/>
        <v>2061.5781999999999</v>
      </c>
      <c r="C10840" s="72">
        <v>1497.69</v>
      </c>
      <c r="E10840" s="112">
        <f t="shared" si="304"/>
        <v>195384</v>
      </c>
      <c r="F10840" s="69">
        <f t="shared" si="306"/>
        <v>5.9391585295492516E-2</v>
      </c>
      <c r="G10840" s="69">
        <f t="shared" si="307"/>
        <v>7.606097683832512E-2</v>
      </c>
    </row>
    <row r="10841" spans="1:7" x14ac:dyDescent="0.3">
      <c r="A10841" s="24">
        <v>45721</v>
      </c>
      <c r="B10841" s="66">
        <f t="shared" si="305"/>
        <v>2061.5781999999999</v>
      </c>
      <c r="C10841" s="72">
        <v>1500</v>
      </c>
      <c r="E10841" s="112">
        <f t="shared" si="304"/>
        <v>195384</v>
      </c>
      <c r="F10841" s="69">
        <f t="shared" si="306"/>
        <v>5.9391585295492516E-2</v>
      </c>
      <c r="G10841" s="69">
        <f t="shared" si="307"/>
        <v>7.606097683832512E-2</v>
      </c>
    </row>
    <row r="10842" spans="1:7" x14ac:dyDescent="0.3">
      <c r="A10842" s="24">
        <v>45722</v>
      </c>
      <c r="B10842" s="66">
        <f t="shared" si="305"/>
        <v>2061.5781999999999</v>
      </c>
      <c r="C10842" s="72">
        <v>1498.74</v>
      </c>
      <c r="E10842" s="112">
        <f t="shared" si="304"/>
        <v>195384</v>
      </c>
      <c r="F10842" s="69">
        <f t="shared" si="306"/>
        <v>5.9391585295492516E-2</v>
      </c>
      <c r="G10842" s="69">
        <f t="shared" si="307"/>
        <v>7.606097683832512E-2</v>
      </c>
    </row>
    <row r="10843" spans="1:7" x14ac:dyDescent="0.3">
      <c r="A10843" s="24">
        <v>45723</v>
      </c>
      <c r="B10843" s="66">
        <f t="shared" si="305"/>
        <v>2061.5781999999999</v>
      </c>
      <c r="C10843" s="72">
        <v>1500.08</v>
      </c>
      <c r="E10843" s="112">
        <f t="shared" si="304"/>
        <v>195384</v>
      </c>
      <c r="F10843" s="69">
        <f t="shared" si="306"/>
        <v>5.9391585295492516E-2</v>
      </c>
      <c r="G10843" s="69">
        <f t="shared" si="307"/>
        <v>7.6518570034855793E-2</v>
      </c>
    </row>
    <row r="10844" spans="1:7" x14ac:dyDescent="0.3">
      <c r="A10844" s="24">
        <v>45724</v>
      </c>
      <c r="B10844" s="66">
        <f t="shared" si="305"/>
        <v>2061.5781999999999</v>
      </c>
      <c r="C10844" s="72">
        <v>1500.08</v>
      </c>
      <c r="E10844" s="112">
        <f t="shared" si="304"/>
        <v>195384</v>
      </c>
      <c r="F10844" s="69">
        <f t="shared" si="306"/>
        <v>5.9391585295492516E-2</v>
      </c>
      <c r="G10844" s="69">
        <f t="shared" si="307"/>
        <v>7.748684797119619E-2</v>
      </c>
    </row>
    <row r="10845" spans="1:7" x14ac:dyDescent="0.3">
      <c r="A10845" s="24">
        <v>45725</v>
      </c>
      <c r="B10845" s="66">
        <f t="shared" si="305"/>
        <v>2061.5781999999999</v>
      </c>
      <c r="C10845" s="72">
        <v>1500.08</v>
      </c>
      <c r="E10845" s="112">
        <f t="shared" si="304"/>
        <v>195384</v>
      </c>
      <c r="F10845" s="69">
        <f t="shared" si="306"/>
        <v>5.9391585295492516E-2</v>
      </c>
      <c r="G10845" s="69">
        <f t="shared" si="307"/>
        <v>7.7488343471350044E-2</v>
      </c>
    </row>
    <row r="10846" spans="1:7" x14ac:dyDescent="0.3">
      <c r="A10846" s="24">
        <v>45726</v>
      </c>
      <c r="B10846" s="66">
        <f t="shared" si="305"/>
        <v>2061.5781999999999</v>
      </c>
      <c r="C10846" s="72">
        <v>1500.6</v>
      </c>
      <c r="E10846" s="112">
        <f t="shared" si="304"/>
        <v>195384</v>
      </c>
      <c r="F10846" s="69">
        <f t="shared" si="306"/>
        <v>5.9391585295492516E-2</v>
      </c>
      <c r="G10846" s="69">
        <f t="shared" si="307"/>
        <v>7.7160718188255289E-2</v>
      </c>
    </row>
    <row r="10847" spans="1:7" x14ac:dyDescent="0.3">
      <c r="A10847" s="24">
        <v>45727</v>
      </c>
      <c r="B10847" s="66">
        <f t="shared" si="305"/>
        <v>2061.5781999999999</v>
      </c>
      <c r="C10847" s="72">
        <v>1497.92</v>
      </c>
      <c r="E10847" s="112">
        <f t="shared" si="304"/>
        <v>195384</v>
      </c>
      <c r="F10847" s="69">
        <f t="shared" si="306"/>
        <v>5.9391585295492516E-2</v>
      </c>
      <c r="G10847" s="69">
        <f t="shared" si="307"/>
        <v>7.6963502295122374E-2</v>
      </c>
    </row>
    <row r="10848" spans="1:7" x14ac:dyDescent="0.3">
      <c r="A10848" s="24">
        <v>45728</v>
      </c>
      <c r="B10848" s="66">
        <f t="shared" si="305"/>
        <v>2061.5781999999999</v>
      </c>
      <c r="C10848" s="72">
        <v>1496.02</v>
      </c>
      <c r="E10848" s="112">
        <f t="shared" si="304"/>
        <v>195384</v>
      </c>
      <c r="F10848" s="69">
        <f t="shared" si="306"/>
        <v>5.9391585295492516E-2</v>
      </c>
      <c r="G10848" s="69">
        <f t="shared" si="307"/>
        <v>7.6963502295122374E-2</v>
      </c>
    </row>
    <row r="10849" spans="1:7" x14ac:dyDescent="0.3">
      <c r="A10849" s="24">
        <v>45729</v>
      </c>
      <c r="B10849" s="66">
        <f t="shared" si="305"/>
        <v>2061.5781999999999</v>
      </c>
      <c r="C10849" s="72">
        <v>1496.02</v>
      </c>
      <c r="E10849" s="112">
        <f t="shared" si="304"/>
        <v>195384</v>
      </c>
      <c r="F10849" s="69">
        <f t="shared" si="306"/>
        <v>5.9391585295492516E-2</v>
      </c>
      <c r="G10849" s="69">
        <f t="shared" si="307"/>
        <v>7.6963502295122374E-2</v>
      </c>
    </row>
    <row r="10850" spans="1:7" x14ac:dyDescent="0.3">
      <c r="A10850" s="24">
        <v>45730</v>
      </c>
      <c r="B10850" s="66">
        <f t="shared" si="305"/>
        <v>2061.5781999999999</v>
      </c>
      <c r="C10850" s="72">
        <v>1515</v>
      </c>
      <c r="E10850" s="112">
        <f t="shared" si="304"/>
        <v>195384</v>
      </c>
      <c r="F10850" s="69">
        <f t="shared" si="306"/>
        <v>5.9391585295492516E-2</v>
      </c>
      <c r="G10850" s="69">
        <f t="shared" si="307"/>
        <v>7.5992354001177612E-2</v>
      </c>
    </row>
    <row r="10851" spans="1:7" x14ac:dyDescent="0.3">
      <c r="A10851" s="24">
        <v>45731</v>
      </c>
      <c r="B10851" s="66">
        <f t="shared" si="305"/>
        <v>2061.5781999999999</v>
      </c>
      <c r="C10851" s="72">
        <v>1515</v>
      </c>
      <c r="E10851" s="112">
        <f t="shared" si="304"/>
        <v>195384</v>
      </c>
      <c r="F10851" s="69">
        <f t="shared" si="306"/>
        <v>5.9391585295492516E-2</v>
      </c>
      <c r="G10851" s="69">
        <f t="shared" si="307"/>
        <v>7.6184136148327017E-2</v>
      </c>
    </row>
    <row r="10852" spans="1:7" x14ac:dyDescent="0.3">
      <c r="A10852" s="24">
        <v>45732</v>
      </c>
      <c r="B10852" s="66">
        <f t="shared" si="305"/>
        <v>2061.5781999999999</v>
      </c>
      <c r="C10852" s="72">
        <v>1515</v>
      </c>
      <c r="E10852" s="112">
        <f t="shared" si="304"/>
        <v>195384</v>
      </c>
      <c r="F10852" s="69">
        <f t="shared" si="306"/>
        <v>5.9391585295492516E-2</v>
      </c>
      <c r="G10852" s="69">
        <f t="shared" si="307"/>
        <v>7.6546774805446707E-2</v>
      </c>
    </row>
    <row r="10853" spans="1:7" x14ac:dyDescent="0.3">
      <c r="A10853" s="24">
        <v>45733</v>
      </c>
      <c r="B10853" s="66">
        <f t="shared" si="305"/>
        <v>2061.5781999999999</v>
      </c>
      <c r="C10853" s="72">
        <v>1495.89</v>
      </c>
      <c r="E10853" s="112">
        <f t="shared" si="304"/>
        <v>195384</v>
      </c>
      <c r="F10853" s="69">
        <f t="shared" si="306"/>
        <v>5.9391585295492516E-2</v>
      </c>
      <c r="G10853" s="69">
        <f t="shared" si="307"/>
        <v>7.6548234238454971E-2</v>
      </c>
    </row>
    <row r="10854" spans="1:7" x14ac:dyDescent="0.3">
      <c r="A10854" s="24">
        <v>45734</v>
      </c>
      <c r="B10854" s="66">
        <f t="shared" si="305"/>
        <v>2061.5781999999999</v>
      </c>
      <c r="C10854" s="72">
        <v>1480.83</v>
      </c>
      <c r="E10854" s="112">
        <f t="shared" si="304"/>
        <v>195384</v>
      </c>
      <c r="F10854" s="69">
        <f t="shared" si="306"/>
        <v>5.9391585295492516E-2</v>
      </c>
      <c r="G10854" s="69">
        <f t="shared" si="307"/>
        <v>7.6512737159905544E-2</v>
      </c>
    </row>
    <row r="10855" spans="1:7" x14ac:dyDescent="0.3">
      <c r="A10855" s="24">
        <v>45735</v>
      </c>
      <c r="B10855" s="66">
        <f t="shared" si="305"/>
        <v>2061.5781999999999</v>
      </c>
      <c r="C10855" s="72">
        <v>1499.42</v>
      </c>
      <c r="E10855" s="112">
        <f t="shared" si="304"/>
        <v>195384</v>
      </c>
      <c r="F10855" s="69">
        <f t="shared" ref="F10855" si="308">+SUM(D10490:D10855)/B10489</f>
        <v>5.9391585295492516E-2</v>
      </c>
      <c r="G10855" s="69">
        <f t="shared" ref="G10855" si="309">+SUM(D10490:D10855)/C10489</f>
        <v>7.6512737159905544E-2</v>
      </c>
    </row>
    <row r="10856" spans="1:7" x14ac:dyDescent="0.3">
      <c r="A10856" s="24">
        <v>45736</v>
      </c>
      <c r="B10856" s="66">
        <f>+B10855</f>
        <v>2061.5781999999999</v>
      </c>
      <c r="C10856" s="72">
        <v>1501.34</v>
      </c>
      <c r="E10856" s="112">
        <f t="shared" si="304"/>
        <v>195384</v>
      </c>
      <c r="F10856" s="69">
        <f t="shared" ref="F10856" si="310">+SUM(D10491:D10856)/B10490</f>
        <v>5.9391585295492516E-2</v>
      </c>
      <c r="G10856" s="69">
        <f t="shared" ref="G10856" si="311">+SUM(D10491:D10856)/C10490</f>
        <v>7.6512737159905544E-2</v>
      </c>
    </row>
    <row r="10857" spans="1:7" x14ac:dyDescent="0.3">
      <c r="A10857" s="24">
        <v>45737</v>
      </c>
      <c r="B10857" s="66">
        <f>+B10856</f>
        <v>2061.5781999999999</v>
      </c>
      <c r="C10857" s="72">
        <v>1517.81</v>
      </c>
      <c r="E10857" s="112">
        <f t="shared" si="304"/>
        <v>195384</v>
      </c>
      <c r="F10857" s="69">
        <f t="shared" ref="F10857:F10870" si="312">+SUM(D10492:D10857)/B10491</f>
        <v>5.9391585295492516E-2</v>
      </c>
      <c r="G10857" s="69">
        <f t="shared" ref="G10857:G10870" si="313">+SUM(D10492:D10857)/C10491</f>
        <v>7.68564434792854E-2</v>
      </c>
    </row>
    <row r="10858" spans="1:7" x14ac:dyDescent="0.3">
      <c r="A10858" s="24">
        <v>45738</v>
      </c>
      <c r="B10858" s="66">
        <f t="shared" ref="B10858:B10870" si="314">+B10857</f>
        <v>2061.5781999999999</v>
      </c>
      <c r="C10858" s="72">
        <v>1517.81</v>
      </c>
      <c r="E10858" s="112">
        <f t="shared" si="304"/>
        <v>195384</v>
      </c>
      <c r="F10858" s="69">
        <f t="shared" si="312"/>
        <v>5.9391585295492516E-2</v>
      </c>
      <c r="G10858" s="69">
        <f t="shared" si="313"/>
        <v>7.6677370764601432E-2</v>
      </c>
    </row>
    <row r="10859" spans="1:7" x14ac:dyDescent="0.3">
      <c r="A10859" s="24">
        <v>45739</v>
      </c>
      <c r="B10859" s="66">
        <f t="shared" si="314"/>
        <v>2061.5781999999999</v>
      </c>
      <c r="C10859" s="72">
        <v>1517.81</v>
      </c>
      <c r="E10859" s="112">
        <f t="shared" si="304"/>
        <v>195384</v>
      </c>
      <c r="F10859" s="69">
        <f t="shared" si="312"/>
        <v>5.9391585295492516E-2</v>
      </c>
      <c r="G10859" s="69">
        <f t="shared" si="313"/>
        <v>7.5465760116703959E-2</v>
      </c>
    </row>
    <row r="10860" spans="1:7" x14ac:dyDescent="0.3">
      <c r="A10860" s="24">
        <v>45740</v>
      </c>
      <c r="B10860" s="66">
        <f t="shared" si="314"/>
        <v>2061.5781999999999</v>
      </c>
      <c r="C10860" s="72">
        <v>1507.48</v>
      </c>
      <c r="E10860" s="112">
        <f t="shared" si="304"/>
        <v>195384</v>
      </c>
      <c r="F10860" s="69">
        <f t="shared" si="312"/>
        <v>5.9391585295492516E-2</v>
      </c>
      <c r="G10860" s="69">
        <f t="shared" si="313"/>
        <v>7.5236664600271411E-2</v>
      </c>
    </row>
    <row r="10861" spans="1:7" x14ac:dyDescent="0.3">
      <c r="A10861" s="24">
        <v>45741</v>
      </c>
      <c r="B10861" s="66">
        <f t="shared" si="314"/>
        <v>2061.5781999999999</v>
      </c>
      <c r="C10861" s="72">
        <v>1509.24</v>
      </c>
      <c r="E10861" s="112">
        <f t="shared" si="304"/>
        <v>195384</v>
      </c>
      <c r="F10861" s="69">
        <f t="shared" si="312"/>
        <v>5.9391585295492516E-2</v>
      </c>
      <c r="G10861" s="69">
        <f t="shared" si="313"/>
        <v>7.6718395599914974E-2</v>
      </c>
    </row>
    <row r="10862" spans="1:7" x14ac:dyDescent="0.3">
      <c r="A10862" s="24">
        <v>45742</v>
      </c>
      <c r="B10862" s="66">
        <f t="shared" si="314"/>
        <v>2061.5781999999999</v>
      </c>
      <c r="C10862" s="72">
        <v>1506.97</v>
      </c>
      <c r="E10862" s="112">
        <f t="shared" si="304"/>
        <v>195384</v>
      </c>
      <c r="F10862" s="69">
        <f t="shared" si="312"/>
        <v>5.9391585295492516E-2</v>
      </c>
      <c r="G10862" s="69">
        <f t="shared" si="313"/>
        <v>7.6718395599914974E-2</v>
      </c>
    </row>
    <row r="10863" spans="1:7" x14ac:dyDescent="0.3">
      <c r="A10863" s="24">
        <v>45743</v>
      </c>
      <c r="B10863" s="66">
        <f t="shared" si="314"/>
        <v>2061.5781999999999</v>
      </c>
      <c r="C10863" s="72">
        <v>1507.09</v>
      </c>
      <c r="E10863" s="112">
        <f t="shared" si="304"/>
        <v>195384</v>
      </c>
      <c r="F10863" s="69">
        <f t="shared" si="312"/>
        <v>5.9391585295492516E-2</v>
      </c>
      <c r="G10863" s="69">
        <f t="shared" si="313"/>
        <v>7.6718395599914974E-2</v>
      </c>
    </row>
    <row r="10864" spans="1:7" x14ac:dyDescent="0.3">
      <c r="A10864" s="24">
        <v>45744</v>
      </c>
      <c r="B10864" s="66">
        <f t="shared" si="314"/>
        <v>2061.5781999999999</v>
      </c>
      <c r="C10864" s="72">
        <v>1529.41</v>
      </c>
      <c r="E10864" s="112">
        <f t="shared" si="304"/>
        <v>195384</v>
      </c>
      <c r="F10864" s="69">
        <f t="shared" si="312"/>
        <v>5.9391585295492516E-2</v>
      </c>
      <c r="G10864" s="69">
        <f t="shared" si="313"/>
        <v>7.6708135276088232E-2</v>
      </c>
    </row>
    <row r="10865" spans="1:7" x14ac:dyDescent="0.3">
      <c r="A10865" s="24">
        <v>45745</v>
      </c>
      <c r="B10865" s="66">
        <f t="shared" si="314"/>
        <v>2061.5781999999999</v>
      </c>
      <c r="C10865" s="72">
        <v>1529.41</v>
      </c>
      <c r="E10865" s="112">
        <f t="shared" si="304"/>
        <v>195384</v>
      </c>
      <c r="F10865" s="69">
        <f t="shared" si="312"/>
        <v>5.9391585295492516E-2</v>
      </c>
      <c r="G10865" s="69">
        <f t="shared" si="313"/>
        <v>7.6359457513006698E-2</v>
      </c>
    </row>
    <row r="10866" spans="1:7" x14ac:dyDescent="0.3">
      <c r="A10866" s="24">
        <v>45746</v>
      </c>
      <c r="B10866" s="66">
        <f t="shared" si="314"/>
        <v>2061.5781999999999</v>
      </c>
      <c r="C10866" s="72">
        <v>1529.41</v>
      </c>
      <c r="D10866" s="71">
        <v>13</v>
      </c>
      <c r="E10866" s="112">
        <f t="shared" si="304"/>
        <v>195384</v>
      </c>
      <c r="F10866" s="69">
        <f t="shared" si="312"/>
        <v>5.9082351030939936E-2</v>
      </c>
      <c r="G10866" s="69">
        <f t="shared" si="313"/>
        <v>7.5835914501181323E-2</v>
      </c>
    </row>
    <row r="10867" spans="1:7" x14ac:dyDescent="0.3">
      <c r="A10867" s="24">
        <v>45747</v>
      </c>
      <c r="B10867" s="66">
        <v>2026.5762999999999</v>
      </c>
      <c r="C10867" s="72">
        <v>1510.9</v>
      </c>
      <c r="E10867" s="112">
        <f t="shared" si="304"/>
        <v>195384</v>
      </c>
      <c r="F10867" s="69">
        <f t="shared" si="312"/>
        <v>5.9082351030939936E-2</v>
      </c>
      <c r="G10867" s="69">
        <f t="shared" si="313"/>
        <v>7.548952270396378E-2</v>
      </c>
    </row>
    <row r="10868" spans="1:7" x14ac:dyDescent="0.3">
      <c r="A10868" s="24">
        <v>45748</v>
      </c>
      <c r="B10868" s="66">
        <f t="shared" si="314"/>
        <v>2026.5762999999999</v>
      </c>
      <c r="C10868" s="72">
        <v>1508.86</v>
      </c>
      <c r="E10868" s="112">
        <f t="shared" si="304"/>
        <v>195384</v>
      </c>
      <c r="F10868" s="69">
        <f t="shared" si="312"/>
        <v>5.9082351030939936E-2</v>
      </c>
      <c r="G10868" s="69">
        <f t="shared" si="313"/>
        <v>7.548952270396378E-2</v>
      </c>
    </row>
    <row r="10869" spans="1:7" x14ac:dyDescent="0.3">
      <c r="A10869" s="24">
        <v>45749</v>
      </c>
      <c r="B10869" s="66">
        <f t="shared" si="314"/>
        <v>2026.5762999999999</v>
      </c>
      <c r="C10869" s="72">
        <v>1500.27</v>
      </c>
      <c r="E10869" s="112">
        <f t="shared" si="304"/>
        <v>195384</v>
      </c>
      <c r="F10869" s="69">
        <f t="shared" si="312"/>
        <v>5.9082351030939936E-2</v>
      </c>
      <c r="G10869" s="69">
        <f t="shared" si="313"/>
        <v>7.548952270396378E-2</v>
      </c>
    </row>
    <row r="10870" spans="1:7" x14ac:dyDescent="0.3">
      <c r="A10870" s="24">
        <v>45750</v>
      </c>
      <c r="B10870" s="66">
        <f t="shared" si="314"/>
        <v>2026.5762999999999</v>
      </c>
      <c r="C10870" s="72">
        <v>1500.3</v>
      </c>
      <c r="E10870" s="112">
        <f t="shared" si="304"/>
        <v>195384</v>
      </c>
      <c r="F10870" s="69">
        <f t="shared" si="312"/>
        <v>6.0050954743535605E-2</v>
      </c>
      <c r="G10870" s="69">
        <f t="shared" si="313"/>
        <v>7.548952270396378E-2</v>
      </c>
    </row>
    <row r="10871" spans="1:7" x14ac:dyDescent="0.3">
      <c r="A10871" s="24">
        <v>45751</v>
      </c>
      <c r="B10871" s="66">
        <f>+B10870</f>
        <v>2026.5762999999999</v>
      </c>
      <c r="C10871" s="72">
        <v>1496.85</v>
      </c>
      <c r="E10871" s="112">
        <f t="shared" si="304"/>
        <v>195384</v>
      </c>
      <c r="F10871" s="69">
        <f t="shared" ref="F10871:F10877" si="315">+SUM(D10506:D10871)/B10505</f>
        <v>6.0050954743535605E-2</v>
      </c>
      <c r="G10871" s="69">
        <f t="shared" ref="G10871:G10877" si="316">+SUM(D10506:D10871)/C10505</f>
        <v>7.5540446173742254E-2</v>
      </c>
    </row>
    <row r="10872" spans="1:7" x14ac:dyDescent="0.3">
      <c r="A10872" s="24">
        <v>45752</v>
      </c>
      <c r="B10872" s="66">
        <f t="shared" ref="B10872:B10933" si="317">+B10871</f>
        <v>2026.5762999999999</v>
      </c>
      <c r="C10872" s="72">
        <v>1496.85</v>
      </c>
      <c r="E10872" s="112">
        <f t="shared" si="304"/>
        <v>195384</v>
      </c>
      <c r="F10872" s="69">
        <f t="shared" si="315"/>
        <v>6.0050954743535605E-2</v>
      </c>
      <c r="G10872" s="69">
        <f t="shared" si="316"/>
        <v>7.5444367782311103E-2</v>
      </c>
    </row>
    <row r="10873" spans="1:7" x14ac:dyDescent="0.3">
      <c r="A10873" s="24">
        <v>45753</v>
      </c>
      <c r="B10873" s="66">
        <f t="shared" si="317"/>
        <v>2026.5762999999999</v>
      </c>
      <c r="C10873" s="72">
        <v>1496.85</v>
      </c>
      <c r="E10873" s="112">
        <f t="shared" si="304"/>
        <v>195384</v>
      </c>
      <c r="F10873" s="69">
        <f t="shared" si="315"/>
        <v>6.0050954743535605E-2</v>
      </c>
      <c r="G10873" s="69">
        <f t="shared" si="316"/>
        <v>7.5461948011982707E-2</v>
      </c>
    </row>
    <row r="10874" spans="1:7" x14ac:dyDescent="0.3">
      <c r="A10874" s="24">
        <v>45754</v>
      </c>
      <c r="B10874" s="66">
        <f t="shared" si="317"/>
        <v>2026.5762999999999</v>
      </c>
      <c r="C10874" s="72">
        <v>1500.24</v>
      </c>
      <c r="E10874" s="112">
        <f t="shared" si="304"/>
        <v>195384</v>
      </c>
      <c r="F10874" s="69">
        <f t="shared" si="315"/>
        <v>6.0050954743535605E-2</v>
      </c>
      <c r="G10874" s="69">
        <f t="shared" si="316"/>
        <v>7.5600977286954141E-2</v>
      </c>
    </row>
    <row r="10875" spans="1:7" x14ac:dyDescent="0.3">
      <c r="A10875" s="24">
        <v>45755</v>
      </c>
      <c r="B10875" s="66">
        <f t="shared" si="317"/>
        <v>2026.5762999999999</v>
      </c>
      <c r="C10875" s="72">
        <v>1502.3</v>
      </c>
      <c r="E10875" s="112">
        <f t="shared" si="304"/>
        <v>195384</v>
      </c>
      <c r="F10875" s="69">
        <f t="shared" si="315"/>
        <v>6.0050954743535605E-2</v>
      </c>
      <c r="G10875" s="69">
        <f t="shared" si="316"/>
        <v>7.5570937921381046E-2</v>
      </c>
    </row>
    <row r="10876" spans="1:7" x14ac:dyDescent="0.3">
      <c r="A10876" s="24">
        <v>45756</v>
      </c>
      <c r="B10876" s="66">
        <f t="shared" si="317"/>
        <v>2026.5762999999999</v>
      </c>
      <c r="C10876" s="72">
        <v>1498.97</v>
      </c>
      <c r="E10876" s="112">
        <f t="shared" si="304"/>
        <v>195384</v>
      </c>
      <c r="F10876" s="69">
        <f t="shared" si="315"/>
        <v>6.0050954743535605E-2</v>
      </c>
      <c r="G10876" s="69">
        <f t="shared" si="316"/>
        <v>7.5570937921381046E-2</v>
      </c>
    </row>
    <row r="10877" spans="1:7" x14ac:dyDescent="0.3">
      <c r="A10877" s="24">
        <v>45757</v>
      </c>
      <c r="B10877" s="66">
        <f t="shared" si="317"/>
        <v>2026.5762999999999</v>
      </c>
      <c r="C10877" s="72">
        <v>1499.23</v>
      </c>
      <c r="E10877" s="112">
        <f t="shared" si="304"/>
        <v>195384</v>
      </c>
      <c r="F10877" s="69">
        <f t="shared" si="315"/>
        <v>6.0050954743535605E-2</v>
      </c>
      <c r="G10877" s="69">
        <f t="shared" si="316"/>
        <v>7.5570937921381046E-2</v>
      </c>
    </row>
    <row r="10878" spans="1:7" x14ac:dyDescent="0.3">
      <c r="A10878" s="24">
        <v>45758</v>
      </c>
      <c r="B10878" s="66">
        <f t="shared" si="317"/>
        <v>2026.5762999999999</v>
      </c>
      <c r="C10878" s="72">
        <v>1498.13</v>
      </c>
      <c r="E10878" s="112">
        <f t="shared" si="304"/>
        <v>195384</v>
      </c>
      <c r="F10878" s="69">
        <f t="shared" ref="F10878:F10912" si="318">+SUM(D10513:D10878)/B10512</f>
        <v>6.0050954743535605E-2</v>
      </c>
      <c r="G10878" s="69">
        <f t="shared" ref="G10878:G10912" si="319">+SUM(D10513:D10878)/C10512</f>
        <v>7.5575227797701913E-2</v>
      </c>
    </row>
    <row r="10879" spans="1:7" x14ac:dyDescent="0.3">
      <c r="A10879" s="24">
        <v>45759</v>
      </c>
      <c r="B10879" s="66">
        <f t="shared" si="317"/>
        <v>2026.5762999999999</v>
      </c>
      <c r="C10879" s="72">
        <v>1498.13</v>
      </c>
      <c r="E10879" s="112">
        <f t="shared" si="304"/>
        <v>195384</v>
      </c>
      <c r="F10879" s="69">
        <f t="shared" si="318"/>
        <v>6.0050954743535605E-2</v>
      </c>
      <c r="G10879" s="69">
        <f t="shared" si="319"/>
        <v>7.5365120992198428E-2</v>
      </c>
    </row>
    <row r="10880" spans="1:7" x14ac:dyDescent="0.3">
      <c r="A10880" s="24">
        <v>45760</v>
      </c>
      <c r="B10880" s="66">
        <f t="shared" si="317"/>
        <v>2026.5762999999999</v>
      </c>
      <c r="C10880" s="72">
        <v>1498.13</v>
      </c>
      <c r="E10880" s="112">
        <f t="shared" si="304"/>
        <v>195384</v>
      </c>
      <c r="F10880" s="69">
        <f t="shared" si="318"/>
        <v>6.0050954743535605E-2</v>
      </c>
      <c r="G10880" s="69">
        <f t="shared" si="319"/>
        <v>7.5524733479061898E-2</v>
      </c>
    </row>
    <row r="10881" spans="1:7" x14ac:dyDescent="0.3">
      <c r="A10881" s="24">
        <v>45761</v>
      </c>
      <c r="B10881" s="66">
        <f t="shared" si="317"/>
        <v>2026.5762999999999</v>
      </c>
      <c r="C10881" s="72">
        <v>1499.05</v>
      </c>
      <c r="E10881" s="112">
        <f t="shared" si="304"/>
        <v>195384</v>
      </c>
      <c r="F10881" s="69">
        <f t="shared" si="318"/>
        <v>6.0050954743535605E-2</v>
      </c>
      <c r="G10881" s="69">
        <f t="shared" si="319"/>
        <v>7.6176781491780615E-2</v>
      </c>
    </row>
    <row r="10882" spans="1:7" x14ac:dyDescent="0.3">
      <c r="A10882" s="24">
        <v>45762</v>
      </c>
      <c r="B10882" s="66">
        <f t="shared" si="317"/>
        <v>2026.5762999999999</v>
      </c>
      <c r="C10882" s="72">
        <v>1498.59</v>
      </c>
      <c r="E10882" s="112">
        <f t="shared" si="304"/>
        <v>195384</v>
      </c>
      <c r="F10882" s="69">
        <f t="shared" si="318"/>
        <v>6.0050954743535605E-2</v>
      </c>
      <c r="G10882" s="69">
        <f t="shared" si="319"/>
        <v>7.5995119466646263E-2</v>
      </c>
    </row>
    <row r="10883" spans="1:7" x14ac:dyDescent="0.3">
      <c r="A10883" s="24">
        <v>45763</v>
      </c>
      <c r="B10883" s="66">
        <f t="shared" si="317"/>
        <v>2026.5762999999999</v>
      </c>
      <c r="C10883" s="72">
        <v>1499.74</v>
      </c>
      <c r="E10883" s="112">
        <f t="shared" si="304"/>
        <v>195384</v>
      </c>
      <c r="F10883" s="69">
        <f t="shared" si="318"/>
        <v>6.0050954743535605E-2</v>
      </c>
      <c r="G10883" s="69">
        <f t="shared" si="319"/>
        <v>7.5995119466646263E-2</v>
      </c>
    </row>
    <row r="10884" spans="1:7" x14ac:dyDescent="0.3">
      <c r="A10884" s="24">
        <v>45764</v>
      </c>
      <c r="B10884" s="66">
        <f t="shared" si="317"/>
        <v>2026.5762999999999</v>
      </c>
      <c r="C10884" s="72">
        <v>1499</v>
      </c>
      <c r="E10884" s="112">
        <f t="shared" si="304"/>
        <v>195384</v>
      </c>
      <c r="F10884" s="69">
        <f t="shared" si="318"/>
        <v>6.0050954743535605E-2</v>
      </c>
      <c r="G10884" s="69">
        <f t="shared" si="319"/>
        <v>7.5995119466646263E-2</v>
      </c>
    </row>
    <row r="10885" spans="1:7" x14ac:dyDescent="0.3">
      <c r="A10885" s="24">
        <v>45765</v>
      </c>
      <c r="B10885" s="66">
        <f t="shared" si="317"/>
        <v>2026.5762999999999</v>
      </c>
      <c r="C10885" s="72">
        <v>1499</v>
      </c>
      <c r="E10885" s="112">
        <f t="shared" si="304"/>
        <v>195384</v>
      </c>
      <c r="F10885" s="69">
        <f t="shared" si="318"/>
        <v>6.0050954743535605E-2</v>
      </c>
      <c r="G10885" s="69">
        <f t="shared" si="319"/>
        <v>7.6214575525151221E-2</v>
      </c>
    </row>
    <row r="10886" spans="1:7" x14ac:dyDescent="0.3">
      <c r="A10886" s="24">
        <v>45766</v>
      </c>
      <c r="B10886" s="66">
        <f t="shared" si="317"/>
        <v>2026.5762999999999</v>
      </c>
      <c r="C10886" s="72">
        <v>1499</v>
      </c>
      <c r="E10886" s="112">
        <f t="shared" si="304"/>
        <v>195384</v>
      </c>
      <c r="F10886" s="69">
        <f t="shared" si="318"/>
        <v>6.0050954743535605E-2</v>
      </c>
      <c r="G10886" s="69">
        <f t="shared" si="319"/>
        <v>7.6434815141339429E-2</v>
      </c>
    </row>
    <row r="10887" spans="1:7" x14ac:dyDescent="0.3">
      <c r="A10887" s="24">
        <v>45767</v>
      </c>
      <c r="B10887" s="66">
        <f t="shared" si="317"/>
        <v>2026.5762999999999</v>
      </c>
      <c r="C10887" s="72">
        <v>1499</v>
      </c>
      <c r="E10887" s="112">
        <f t="shared" si="304"/>
        <v>195384</v>
      </c>
      <c r="F10887" s="69">
        <f t="shared" si="318"/>
        <v>6.0050954743535605E-2</v>
      </c>
      <c r="G10887" s="69">
        <f t="shared" si="319"/>
        <v>7.6079561705123047E-2</v>
      </c>
    </row>
    <row r="10888" spans="1:7" x14ac:dyDescent="0.3">
      <c r="A10888" s="24">
        <v>45768</v>
      </c>
      <c r="B10888" s="66">
        <f t="shared" si="317"/>
        <v>2026.5762999999999</v>
      </c>
      <c r="C10888" s="72">
        <v>1502.61</v>
      </c>
      <c r="E10888" s="112">
        <f t="shared" si="304"/>
        <v>195384</v>
      </c>
      <c r="F10888" s="69">
        <f t="shared" si="318"/>
        <v>6.0050954743535605E-2</v>
      </c>
      <c r="G10888" s="69">
        <f t="shared" si="319"/>
        <v>7.5358485111330434E-2</v>
      </c>
    </row>
    <row r="10889" spans="1:7" x14ac:dyDescent="0.3">
      <c r="A10889" s="24">
        <v>45769</v>
      </c>
      <c r="B10889" s="66">
        <f t="shared" si="317"/>
        <v>2026.5762999999999</v>
      </c>
      <c r="C10889" s="72">
        <v>1522.29</v>
      </c>
      <c r="E10889" s="112">
        <f t="shared" si="304"/>
        <v>195384</v>
      </c>
      <c r="F10889" s="69">
        <f t="shared" si="318"/>
        <v>6.0050954743535605E-2</v>
      </c>
      <c r="G10889" s="69">
        <f t="shared" si="319"/>
        <v>7.6540278839361264E-2</v>
      </c>
    </row>
    <row r="10890" spans="1:7" x14ac:dyDescent="0.3">
      <c r="A10890" s="24">
        <v>45770</v>
      </c>
      <c r="B10890" s="66">
        <f t="shared" si="317"/>
        <v>2026.5762999999999</v>
      </c>
      <c r="C10890" s="72">
        <v>1545.11</v>
      </c>
      <c r="E10890" s="112">
        <f t="shared" si="304"/>
        <v>195384</v>
      </c>
      <c r="F10890" s="69">
        <f t="shared" si="318"/>
        <v>6.0050954743535605E-2</v>
      </c>
      <c r="G10890" s="69">
        <f t="shared" si="319"/>
        <v>7.6540278839361264E-2</v>
      </c>
    </row>
    <row r="10891" spans="1:7" x14ac:dyDescent="0.3">
      <c r="A10891" s="24">
        <v>45771</v>
      </c>
      <c r="B10891" s="66">
        <f t="shared" si="317"/>
        <v>2026.5762999999999</v>
      </c>
      <c r="C10891" s="72">
        <v>1583.89</v>
      </c>
      <c r="E10891" s="112">
        <f t="shared" si="304"/>
        <v>195384</v>
      </c>
      <c r="F10891" s="69">
        <f t="shared" si="318"/>
        <v>6.0050954743535605E-2</v>
      </c>
      <c r="G10891" s="69">
        <f t="shared" si="319"/>
        <v>7.6294648145091695E-2</v>
      </c>
    </row>
    <row r="10892" spans="1:7" x14ac:dyDescent="0.3">
      <c r="A10892" s="24">
        <v>45772</v>
      </c>
      <c r="B10892" s="66">
        <f t="shared" si="317"/>
        <v>2026.5762999999999</v>
      </c>
      <c r="C10892" s="72">
        <v>1502.75</v>
      </c>
      <c r="E10892" s="112">
        <f t="shared" si="304"/>
        <v>195384</v>
      </c>
      <c r="F10892" s="69">
        <f t="shared" si="318"/>
        <v>6.0050954743535605E-2</v>
      </c>
      <c r="G10892" s="69">
        <f t="shared" si="319"/>
        <v>7.6294648145091695E-2</v>
      </c>
    </row>
    <row r="10893" spans="1:7" x14ac:dyDescent="0.3">
      <c r="A10893" s="24">
        <v>45773</v>
      </c>
      <c r="B10893" s="66">
        <f t="shared" si="317"/>
        <v>2026.5762999999999</v>
      </c>
      <c r="C10893" s="72">
        <v>1502.75</v>
      </c>
      <c r="E10893" s="112">
        <f t="shared" si="304"/>
        <v>195384</v>
      </c>
      <c r="F10893" s="69">
        <f t="shared" si="318"/>
        <v>6.0050954743535605E-2</v>
      </c>
      <c r="G10893" s="69">
        <f t="shared" si="319"/>
        <v>7.5929625114455501E-2</v>
      </c>
    </row>
    <row r="10894" spans="1:7" x14ac:dyDescent="0.3">
      <c r="A10894" s="24">
        <v>45774</v>
      </c>
      <c r="B10894" s="66">
        <f t="shared" si="317"/>
        <v>2026.5762999999999</v>
      </c>
      <c r="C10894" s="72">
        <v>1502.75</v>
      </c>
      <c r="D10894" s="71">
        <v>64</v>
      </c>
      <c r="E10894" s="112">
        <f t="shared" si="304"/>
        <v>195384</v>
      </c>
      <c r="F10894" s="69">
        <f t="shared" si="318"/>
        <v>6.3120592434000616E-2</v>
      </c>
      <c r="G10894" s="69">
        <f t="shared" si="319"/>
        <v>7.9810430491974962E-2</v>
      </c>
    </row>
    <row r="10895" spans="1:7" x14ac:dyDescent="0.3">
      <c r="A10895" s="24">
        <v>45775</v>
      </c>
      <c r="B10895" s="66">
        <f t="shared" si="317"/>
        <v>2026.5762999999999</v>
      </c>
      <c r="C10895" s="72">
        <v>1505</v>
      </c>
      <c r="E10895" s="112">
        <f t="shared" si="304"/>
        <v>195384</v>
      </c>
      <c r="F10895" s="69">
        <f t="shared" si="318"/>
        <v>6.3120592434000616E-2</v>
      </c>
      <c r="G10895" s="69">
        <f t="shared" si="319"/>
        <v>7.9682680481444279E-2</v>
      </c>
    </row>
    <row r="10896" spans="1:7" x14ac:dyDescent="0.3">
      <c r="A10896" s="24">
        <v>45776</v>
      </c>
      <c r="B10896" s="66">
        <f t="shared" si="317"/>
        <v>2026.5762999999999</v>
      </c>
      <c r="C10896" s="72">
        <v>1522.29</v>
      </c>
      <c r="E10896" s="112">
        <f t="shared" ref="E10896:E10959" si="320">+E10895</f>
        <v>195384</v>
      </c>
      <c r="F10896" s="69">
        <f t="shared" si="318"/>
        <v>6.3120592434000616E-2</v>
      </c>
      <c r="G10896" s="69">
        <f t="shared" si="319"/>
        <v>7.9504616377548562E-2</v>
      </c>
    </row>
    <row r="10897" spans="1:7" x14ac:dyDescent="0.3">
      <c r="A10897" s="24">
        <v>45777</v>
      </c>
      <c r="B10897" s="66">
        <v>2047.6076</v>
      </c>
      <c r="C10897" s="72">
        <v>1549.62</v>
      </c>
      <c r="E10897" s="112">
        <f t="shared" si="320"/>
        <v>195384</v>
      </c>
      <c r="F10897" s="69">
        <f t="shared" si="318"/>
        <v>6.3120592434000616E-2</v>
      </c>
      <c r="G10897" s="69">
        <f t="shared" si="319"/>
        <v>7.9504616377548562E-2</v>
      </c>
    </row>
    <row r="10898" spans="1:7" x14ac:dyDescent="0.3">
      <c r="A10898" s="24">
        <v>45778</v>
      </c>
      <c r="B10898" s="66">
        <f t="shared" si="317"/>
        <v>2047.6076</v>
      </c>
      <c r="C10898" s="72">
        <v>1549.62</v>
      </c>
      <c r="E10898" s="112">
        <f t="shared" si="320"/>
        <v>195384</v>
      </c>
      <c r="F10898" s="69">
        <f t="shared" si="318"/>
        <v>6.3120592434000616E-2</v>
      </c>
      <c r="G10898" s="69">
        <f t="shared" si="319"/>
        <v>7.9504616377548562E-2</v>
      </c>
    </row>
    <row r="10899" spans="1:7" x14ac:dyDescent="0.3">
      <c r="A10899" s="24">
        <v>45779</v>
      </c>
      <c r="B10899" s="66">
        <f t="shared" si="317"/>
        <v>2047.6076</v>
      </c>
      <c r="C10899" s="72">
        <v>1583.13</v>
      </c>
      <c r="E10899" s="112">
        <f t="shared" si="320"/>
        <v>195384</v>
      </c>
      <c r="F10899" s="69">
        <f t="shared" si="318"/>
        <v>6.3120592434000616E-2</v>
      </c>
      <c r="G10899" s="69">
        <f t="shared" si="319"/>
        <v>7.9287893898597389E-2</v>
      </c>
    </row>
    <row r="10900" spans="1:7" x14ac:dyDescent="0.3">
      <c r="A10900" s="24">
        <v>45780</v>
      </c>
      <c r="B10900" s="66">
        <f t="shared" si="317"/>
        <v>2047.6076</v>
      </c>
      <c r="C10900" s="72">
        <v>1583.13</v>
      </c>
      <c r="E10900" s="112">
        <f t="shared" si="320"/>
        <v>195384</v>
      </c>
      <c r="F10900" s="69">
        <f t="shared" si="318"/>
        <v>6.2613488292447061E-2</v>
      </c>
      <c r="G10900" s="69">
        <f t="shared" si="319"/>
        <v>7.8227110523084481E-2</v>
      </c>
    </row>
    <row r="10901" spans="1:7" x14ac:dyDescent="0.3">
      <c r="A10901" s="24">
        <v>45781</v>
      </c>
      <c r="B10901" s="66">
        <v>2047.6076</v>
      </c>
      <c r="C10901" s="72">
        <v>1583.13</v>
      </c>
      <c r="E10901" s="112">
        <f t="shared" si="320"/>
        <v>195384</v>
      </c>
      <c r="F10901" s="69">
        <f t="shared" si="318"/>
        <v>6.2613488292447061E-2</v>
      </c>
      <c r="G10901" s="69">
        <f t="shared" si="319"/>
        <v>7.8227110523084481E-2</v>
      </c>
    </row>
    <row r="10902" spans="1:7" x14ac:dyDescent="0.3">
      <c r="A10902" s="24">
        <v>45782</v>
      </c>
      <c r="B10902" s="66">
        <f t="shared" si="317"/>
        <v>2047.6076</v>
      </c>
      <c r="C10902" s="72">
        <v>1591.41</v>
      </c>
      <c r="E10902" s="112">
        <f t="shared" si="320"/>
        <v>195384</v>
      </c>
      <c r="F10902" s="69">
        <f t="shared" si="318"/>
        <v>6.2613488292447061E-2</v>
      </c>
      <c r="G10902" s="69">
        <f t="shared" si="319"/>
        <v>7.9487556054810754E-2</v>
      </c>
    </row>
    <row r="10903" spans="1:7" x14ac:dyDescent="0.3">
      <c r="A10903" s="24">
        <v>45783</v>
      </c>
      <c r="B10903" s="66">
        <f t="shared" si="317"/>
        <v>2047.6076</v>
      </c>
      <c r="C10903" s="72">
        <v>1648.39</v>
      </c>
      <c r="E10903" s="112">
        <f t="shared" si="320"/>
        <v>195384</v>
      </c>
      <c r="F10903" s="69">
        <f t="shared" si="318"/>
        <v>6.2613488292447061E-2</v>
      </c>
      <c r="G10903" s="69">
        <f t="shared" si="319"/>
        <v>7.8998944935403673E-2</v>
      </c>
    </row>
    <row r="10904" spans="1:7" x14ac:dyDescent="0.3">
      <c r="A10904" s="24">
        <v>45784</v>
      </c>
      <c r="B10904" s="66">
        <f t="shared" si="317"/>
        <v>2047.6076</v>
      </c>
      <c r="C10904" s="72">
        <v>1678.9</v>
      </c>
      <c r="E10904" s="112">
        <f t="shared" si="320"/>
        <v>195384</v>
      </c>
      <c r="F10904" s="69">
        <f t="shared" si="318"/>
        <v>6.2613488292447061E-2</v>
      </c>
      <c r="G10904" s="69">
        <f t="shared" si="319"/>
        <v>7.8998944935403673E-2</v>
      </c>
    </row>
    <row r="10905" spans="1:7" x14ac:dyDescent="0.3">
      <c r="A10905" s="24">
        <v>45785</v>
      </c>
      <c r="B10905" s="66">
        <f t="shared" si="317"/>
        <v>2047.6076</v>
      </c>
      <c r="C10905" s="72">
        <v>1673.43</v>
      </c>
      <c r="E10905" s="112">
        <f t="shared" si="320"/>
        <v>195384</v>
      </c>
      <c r="F10905" s="69">
        <f t="shared" si="318"/>
        <v>6.2613488292447061E-2</v>
      </c>
      <c r="G10905" s="69">
        <f t="shared" si="319"/>
        <v>7.8998944935403673E-2</v>
      </c>
    </row>
    <row r="10906" spans="1:7" x14ac:dyDescent="0.3">
      <c r="A10906" s="24">
        <v>45786</v>
      </c>
      <c r="B10906" s="66">
        <f t="shared" si="317"/>
        <v>2047.6076</v>
      </c>
      <c r="C10906" s="72">
        <v>1687.28</v>
      </c>
      <c r="E10906" s="112">
        <f t="shared" si="320"/>
        <v>195384</v>
      </c>
      <c r="F10906" s="69">
        <f t="shared" si="318"/>
        <v>6.2613488292447061E-2</v>
      </c>
      <c r="G10906" s="69">
        <f t="shared" si="319"/>
        <v>7.9712435406434176E-2</v>
      </c>
    </row>
    <row r="10907" spans="1:7" x14ac:dyDescent="0.3">
      <c r="A10907" s="24">
        <v>45787</v>
      </c>
      <c r="B10907" s="66">
        <f t="shared" si="317"/>
        <v>2047.6076</v>
      </c>
      <c r="C10907" s="72">
        <v>1687.28</v>
      </c>
      <c r="E10907" s="112">
        <f t="shared" si="320"/>
        <v>195384</v>
      </c>
      <c r="F10907" s="69">
        <f t="shared" si="318"/>
        <v>6.2613488292447061E-2</v>
      </c>
      <c r="G10907" s="69">
        <f t="shared" si="319"/>
        <v>7.9396858021387143E-2</v>
      </c>
    </row>
    <row r="10908" spans="1:7" x14ac:dyDescent="0.3">
      <c r="A10908" s="24">
        <v>45788</v>
      </c>
      <c r="B10908" s="66">
        <f t="shared" si="317"/>
        <v>2047.6076</v>
      </c>
      <c r="C10908" s="72">
        <v>1687.28</v>
      </c>
      <c r="E10908" s="112">
        <f t="shared" si="320"/>
        <v>195384</v>
      </c>
      <c r="F10908" s="69">
        <f t="shared" si="318"/>
        <v>6.2613488292447061E-2</v>
      </c>
      <c r="G10908" s="69">
        <f t="shared" si="319"/>
        <v>7.8998944935403673E-2</v>
      </c>
    </row>
    <row r="10909" spans="1:7" x14ac:dyDescent="0.3">
      <c r="A10909" s="24">
        <v>45789</v>
      </c>
      <c r="B10909" s="66">
        <f t="shared" si="317"/>
        <v>2047.6076</v>
      </c>
      <c r="C10909" s="72">
        <v>1700.96</v>
      </c>
      <c r="E10909" s="112">
        <f t="shared" si="320"/>
        <v>195384</v>
      </c>
      <c r="F10909" s="69">
        <f t="shared" si="318"/>
        <v>6.2613488292447061E-2</v>
      </c>
      <c r="G10909" s="69">
        <f t="shared" si="319"/>
        <v>7.9123516071622615E-2</v>
      </c>
    </row>
    <row r="10910" spans="1:7" x14ac:dyDescent="0.3">
      <c r="A10910" s="24">
        <v>45790</v>
      </c>
      <c r="B10910" s="66">
        <f t="shared" si="317"/>
        <v>2047.6076</v>
      </c>
      <c r="C10910" s="72">
        <v>1715.64</v>
      </c>
      <c r="E10910" s="112">
        <f t="shared" si="320"/>
        <v>195384</v>
      </c>
      <c r="F10910" s="69">
        <f t="shared" si="318"/>
        <v>6.2613488292447061E-2</v>
      </c>
      <c r="G10910" s="69">
        <f t="shared" si="319"/>
        <v>7.9144896371064463E-2</v>
      </c>
    </row>
    <row r="10911" spans="1:7" x14ac:dyDescent="0.3">
      <c r="A10911" s="24">
        <v>45791</v>
      </c>
      <c r="B10911" s="66">
        <f t="shared" si="317"/>
        <v>2047.6076</v>
      </c>
      <c r="C10911" s="72">
        <v>1739.29</v>
      </c>
      <c r="E10911" s="112">
        <f t="shared" si="320"/>
        <v>195384</v>
      </c>
      <c r="F10911" s="69">
        <f t="shared" si="318"/>
        <v>6.2613488292447061E-2</v>
      </c>
      <c r="G10911" s="69">
        <f t="shared" si="319"/>
        <v>7.9144896371064463E-2</v>
      </c>
    </row>
    <row r="10912" spans="1:7" x14ac:dyDescent="0.3">
      <c r="A10912" s="24">
        <v>45792</v>
      </c>
      <c r="B10912" s="66">
        <f t="shared" si="317"/>
        <v>2047.6076</v>
      </c>
      <c r="C10912" s="72">
        <v>1730.06</v>
      </c>
      <c r="E10912" s="112">
        <f t="shared" si="320"/>
        <v>195384</v>
      </c>
      <c r="F10912" s="69">
        <f t="shared" si="318"/>
        <v>6.2613488292447061E-2</v>
      </c>
      <c r="G10912" s="69">
        <f t="shared" si="319"/>
        <v>7.9144896371064463E-2</v>
      </c>
    </row>
    <row r="10913" spans="1:7" x14ac:dyDescent="0.3">
      <c r="A10913" s="24">
        <v>45793</v>
      </c>
      <c r="B10913" s="66">
        <f t="shared" si="317"/>
        <v>2047.6076</v>
      </c>
      <c r="C10913" s="72">
        <v>1691.69</v>
      </c>
      <c r="E10913" s="112">
        <f t="shared" si="320"/>
        <v>195384</v>
      </c>
      <c r="F10913" s="69">
        <f t="shared" ref="F10913:F10919" si="321">+SUM(D10548:D10913)/B10547</f>
        <v>6.2613488292447061E-2</v>
      </c>
      <c r="G10913" s="69">
        <f t="shared" ref="G10913:G10919" si="322">+SUM(D10548:D10913)/C10547</f>
        <v>7.9211099334695598E-2</v>
      </c>
    </row>
    <row r="10914" spans="1:7" x14ac:dyDescent="0.3">
      <c r="A10914" s="24">
        <v>45794</v>
      </c>
      <c r="B10914" s="66">
        <f t="shared" si="317"/>
        <v>2047.6076</v>
      </c>
      <c r="C10914" s="72">
        <v>1691.69</v>
      </c>
      <c r="E10914" s="112">
        <f t="shared" si="320"/>
        <v>195384</v>
      </c>
      <c r="F10914" s="69">
        <f t="shared" si="321"/>
        <v>6.2613488292447061E-2</v>
      </c>
      <c r="G10914" s="69">
        <f t="shared" si="322"/>
        <v>7.8117454965183034E-2</v>
      </c>
    </row>
    <row r="10915" spans="1:7" x14ac:dyDescent="0.3">
      <c r="A10915" s="24">
        <v>45795</v>
      </c>
      <c r="B10915" s="66">
        <f t="shared" si="317"/>
        <v>2047.6076</v>
      </c>
      <c r="C10915" s="72">
        <v>1691.69</v>
      </c>
      <c r="E10915" s="112">
        <f t="shared" si="320"/>
        <v>195384</v>
      </c>
      <c r="F10915" s="69">
        <f t="shared" si="321"/>
        <v>6.2613488292447061E-2</v>
      </c>
      <c r="G10915" s="69">
        <f t="shared" si="322"/>
        <v>7.7271535202659045E-2</v>
      </c>
    </row>
    <row r="10916" spans="1:7" x14ac:dyDescent="0.3">
      <c r="A10916" s="24">
        <v>45796</v>
      </c>
      <c r="B10916" s="66">
        <f t="shared" si="317"/>
        <v>2047.6076</v>
      </c>
      <c r="C10916" s="72">
        <v>1682.98</v>
      </c>
      <c r="E10916" s="112">
        <f t="shared" si="320"/>
        <v>195384</v>
      </c>
      <c r="F10916" s="69">
        <f t="shared" si="321"/>
        <v>6.2613488292447061E-2</v>
      </c>
      <c r="G10916" s="69">
        <f t="shared" si="322"/>
        <v>7.7778315151804805E-2</v>
      </c>
    </row>
    <row r="10917" spans="1:7" x14ac:dyDescent="0.3">
      <c r="A10917" s="24">
        <v>45797</v>
      </c>
      <c r="B10917" s="66">
        <f t="shared" si="317"/>
        <v>2047.6076</v>
      </c>
      <c r="C10917" s="72">
        <v>1684.98</v>
      </c>
      <c r="E10917" s="112">
        <f t="shared" si="320"/>
        <v>195384</v>
      </c>
      <c r="F10917" s="69">
        <f t="shared" si="321"/>
        <v>6.2613488292447061E-2</v>
      </c>
      <c r="G10917" s="69">
        <f t="shared" si="322"/>
        <v>7.7764388262491518E-2</v>
      </c>
    </row>
    <row r="10918" spans="1:7" x14ac:dyDescent="0.3">
      <c r="A10918" s="24">
        <v>45798</v>
      </c>
      <c r="B10918" s="66">
        <f t="shared" si="317"/>
        <v>2047.6076</v>
      </c>
      <c r="C10918" s="72">
        <v>1684.98</v>
      </c>
      <c r="E10918" s="112">
        <f t="shared" si="320"/>
        <v>195384</v>
      </c>
      <c r="F10918" s="69">
        <f t="shared" si="321"/>
        <v>6.2613488292447061E-2</v>
      </c>
      <c r="G10918" s="69">
        <f t="shared" si="322"/>
        <v>7.7764388262491518E-2</v>
      </c>
    </row>
    <row r="10919" spans="1:7" x14ac:dyDescent="0.3">
      <c r="A10919" s="24">
        <v>45799</v>
      </c>
      <c r="B10919" s="66">
        <f t="shared" si="317"/>
        <v>2047.6076</v>
      </c>
      <c r="C10919" s="72">
        <v>1732.26</v>
      </c>
      <c r="E10919" s="112">
        <f t="shared" si="320"/>
        <v>195384</v>
      </c>
      <c r="F10919" s="69">
        <f t="shared" si="321"/>
        <v>6.2613488292447061E-2</v>
      </c>
      <c r="G10919" s="69">
        <f t="shared" si="322"/>
        <v>7.7764388262491518E-2</v>
      </c>
    </row>
    <row r="10920" spans="1:7" x14ac:dyDescent="0.3">
      <c r="A10920" s="24">
        <v>45800</v>
      </c>
      <c r="B10920" s="66">
        <f t="shared" si="317"/>
        <v>2047.6076</v>
      </c>
      <c r="C10920" s="72">
        <v>1712.54</v>
      </c>
      <c r="E10920" s="112">
        <f t="shared" si="320"/>
        <v>195384</v>
      </c>
      <c r="F10920" s="69">
        <f t="shared" ref="F10920:F10925" si="323">+SUM(D10555:D10920)/B10554</f>
        <v>6.2613488292447061E-2</v>
      </c>
      <c r="G10920" s="69">
        <f t="shared" ref="G10920:G10925" si="324">+SUM(D10558:D10920)/C10557</f>
        <v>7.8683081423507661E-2</v>
      </c>
    </row>
    <row r="10921" spans="1:7" x14ac:dyDescent="0.3">
      <c r="A10921" s="24">
        <v>45801</v>
      </c>
      <c r="B10921" s="66">
        <f t="shared" si="317"/>
        <v>2047.6076</v>
      </c>
      <c r="C10921" s="72">
        <v>1712.54</v>
      </c>
      <c r="E10921" s="112">
        <f t="shared" si="320"/>
        <v>195384</v>
      </c>
      <c r="F10921" s="69">
        <f t="shared" si="323"/>
        <v>6.2613488292447061E-2</v>
      </c>
      <c r="G10921" s="69">
        <f t="shared" si="324"/>
        <v>7.8455655257966384E-2</v>
      </c>
    </row>
    <row r="10922" spans="1:7" x14ac:dyDescent="0.3">
      <c r="A10922" s="24">
        <v>45802</v>
      </c>
      <c r="B10922" s="66">
        <f t="shared" si="317"/>
        <v>2047.6076</v>
      </c>
      <c r="C10922" s="72">
        <v>1712.54</v>
      </c>
      <c r="E10922" s="112">
        <f t="shared" si="320"/>
        <v>195384</v>
      </c>
      <c r="F10922" s="69">
        <f t="shared" si="323"/>
        <v>6.2613488292447061E-2</v>
      </c>
      <c r="G10922" s="69">
        <f t="shared" si="324"/>
        <v>7.8455655257966384E-2</v>
      </c>
    </row>
    <row r="10923" spans="1:7" x14ac:dyDescent="0.3">
      <c r="A10923" s="24">
        <v>45803</v>
      </c>
      <c r="B10923" s="66">
        <f t="shared" si="317"/>
        <v>2047.6076</v>
      </c>
      <c r="C10923" s="72">
        <v>1760</v>
      </c>
      <c r="E10923" s="112">
        <f t="shared" si="320"/>
        <v>195384</v>
      </c>
      <c r="F10923" s="69">
        <f t="shared" si="323"/>
        <v>6.2613488292447061E-2</v>
      </c>
      <c r="G10923" s="69">
        <f t="shared" si="324"/>
        <v>7.8455655257966384E-2</v>
      </c>
    </row>
    <row r="10924" spans="1:7" x14ac:dyDescent="0.3">
      <c r="A10924" s="24">
        <v>45804</v>
      </c>
      <c r="B10924" s="66">
        <f t="shared" si="317"/>
        <v>2047.6076</v>
      </c>
      <c r="C10924" s="72">
        <v>1739.49</v>
      </c>
      <c r="E10924" s="112">
        <f t="shared" si="320"/>
        <v>195384</v>
      </c>
      <c r="F10924" s="69">
        <f t="shared" si="323"/>
        <v>6.2613488292447061E-2</v>
      </c>
      <c r="G10924" s="69">
        <f t="shared" si="324"/>
        <v>7.8366320259694866E-2</v>
      </c>
    </row>
    <row r="10925" spans="1:7" x14ac:dyDescent="0.3">
      <c r="A10925" s="24">
        <v>45805</v>
      </c>
      <c r="B10925" s="66">
        <f t="shared" si="317"/>
        <v>2047.6076</v>
      </c>
      <c r="C10925" s="72">
        <v>1684.51</v>
      </c>
      <c r="E10925" s="112">
        <f t="shared" si="320"/>
        <v>195384</v>
      </c>
      <c r="F10925" s="69">
        <f t="shared" si="323"/>
        <v>6.2613488292447061E-2</v>
      </c>
      <c r="G10925" s="69">
        <f t="shared" si="324"/>
        <v>7.8276215478135971E-2</v>
      </c>
    </row>
    <row r="10926" spans="1:7" x14ac:dyDescent="0.3">
      <c r="A10926" s="24">
        <v>45806</v>
      </c>
      <c r="B10926" s="66">
        <f t="shared" si="317"/>
        <v>2047.6076</v>
      </c>
      <c r="C10926" s="72">
        <v>1704.73</v>
      </c>
      <c r="E10926" s="112">
        <f t="shared" si="320"/>
        <v>195384</v>
      </c>
      <c r="F10926" s="69">
        <f>+SUM(D10564:D10926)/B10563</f>
        <v>6.2613488292447061E-2</v>
      </c>
      <c r="G10926" s="69">
        <f>+SUM(D10564:D10926)/C10563</f>
        <v>7.8549602992513359E-2</v>
      </c>
    </row>
    <row r="10927" spans="1:7" x14ac:dyDescent="0.3">
      <c r="A10927" s="24">
        <v>45807</v>
      </c>
      <c r="B10927" s="66">
        <f t="shared" si="317"/>
        <v>2047.6076</v>
      </c>
      <c r="C10927" s="72">
        <v>1718.99</v>
      </c>
      <c r="E10927" s="112">
        <f t="shared" si="320"/>
        <v>195384</v>
      </c>
      <c r="F10927" s="69">
        <f t="shared" ref="F10927:F10933" si="325">+SUM(D10565:D10927)/B10564</f>
        <v>6.2613488292447061E-2</v>
      </c>
      <c r="G10927" s="69">
        <f t="shared" ref="G10927:G10933" si="326">+SUM(D10565:D10927)/C10564</f>
        <v>7.8562342381569797E-2</v>
      </c>
    </row>
    <row r="10928" spans="1:7" x14ac:dyDescent="0.3">
      <c r="A10928" s="24">
        <v>45808</v>
      </c>
      <c r="B10928" s="66">
        <v>2065.3532</v>
      </c>
      <c r="C10928" s="72">
        <v>1718.99</v>
      </c>
      <c r="E10928" s="112">
        <f t="shared" si="320"/>
        <v>195384</v>
      </c>
      <c r="F10928" s="69">
        <f t="shared" si="325"/>
        <v>6.1999588530111012E-2</v>
      </c>
      <c r="G10928" s="69">
        <f t="shared" si="326"/>
        <v>7.8775111297326755E-2</v>
      </c>
    </row>
    <row r="10929" spans="1:7" x14ac:dyDescent="0.3">
      <c r="A10929" s="24">
        <v>45809</v>
      </c>
      <c r="B10929" s="66">
        <f t="shared" si="317"/>
        <v>2065.3532</v>
      </c>
      <c r="C10929" s="72">
        <v>1718.99</v>
      </c>
      <c r="E10929" s="112">
        <f t="shared" si="320"/>
        <v>195384</v>
      </c>
      <c r="F10929" s="69">
        <f t="shared" si="325"/>
        <v>6.1999588530111012E-2</v>
      </c>
      <c r="G10929" s="69">
        <f t="shared" si="326"/>
        <v>7.8775111297326755E-2</v>
      </c>
    </row>
    <row r="10930" spans="1:7" x14ac:dyDescent="0.3">
      <c r="A10930" s="24">
        <v>45810</v>
      </c>
      <c r="B10930" s="66">
        <f t="shared" si="317"/>
        <v>2065.3532</v>
      </c>
      <c r="C10930" s="72">
        <v>1714.48</v>
      </c>
      <c r="E10930" s="112">
        <f t="shared" si="320"/>
        <v>195384</v>
      </c>
      <c r="F10930" s="69">
        <f t="shared" si="325"/>
        <v>6.1999588530111012E-2</v>
      </c>
      <c r="G10930" s="69">
        <f t="shared" si="326"/>
        <v>7.8775111297326755E-2</v>
      </c>
    </row>
    <row r="10931" spans="1:7" x14ac:dyDescent="0.3">
      <c r="A10931" s="24">
        <v>45811</v>
      </c>
      <c r="B10931" s="66">
        <f t="shared" si="317"/>
        <v>2065.3532</v>
      </c>
      <c r="C10931" s="72">
        <v>1678.86</v>
      </c>
      <c r="E10931" s="112">
        <f t="shared" si="320"/>
        <v>195384</v>
      </c>
      <c r="F10931" s="69">
        <f t="shared" si="325"/>
        <v>6.1999588530111012E-2</v>
      </c>
      <c r="G10931" s="69">
        <f t="shared" si="326"/>
        <v>7.8808136973942039E-2</v>
      </c>
    </row>
    <row r="10932" spans="1:7" x14ac:dyDescent="0.3">
      <c r="A10932" s="24">
        <v>45812</v>
      </c>
      <c r="B10932" s="66">
        <f t="shared" si="317"/>
        <v>2065.3532</v>
      </c>
      <c r="C10932" s="72">
        <v>1691.42</v>
      </c>
      <c r="E10932" s="112">
        <f t="shared" si="320"/>
        <v>195384</v>
      </c>
      <c r="F10932" s="69">
        <f t="shared" si="325"/>
        <v>6.1999588530111012E-2</v>
      </c>
      <c r="G10932" s="69">
        <f t="shared" si="326"/>
        <v>7.8227110523084481E-2</v>
      </c>
    </row>
    <row r="10933" spans="1:7" x14ac:dyDescent="0.3">
      <c r="A10933" s="24">
        <v>45813</v>
      </c>
      <c r="B10933" s="66">
        <f t="shared" si="317"/>
        <v>2065.3532</v>
      </c>
      <c r="C10933" s="72">
        <v>1698.49</v>
      </c>
      <c r="E10933" s="112">
        <f t="shared" si="320"/>
        <v>195384</v>
      </c>
      <c r="F10933" s="69">
        <f t="shared" si="325"/>
        <v>6.1999588530111012E-2</v>
      </c>
      <c r="G10933" s="69">
        <f t="shared" si="326"/>
        <v>7.8671777089241057E-2</v>
      </c>
    </row>
    <row r="10934" spans="1:7" x14ac:dyDescent="0.3">
      <c r="A10934" s="24">
        <v>45814</v>
      </c>
      <c r="B10934" s="66">
        <f>+B10933</f>
        <v>2065.3532</v>
      </c>
      <c r="C10934" s="72">
        <v>1698.08</v>
      </c>
      <c r="E10934" s="112">
        <f t="shared" si="320"/>
        <v>195384</v>
      </c>
      <c r="F10934" s="69">
        <f t="shared" ref="F10934:F10940" si="327">+SUM(D10572:D10934)/B10571</f>
        <v>6.1999588530111012E-2</v>
      </c>
      <c r="G10934" s="69">
        <f t="shared" ref="G10934:G10940" si="328">+SUM(D10572:D10934)/C10571</f>
        <v>7.876575084407407E-2</v>
      </c>
    </row>
    <row r="10935" spans="1:7" x14ac:dyDescent="0.3">
      <c r="A10935" s="24">
        <v>45815</v>
      </c>
      <c r="B10935" s="66">
        <f t="shared" ref="B10935:B10998" si="329">+B10934</f>
        <v>2065.3532</v>
      </c>
      <c r="C10935" s="72">
        <v>1698.08</v>
      </c>
      <c r="E10935" s="112">
        <f t="shared" si="320"/>
        <v>195384</v>
      </c>
      <c r="F10935" s="69">
        <f t="shared" si="327"/>
        <v>6.1999588530111012E-2</v>
      </c>
      <c r="G10935" s="69">
        <f t="shared" si="328"/>
        <v>7.8716029963853754E-2</v>
      </c>
    </row>
    <row r="10936" spans="1:7" x14ac:dyDescent="0.3">
      <c r="A10936" s="24">
        <v>45816</v>
      </c>
      <c r="B10936" s="66">
        <f t="shared" si="329"/>
        <v>2065.3532</v>
      </c>
      <c r="C10936" s="72">
        <v>1698.08</v>
      </c>
      <c r="E10936" s="112">
        <f t="shared" si="320"/>
        <v>195384</v>
      </c>
      <c r="F10936" s="69">
        <f t="shared" si="327"/>
        <v>6.1999588530111012E-2</v>
      </c>
      <c r="G10936" s="69">
        <f t="shared" si="328"/>
        <v>7.8716029963853754E-2</v>
      </c>
    </row>
    <row r="10937" spans="1:7" x14ac:dyDescent="0.3">
      <c r="A10937" s="24">
        <v>45817</v>
      </c>
      <c r="B10937" s="66">
        <f t="shared" si="329"/>
        <v>2065.3532</v>
      </c>
      <c r="C10937" s="72">
        <v>1694.78</v>
      </c>
      <c r="E10937" s="112">
        <f t="shared" si="320"/>
        <v>195384</v>
      </c>
      <c r="F10937" s="69">
        <f t="shared" si="327"/>
        <v>6.1999588530111012E-2</v>
      </c>
      <c r="G10937" s="69">
        <f t="shared" si="328"/>
        <v>7.8716029963853754E-2</v>
      </c>
    </row>
    <row r="10938" spans="1:7" x14ac:dyDescent="0.3">
      <c r="A10938" s="24">
        <v>45818</v>
      </c>
      <c r="B10938" s="66">
        <f t="shared" si="329"/>
        <v>2065.3532</v>
      </c>
      <c r="C10938" s="72">
        <v>1692.38</v>
      </c>
      <c r="E10938" s="112">
        <f t="shared" si="320"/>
        <v>195384</v>
      </c>
      <c r="F10938" s="69">
        <f t="shared" si="327"/>
        <v>6.1999588530111012E-2</v>
      </c>
      <c r="G10938" s="69">
        <f t="shared" si="328"/>
        <v>7.875984012492325E-2</v>
      </c>
    </row>
    <row r="10939" spans="1:7" x14ac:dyDescent="0.3">
      <c r="A10939" s="24">
        <v>45819</v>
      </c>
      <c r="B10939" s="66">
        <f t="shared" si="329"/>
        <v>2065.3532</v>
      </c>
      <c r="C10939" s="72">
        <v>1688.36</v>
      </c>
      <c r="E10939" s="112">
        <f t="shared" si="320"/>
        <v>195384</v>
      </c>
      <c r="F10939" s="69">
        <f t="shared" si="327"/>
        <v>6.1999588530111012E-2</v>
      </c>
      <c r="G10939" s="69">
        <f t="shared" si="328"/>
        <v>7.877609673761618E-2</v>
      </c>
    </row>
    <row r="10940" spans="1:7" x14ac:dyDescent="0.3">
      <c r="A10940" s="24">
        <v>45820</v>
      </c>
      <c r="B10940" s="66">
        <f t="shared" si="329"/>
        <v>2065.3532</v>
      </c>
      <c r="C10940" s="72">
        <v>1681.14</v>
      </c>
      <c r="E10940" s="112">
        <f t="shared" si="320"/>
        <v>195384</v>
      </c>
      <c r="F10940" s="69">
        <f t="shared" si="327"/>
        <v>6.1999588530111012E-2</v>
      </c>
      <c r="G10940" s="69">
        <f t="shared" si="328"/>
        <v>7.8725870697690964E-2</v>
      </c>
    </row>
    <row r="10941" spans="1:7" x14ac:dyDescent="0.3">
      <c r="A10941" s="24">
        <v>45821</v>
      </c>
      <c r="B10941" s="66">
        <f t="shared" si="329"/>
        <v>2065.3532</v>
      </c>
      <c r="C10941" s="72">
        <v>1677.43</v>
      </c>
      <c r="E10941" s="112">
        <f t="shared" si="320"/>
        <v>195384</v>
      </c>
      <c r="F10941" s="69">
        <f t="shared" ref="F10941:F10973" si="330">+SUM(D10579:D10941)/B10578</f>
        <v>6.1999588530111012E-2</v>
      </c>
      <c r="G10941" s="69">
        <f t="shared" ref="G10941:G10973" si="331">+SUM(D10579:D10941)/C10578</f>
        <v>7.8840203284026092E-2</v>
      </c>
    </row>
    <row r="10942" spans="1:7" x14ac:dyDescent="0.3">
      <c r="A10942" s="24">
        <v>45822</v>
      </c>
      <c r="B10942" s="66">
        <f t="shared" si="329"/>
        <v>2065.3532</v>
      </c>
      <c r="C10942" s="72">
        <v>1677.43</v>
      </c>
      <c r="E10942" s="112">
        <f t="shared" si="320"/>
        <v>195384</v>
      </c>
      <c r="F10942" s="69">
        <f t="shared" si="330"/>
        <v>6.1999588530111012E-2</v>
      </c>
      <c r="G10942" s="69">
        <f t="shared" si="331"/>
        <v>7.8935074796413804E-2</v>
      </c>
    </row>
    <row r="10943" spans="1:7" x14ac:dyDescent="0.3">
      <c r="A10943" s="24">
        <v>45823</v>
      </c>
      <c r="B10943" s="66">
        <f t="shared" si="329"/>
        <v>2065.3532</v>
      </c>
      <c r="C10943" s="72">
        <v>1677.43</v>
      </c>
      <c r="E10943" s="112">
        <f t="shared" si="320"/>
        <v>195384</v>
      </c>
      <c r="F10943" s="69">
        <f t="shared" si="330"/>
        <v>6.1999588530111012E-2</v>
      </c>
      <c r="G10943" s="69">
        <f t="shared" si="331"/>
        <v>7.8935074796413804E-2</v>
      </c>
    </row>
    <row r="10944" spans="1:7" x14ac:dyDescent="0.3">
      <c r="A10944" s="24">
        <v>45824</v>
      </c>
      <c r="B10944" s="66">
        <f t="shared" si="329"/>
        <v>2065.3532</v>
      </c>
      <c r="C10944" s="72">
        <v>1675.61</v>
      </c>
      <c r="E10944" s="112">
        <f t="shared" si="320"/>
        <v>195384</v>
      </c>
      <c r="F10944" s="69">
        <f t="shared" si="330"/>
        <v>6.1999588530111012E-2</v>
      </c>
      <c r="G10944" s="69">
        <f t="shared" si="331"/>
        <v>7.8935074796413804E-2</v>
      </c>
    </row>
    <row r="10945" spans="1:7" x14ac:dyDescent="0.3">
      <c r="A10945" s="24">
        <v>45825</v>
      </c>
      <c r="B10945" s="66">
        <f t="shared" si="329"/>
        <v>2065.3532</v>
      </c>
      <c r="C10945" s="72">
        <v>1675.44</v>
      </c>
      <c r="E10945" s="112">
        <f t="shared" si="320"/>
        <v>195384</v>
      </c>
      <c r="F10945" s="69">
        <f t="shared" si="330"/>
        <v>6.1999588530111012E-2</v>
      </c>
      <c r="G10945" s="69">
        <f t="shared" si="331"/>
        <v>7.9012821876025569E-2</v>
      </c>
    </row>
    <row r="10946" spans="1:7" x14ac:dyDescent="0.3">
      <c r="A10946" s="24">
        <v>45826</v>
      </c>
      <c r="B10946" s="66">
        <f t="shared" si="329"/>
        <v>2065.3532</v>
      </c>
      <c r="C10946" s="72">
        <v>1658.08</v>
      </c>
      <c r="E10946" s="112">
        <f t="shared" si="320"/>
        <v>195384</v>
      </c>
      <c r="F10946" s="69">
        <f t="shared" si="330"/>
        <v>6.1999588530111012E-2</v>
      </c>
      <c r="G10946" s="69">
        <f t="shared" si="331"/>
        <v>7.9284899115003901E-2</v>
      </c>
    </row>
    <row r="10947" spans="1:7" x14ac:dyDescent="0.3">
      <c r="A10947" s="24">
        <v>45827</v>
      </c>
      <c r="B10947" s="66">
        <f t="shared" si="329"/>
        <v>2065.3532</v>
      </c>
      <c r="C10947" s="72">
        <v>1674.98</v>
      </c>
      <c r="E10947" s="112">
        <f t="shared" si="320"/>
        <v>195384</v>
      </c>
      <c r="F10947" s="69">
        <f t="shared" si="330"/>
        <v>6.1999588530111012E-2</v>
      </c>
      <c r="G10947" s="69">
        <f t="shared" si="331"/>
        <v>7.9474514865097531E-2</v>
      </c>
    </row>
    <row r="10948" spans="1:7" x14ac:dyDescent="0.3">
      <c r="A10948" s="24">
        <v>45828</v>
      </c>
      <c r="B10948" s="66">
        <f t="shared" si="329"/>
        <v>2065.3532</v>
      </c>
      <c r="C10948" s="72">
        <v>1674.98</v>
      </c>
      <c r="E10948" s="112">
        <f t="shared" si="320"/>
        <v>195384</v>
      </c>
      <c r="F10948" s="69">
        <f t="shared" si="330"/>
        <v>6.1999588530111012E-2</v>
      </c>
      <c r="G10948" s="69">
        <f t="shared" si="331"/>
        <v>7.9474514865097531E-2</v>
      </c>
    </row>
    <row r="10949" spans="1:7" x14ac:dyDescent="0.3">
      <c r="A10949" s="24">
        <v>45829</v>
      </c>
      <c r="B10949" s="66">
        <f t="shared" si="329"/>
        <v>2065.3532</v>
      </c>
      <c r="C10949" s="72">
        <v>1674.98</v>
      </c>
      <c r="E10949" s="112">
        <f t="shared" si="320"/>
        <v>195384</v>
      </c>
      <c r="F10949" s="69">
        <f t="shared" si="330"/>
        <v>6.1999588530111012E-2</v>
      </c>
      <c r="G10949" s="69">
        <f t="shared" si="331"/>
        <v>7.9310361989008885E-2</v>
      </c>
    </row>
    <row r="10950" spans="1:7" x14ac:dyDescent="0.3">
      <c r="A10950" s="24">
        <v>45830</v>
      </c>
      <c r="B10950" s="66">
        <f t="shared" si="329"/>
        <v>2065.3532</v>
      </c>
      <c r="C10950" s="72">
        <v>1674.98</v>
      </c>
      <c r="E10950" s="112">
        <f t="shared" si="320"/>
        <v>195384</v>
      </c>
      <c r="F10950" s="69">
        <f t="shared" si="330"/>
        <v>6.1999588530111012E-2</v>
      </c>
      <c r="G10950" s="69">
        <f t="shared" si="331"/>
        <v>7.9310361989008885E-2</v>
      </c>
    </row>
    <row r="10951" spans="1:7" x14ac:dyDescent="0.3">
      <c r="A10951" s="24">
        <v>45831</v>
      </c>
      <c r="B10951" s="66">
        <f t="shared" si="329"/>
        <v>2065.3532</v>
      </c>
      <c r="C10951" s="72">
        <v>1676.59</v>
      </c>
      <c r="D10951" s="71">
        <v>13</v>
      </c>
      <c r="E10951" s="112">
        <f t="shared" si="320"/>
        <v>195384</v>
      </c>
      <c r="F10951" s="69">
        <f t="shared" si="330"/>
        <v>6.1041799405915607E-2</v>
      </c>
      <c r="G10951" s="69">
        <f t="shared" si="331"/>
        <v>7.8085150597288433E-2</v>
      </c>
    </row>
    <row r="10952" spans="1:7" x14ac:dyDescent="0.3">
      <c r="A10952" s="24">
        <v>45832</v>
      </c>
      <c r="B10952" s="66">
        <f t="shared" si="329"/>
        <v>2065.3532</v>
      </c>
      <c r="C10952" s="72">
        <v>1669.98</v>
      </c>
      <c r="E10952" s="112">
        <f t="shared" si="320"/>
        <v>195384</v>
      </c>
      <c r="F10952" s="69">
        <f t="shared" si="330"/>
        <v>6.1041799405915607E-2</v>
      </c>
      <c r="G10952" s="69">
        <f t="shared" si="331"/>
        <v>7.8241336664899935E-2</v>
      </c>
    </row>
    <row r="10953" spans="1:7" x14ac:dyDescent="0.3">
      <c r="A10953" s="24">
        <v>45833</v>
      </c>
      <c r="B10953" s="66">
        <f t="shared" si="329"/>
        <v>2065.3532</v>
      </c>
      <c r="C10953" s="72">
        <v>1693.17</v>
      </c>
      <c r="E10953" s="112">
        <f t="shared" si="320"/>
        <v>195384</v>
      </c>
      <c r="F10953" s="69">
        <f t="shared" si="330"/>
        <v>6.1041799405915607E-2</v>
      </c>
      <c r="G10953" s="69">
        <f t="shared" si="331"/>
        <v>7.817918164050186E-2</v>
      </c>
    </row>
    <row r="10954" spans="1:7" x14ac:dyDescent="0.3">
      <c r="A10954" s="24">
        <v>45834</v>
      </c>
      <c r="B10954" s="66">
        <f t="shared" si="329"/>
        <v>2065.3532</v>
      </c>
      <c r="C10954" s="72">
        <v>1695.49</v>
      </c>
      <c r="E10954" s="112">
        <f t="shared" si="320"/>
        <v>195384</v>
      </c>
      <c r="F10954" s="69">
        <f t="shared" si="330"/>
        <v>6.1041799405915607E-2</v>
      </c>
      <c r="G10954" s="69">
        <f t="shared" si="331"/>
        <v>7.8620838326390607E-2</v>
      </c>
    </row>
    <row r="10955" spans="1:7" x14ac:dyDescent="0.3">
      <c r="A10955" s="24">
        <v>45835</v>
      </c>
      <c r="B10955" s="66">
        <f t="shared" si="329"/>
        <v>2065.3532</v>
      </c>
      <c r="C10955" s="72">
        <v>1693.97</v>
      </c>
      <c r="E10955" s="112">
        <f t="shared" si="320"/>
        <v>195384</v>
      </c>
      <c r="F10955" s="69">
        <f t="shared" si="330"/>
        <v>6.1041799405915607E-2</v>
      </c>
      <c r="G10955" s="69">
        <f t="shared" si="331"/>
        <v>7.818263210658058E-2</v>
      </c>
    </row>
    <row r="10956" spans="1:7" x14ac:dyDescent="0.3">
      <c r="A10956" s="24">
        <v>45836</v>
      </c>
      <c r="B10956" s="66">
        <f t="shared" si="329"/>
        <v>2065.3532</v>
      </c>
      <c r="C10956" s="72">
        <v>1693.97</v>
      </c>
      <c r="E10956" s="112">
        <f t="shared" si="320"/>
        <v>195384</v>
      </c>
      <c r="F10956" s="69">
        <f t="shared" si="330"/>
        <v>6.1041799405915607E-2</v>
      </c>
      <c r="G10956" s="69">
        <f t="shared" si="331"/>
        <v>7.8541161269073151E-2</v>
      </c>
    </row>
    <row r="10957" spans="1:7" x14ac:dyDescent="0.3">
      <c r="A10957" s="24">
        <v>45837</v>
      </c>
      <c r="B10957" s="66">
        <f t="shared" si="329"/>
        <v>2065.3532</v>
      </c>
      <c r="C10957" s="72">
        <v>1693.97</v>
      </c>
      <c r="E10957" s="112">
        <f t="shared" si="320"/>
        <v>195384</v>
      </c>
      <c r="F10957" s="69">
        <f t="shared" si="330"/>
        <v>6.1041799405915607E-2</v>
      </c>
      <c r="G10957" s="69">
        <f t="shared" si="331"/>
        <v>7.8541161269073151E-2</v>
      </c>
    </row>
    <row r="10958" spans="1:7" x14ac:dyDescent="0.3">
      <c r="A10958" s="24">
        <v>45838</v>
      </c>
      <c r="B10958" s="66">
        <v>2069.8683000000001</v>
      </c>
      <c r="C10958" s="72">
        <v>1687.16</v>
      </c>
      <c r="E10958" s="112">
        <f t="shared" si="320"/>
        <v>195384</v>
      </c>
      <c r="F10958" s="69">
        <f t="shared" si="330"/>
        <v>6.1327780069876082E-2</v>
      </c>
      <c r="G10958" s="69">
        <f t="shared" si="331"/>
        <v>7.8541161269073151E-2</v>
      </c>
    </row>
    <row r="10959" spans="1:7" x14ac:dyDescent="0.3">
      <c r="A10959" s="24">
        <v>45839</v>
      </c>
      <c r="B10959" s="66">
        <f t="shared" si="329"/>
        <v>2069.8683000000001</v>
      </c>
      <c r="C10959" s="72">
        <v>1669.62</v>
      </c>
      <c r="E10959" s="112">
        <f t="shared" si="320"/>
        <v>195384</v>
      </c>
      <c r="F10959" s="69">
        <f t="shared" si="330"/>
        <v>6.1327780069876082E-2</v>
      </c>
      <c r="G10959" s="69">
        <f t="shared" si="331"/>
        <v>7.8763164246604928E-2</v>
      </c>
    </row>
    <row r="10960" spans="1:7" x14ac:dyDescent="0.3">
      <c r="A10960" s="24">
        <v>45840</v>
      </c>
      <c r="B10960" s="66">
        <f t="shared" si="329"/>
        <v>2069.8683000000001</v>
      </c>
      <c r="C10960" s="72">
        <v>1684.74</v>
      </c>
      <c r="E10960" s="112">
        <f t="shared" ref="E10960:E11023" si="332">+E10959</f>
        <v>195384</v>
      </c>
      <c r="F10960" s="69">
        <f t="shared" si="330"/>
        <v>6.1327780069876082E-2</v>
      </c>
      <c r="G10960" s="69">
        <f t="shared" si="331"/>
        <v>7.869718086389195E-2</v>
      </c>
    </row>
    <row r="10961" spans="1:7" x14ac:dyDescent="0.3">
      <c r="A10961" s="24">
        <v>45841</v>
      </c>
      <c r="B10961" s="66">
        <f t="shared" si="329"/>
        <v>2069.8683000000001</v>
      </c>
      <c r="C10961" s="72">
        <v>1686.45</v>
      </c>
      <c r="E10961" s="112">
        <f t="shared" si="332"/>
        <v>195384</v>
      </c>
      <c r="F10961" s="69">
        <f t="shared" si="330"/>
        <v>6.1327780069876082E-2</v>
      </c>
      <c r="G10961" s="69">
        <f t="shared" si="331"/>
        <v>7.8644274189456589E-2</v>
      </c>
    </row>
    <row r="10962" spans="1:7" x14ac:dyDescent="0.3">
      <c r="A10962" s="24">
        <v>45842</v>
      </c>
      <c r="B10962" s="66">
        <f t="shared" si="329"/>
        <v>2069.8683000000001</v>
      </c>
      <c r="C10962" s="72">
        <v>1690.89</v>
      </c>
      <c r="E10962" s="112">
        <f t="shared" si="332"/>
        <v>195384</v>
      </c>
      <c r="F10962" s="69">
        <f t="shared" si="330"/>
        <v>6.1327780069876082E-2</v>
      </c>
      <c r="G10962" s="69">
        <f t="shared" si="331"/>
        <v>7.8858836323397546E-2</v>
      </c>
    </row>
    <row r="10963" spans="1:7" x14ac:dyDescent="0.3">
      <c r="A10963" s="24">
        <v>45843</v>
      </c>
      <c r="B10963" s="66">
        <f t="shared" si="329"/>
        <v>2069.8683000000001</v>
      </c>
      <c r="C10963" s="72">
        <v>1690.89</v>
      </c>
      <c r="E10963" s="112">
        <f t="shared" si="332"/>
        <v>195384</v>
      </c>
      <c r="F10963" s="69">
        <f t="shared" si="330"/>
        <v>6.1327780069876082E-2</v>
      </c>
      <c r="G10963" s="69">
        <f t="shared" si="331"/>
        <v>7.8934637027983603E-2</v>
      </c>
    </row>
    <row r="10964" spans="1:7" x14ac:dyDescent="0.3">
      <c r="A10964" s="24">
        <v>45844</v>
      </c>
      <c r="B10964" s="66">
        <f t="shared" si="329"/>
        <v>2069.8683000000001</v>
      </c>
      <c r="C10964" s="72">
        <v>1690.89</v>
      </c>
      <c r="E10964" s="112">
        <f t="shared" si="332"/>
        <v>195384</v>
      </c>
      <c r="F10964" s="69">
        <f t="shared" si="330"/>
        <v>6.1327780069876082E-2</v>
      </c>
      <c r="G10964" s="69">
        <f t="shared" si="331"/>
        <v>7.8934637027983603E-2</v>
      </c>
    </row>
    <row r="10965" spans="1:7" x14ac:dyDescent="0.3">
      <c r="A10965" s="24">
        <v>45845</v>
      </c>
      <c r="B10965" s="66">
        <f t="shared" si="329"/>
        <v>2069.8683000000001</v>
      </c>
      <c r="C10965" s="72">
        <v>1676.55</v>
      </c>
      <c r="E10965" s="112">
        <f t="shared" si="332"/>
        <v>195384</v>
      </c>
      <c r="F10965" s="69">
        <f t="shared" si="330"/>
        <v>6.1327780069876082E-2</v>
      </c>
      <c r="G10965" s="69">
        <f t="shared" si="331"/>
        <v>7.8934637027983603E-2</v>
      </c>
    </row>
    <row r="10966" spans="1:7" x14ac:dyDescent="0.3">
      <c r="A10966" s="24">
        <v>45846</v>
      </c>
      <c r="B10966" s="66">
        <f t="shared" si="329"/>
        <v>2069.8683000000001</v>
      </c>
      <c r="C10966" s="72">
        <v>1680.97</v>
      </c>
      <c r="E10966" s="112">
        <f t="shared" si="332"/>
        <v>195384</v>
      </c>
      <c r="F10966" s="69">
        <f t="shared" si="330"/>
        <v>6.1327780069876082E-2</v>
      </c>
      <c r="G10966" s="69">
        <f t="shared" si="331"/>
        <v>7.8934637027983603E-2</v>
      </c>
    </row>
    <row r="10967" spans="1:7" x14ac:dyDescent="0.3">
      <c r="A10967" s="24">
        <v>45847</v>
      </c>
      <c r="B10967" s="66">
        <f t="shared" si="329"/>
        <v>2069.8683000000001</v>
      </c>
      <c r="C10967" s="72">
        <v>1660</v>
      </c>
      <c r="E10967" s="112">
        <f t="shared" si="332"/>
        <v>195384</v>
      </c>
      <c r="F10967" s="69">
        <f t="shared" si="330"/>
        <v>6.1327780069876082E-2</v>
      </c>
      <c r="G10967" s="69">
        <f t="shared" si="331"/>
        <v>7.8934637027983603E-2</v>
      </c>
    </row>
    <row r="10968" spans="1:7" x14ac:dyDescent="0.3">
      <c r="A10968" s="24">
        <v>45848</v>
      </c>
      <c r="B10968" s="66">
        <f t="shared" si="329"/>
        <v>2069.8683000000001</v>
      </c>
      <c r="C10968" s="72">
        <v>1679.75</v>
      </c>
      <c r="E10968" s="112">
        <f t="shared" si="332"/>
        <v>195384</v>
      </c>
      <c r="F10968" s="69">
        <f t="shared" si="330"/>
        <v>6.1327780069876082E-2</v>
      </c>
      <c r="G10968" s="69">
        <f t="shared" si="331"/>
        <v>7.8934637027983603E-2</v>
      </c>
    </row>
    <row r="10969" spans="1:7" x14ac:dyDescent="0.3">
      <c r="A10969" s="24">
        <v>45849</v>
      </c>
      <c r="B10969" s="66">
        <f t="shared" si="329"/>
        <v>2069.8683000000001</v>
      </c>
      <c r="C10969" s="72">
        <v>1679.72</v>
      </c>
      <c r="E10969" s="112">
        <f t="shared" si="332"/>
        <v>195384</v>
      </c>
      <c r="F10969" s="69">
        <f t="shared" si="330"/>
        <v>6.1327780069876082E-2</v>
      </c>
      <c r="G10969" s="69">
        <f t="shared" si="331"/>
        <v>7.8934637027983603E-2</v>
      </c>
    </row>
    <row r="10970" spans="1:7" x14ac:dyDescent="0.3">
      <c r="A10970" s="24">
        <v>45850</v>
      </c>
      <c r="B10970" s="66">
        <f t="shared" si="329"/>
        <v>2069.8683000000001</v>
      </c>
      <c r="C10970" s="72">
        <v>1679.72</v>
      </c>
      <c r="E10970" s="112">
        <f t="shared" si="332"/>
        <v>195384</v>
      </c>
      <c r="F10970" s="69">
        <f t="shared" si="330"/>
        <v>6.1327780069876082E-2</v>
      </c>
      <c r="G10970" s="69">
        <f t="shared" si="331"/>
        <v>7.8934637027983603E-2</v>
      </c>
    </row>
    <row r="10971" spans="1:7" x14ac:dyDescent="0.3">
      <c r="A10971" s="24">
        <v>45851</v>
      </c>
      <c r="B10971" s="66">
        <f t="shared" si="329"/>
        <v>2069.8683000000001</v>
      </c>
      <c r="C10971" s="72">
        <v>1679.72</v>
      </c>
      <c r="E10971" s="112">
        <f t="shared" si="332"/>
        <v>195384</v>
      </c>
      <c r="F10971" s="69">
        <f t="shared" si="330"/>
        <v>6.1327780069876082E-2</v>
      </c>
      <c r="G10971" s="69">
        <f t="shared" si="331"/>
        <v>7.8934637027983603E-2</v>
      </c>
    </row>
    <row r="10972" spans="1:7" x14ac:dyDescent="0.3">
      <c r="A10972" s="24">
        <v>45852</v>
      </c>
      <c r="B10972" s="66">
        <f t="shared" si="329"/>
        <v>2069.8683000000001</v>
      </c>
      <c r="C10972" s="72">
        <v>1663.33</v>
      </c>
      <c r="E10972" s="112">
        <f t="shared" si="332"/>
        <v>195384</v>
      </c>
      <c r="F10972" s="69">
        <f t="shared" si="330"/>
        <v>6.1327780069876082E-2</v>
      </c>
      <c r="G10972" s="69">
        <f t="shared" si="331"/>
        <v>7.8934637027983603E-2</v>
      </c>
    </row>
    <row r="10973" spans="1:7" x14ac:dyDescent="0.3">
      <c r="A10973" s="24">
        <v>45853</v>
      </c>
      <c r="B10973" s="66">
        <f t="shared" si="329"/>
        <v>2069.8683000000001</v>
      </c>
      <c r="C10973" s="72">
        <v>1678.66</v>
      </c>
      <c r="E10973" s="112">
        <f t="shared" si="332"/>
        <v>195384</v>
      </c>
      <c r="F10973" s="69">
        <f t="shared" si="330"/>
        <v>6.1327780069876082E-2</v>
      </c>
      <c r="G10973" s="69">
        <f t="shared" si="331"/>
        <v>7.8769668595676565E-2</v>
      </c>
    </row>
    <row r="10974" spans="1:7" x14ac:dyDescent="0.3">
      <c r="A10974" s="24">
        <v>45854</v>
      </c>
      <c r="B10974" s="66">
        <f t="shared" si="329"/>
        <v>2069.8683000000001</v>
      </c>
      <c r="C10974" s="72">
        <v>1678.66</v>
      </c>
      <c r="E10974" s="112">
        <f t="shared" si="332"/>
        <v>195384</v>
      </c>
      <c r="F10974" s="69">
        <f t="shared" ref="F10974:F11024" si="333">+SUM(D10612:D10974)/B10611</f>
        <v>6.1327780069876082E-2</v>
      </c>
      <c r="G10974" s="69">
        <f t="shared" ref="G10974:G11024" si="334">+SUM(D10612:D10974)/C10611</f>
        <v>7.8769668595676565E-2</v>
      </c>
    </row>
    <row r="10975" spans="1:7" x14ac:dyDescent="0.3">
      <c r="A10975" s="24">
        <v>45855</v>
      </c>
      <c r="B10975" s="66">
        <f t="shared" si="329"/>
        <v>2069.8683000000001</v>
      </c>
      <c r="C10975" s="72">
        <v>1654.1</v>
      </c>
      <c r="E10975" s="112">
        <f t="shared" si="332"/>
        <v>195384</v>
      </c>
      <c r="F10975" s="69">
        <f t="shared" si="333"/>
        <v>6.1327780069876082E-2</v>
      </c>
      <c r="G10975" s="69">
        <f t="shared" si="334"/>
        <v>7.9992258813663189E-2</v>
      </c>
    </row>
    <row r="10976" spans="1:7" x14ac:dyDescent="0.3">
      <c r="A10976" s="24">
        <v>45856</v>
      </c>
      <c r="B10976" s="66">
        <f t="shared" si="329"/>
        <v>2069.8683000000001</v>
      </c>
      <c r="C10976" s="72">
        <v>1650</v>
      </c>
      <c r="E10976" s="112">
        <f t="shared" si="332"/>
        <v>195384</v>
      </c>
      <c r="F10976" s="69">
        <f t="shared" si="333"/>
        <v>6.1327780069876082E-2</v>
      </c>
      <c r="G10976" s="69">
        <f t="shared" si="334"/>
        <v>7.8825750592782365E-2</v>
      </c>
    </row>
    <row r="10977" spans="1:7" x14ac:dyDescent="0.3">
      <c r="A10977" s="24">
        <v>45857</v>
      </c>
      <c r="B10977" s="66">
        <f t="shared" si="329"/>
        <v>2069.8683000000001</v>
      </c>
      <c r="C10977" s="72">
        <v>1650</v>
      </c>
      <c r="E10977" s="112">
        <f t="shared" si="332"/>
        <v>195384</v>
      </c>
      <c r="F10977" s="69">
        <f t="shared" si="333"/>
        <v>6.1327780069876082E-2</v>
      </c>
      <c r="G10977" s="69">
        <f t="shared" si="334"/>
        <v>7.8999006141535627E-2</v>
      </c>
    </row>
    <row r="10978" spans="1:7" x14ac:dyDescent="0.3">
      <c r="A10978" s="24">
        <v>45858</v>
      </c>
      <c r="B10978" s="66">
        <f t="shared" si="329"/>
        <v>2069.8683000000001</v>
      </c>
      <c r="C10978" s="72">
        <v>1650</v>
      </c>
      <c r="E10978" s="112">
        <f t="shared" si="332"/>
        <v>195384</v>
      </c>
      <c r="F10978" s="69">
        <f t="shared" si="333"/>
        <v>6.1327780069876082E-2</v>
      </c>
      <c r="G10978" s="69">
        <f t="shared" si="334"/>
        <v>7.8999006141535627E-2</v>
      </c>
    </row>
    <row r="10979" spans="1:7" x14ac:dyDescent="0.3">
      <c r="A10979" s="24">
        <v>45859</v>
      </c>
      <c r="B10979" s="66">
        <f t="shared" si="329"/>
        <v>2069.8683000000001</v>
      </c>
      <c r="C10979" s="72">
        <v>1649.57</v>
      </c>
      <c r="E10979" s="112">
        <f t="shared" si="332"/>
        <v>195384</v>
      </c>
      <c r="F10979" s="69">
        <f t="shared" si="333"/>
        <v>6.1327780069876082E-2</v>
      </c>
      <c r="G10979" s="69">
        <f t="shared" si="334"/>
        <v>7.8999006141535627E-2</v>
      </c>
    </row>
    <row r="10980" spans="1:7" x14ac:dyDescent="0.3">
      <c r="A10980" s="24">
        <v>45860</v>
      </c>
      <c r="B10980" s="66">
        <f t="shared" si="329"/>
        <v>2069.8683000000001</v>
      </c>
      <c r="C10980" s="72">
        <v>1636.1</v>
      </c>
      <c r="E10980" s="112">
        <f t="shared" si="332"/>
        <v>195384</v>
      </c>
      <c r="F10980" s="69">
        <f t="shared" si="333"/>
        <v>6.1327780069876082E-2</v>
      </c>
      <c r="G10980" s="69">
        <f t="shared" si="334"/>
        <v>7.8806713823587352E-2</v>
      </c>
    </row>
    <row r="10981" spans="1:7" x14ac:dyDescent="0.3">
      <c r="A10981" s="24">
        <v>45861</v>
      </c>
      <c r="B10981" s="66">
        <f t="shared" si="329"/>
        <v>2069.8683000000001</v>
      </c>
      <c r="C10981" s="72">
        <v>1610</v>
      </c>
      <c r="E10981" s="112">
        <f t="shared" si="332"/>
        <v>195384</v>
      </c>
      <c r="F10981" s="69">
        <f t="shared" si="333"/>
        <v>6.1327780069876082E-2</v>
      </c>
      <c r="G10981" s="69">
        <f t="shared" si="334"/>
        <v>7.9303662678033529E-2</v>
      </c>
    </row>
    <row r="10982" spans="1:7" x14ac:dyDescent="0.3">
      <c r="A10982" s="24">
        <v>45862</v>
      </c>
      <c r="B10982" s="66">
        <f t="shared" si="329"/>
        <v>2069.8683000000001</v>
      </c>
      <c r="C10982" s="72">
        <v>1601.77</v>
      </c>
      <c r="E10982" s="112">
        <f t="shared" si="332"/>
        <v>195384</v>
      </c>
      <c r="F10982" s="69">
        <f t="shared" si="333"/>
        <v>6.1327780069876082E-2</v>
      </c>
      <c r="G10982" s="69">
        <f t="shared" si="334"/>
        <v>7.9739688500765252E-2</v>
      </c>
    </row>
    <row r="10983" spans="1:7" x14ac:dyDescent="0.3">
      <c r="A10983" s="24">
        <v>45863</v>
      </c>
      <c r="B10983" s="66">
        <f t="shared" si="329"/>
        <v>2069.8683000000001</v>
      </c>
      <c r="C10983" s="72">
        <v>1602.12</v>
      </c>
      <c r="E10983" s="112">
        <f t="shared" si="332"/>
        <v>195384</v>
      </c>
      <c r="F10983" s="69">
        <f t="shared" si="333"/>
        <v>6.1327780069876082E-2</v>
      </c>
      <c r="G10983" s="69">
        <f t="shared" si="334"/>
        <v>8.0052163022356501E-2</v>
      </c>
    </row>
    <row r="10984" spans="1:7" x14ac:dyDescent="0.3">
      <c r="A10984" s="24">
        <v>45864</v>
      </c>
      <c r="B10984" s="66">
        <f t="shared" si="329"/>
        <v>2069.8683000000001</v>
      </c>
      <c r="C10984" s="72">
        <v>1602.12</v>
      </c>
      <c r="E10984" s="112">
        <f t="shared" si="332"/>
        <v>195384</v>
      </c>
      <c r="F10984" s="69">
        <f t="shared" si="333"/>
        <v>6.1327780069876082E-2</v>
      </c>
      <c r="G10984" s="69">
        <f t="shared" si="334"/>
        <v>8.3767935795930504E-2</v>
      </c>
    </row>
    <row r="10985" spans="1:7" x14ac:dyDescent="0.3">
      <c r="A10985" s="24">
        <v>45865</v>
      </c>
      <c r="B10985" s="66">
        <f t="shared" si="329"/>
        <v>2069.8683000000001</v>
      </c>
      <c r="C10985" s="72">
        <v>1602.12</v>
      </c>
      <c r="E10985" s="112">
        <f t="shared" si="332"/>
        <v>195384</v>
      </c>
      <c r="F10985" s="69">
        <f t="shared" si="333"/>
        <v>6.1327780069876082E-2</v>
      </c>
      <c r="G10985" s="69">
        <f t="shared" si="334"/>
        <v>8.3767935795930504E-2</v>
      </c>
    </row>
    <row r="10986" spans="1:7" x14ac:dyDescent="0.3">
      <c r="A10986" s="24">
        <v>45866</v>
      </c>
      <c r="B10986" s="66">
        <f t="shared" si="329"/>
        <v>2069.8683000000001</v>
      </c>
      <c r="C10986" s="72">
        <v>1607.01</v>
      </c>
      <c r="E10986" s="112">
        <f t="shared" si="332"/>
        <v>195384</v>
      </c>
      <c r="F10986" s="69">
        <f t="shared" si="333"/>
        <v>6.1327780069876082E-2</v>
      </c>
      <c r="G10986" s="69">
        <f t="shared" si="334"/>
        <v>8.3767935795930504E-2</v>
      </c>
    </row>
    <row r="10987" spans="1:7" x14ac:dyDescent="0.3">
      <c r="A10987" s="24">
        <v>45867</v>
      </c>
      <c r="B10987" s="66">
        <f t="shared" si="329"/>
        <v>2069.8683000000001</v>
      </c>
      <c r="C10987" s="72">
        <v>1588.98</v>
      </c>
      <c r="E10987" s="112">
        <f t="shared" si="332"/>
        <v>195384</v>
      </c>
      <c r="F10987" s="69">
        <f t="shared" si="333"/>
        <v>6.1327780069876082E-2</v>
      </c>
      <c r="G10987" s="69">
        <f t="shared" si="334"/>
        <v>8.0720232786735846E-2</v>
      </c>
    </row>
    <row r="10988" spans="1:7" x14ac:dyDescent="0.3">
      <c r="A10988" s="24">
        <v>45868</v>
      </c>
      <c r="B10988" s="66">
        <f t="shared" si="329"/>
        <v>2069.8683000000001</v>
      </c>
      <c r="C10988" s="72">
        <v>1592.44</v>
      </c>
      <c r="E10988" s="112">
        <f t="shared" si="332"/>
        <v>195384</v>
      </c>
      <c r="F10988" s="69">
        <f t="shared" si="333"/>
        <v>6.1327780069876082E-2</v>
      </c>
      <c r="G10988" s="69">
        <f t="shared" si="334"/>
        <v>8.1100879028882369E-2</v>
      </c>
    </row>
    <row r="10989" spans="1:7" x14ac:dyDescent="0.3">
      <c r="A10989" s="24">
        <v>45869</v>
      </c>
      <c r="B10989" s="66">
        <v>2077.8058999999998</v>
      </c>
      <c r="C10989" s="72">
        <v>1580.76</v>
      </c>
      <c r="E10989" s="112">
        <f t="shared" si="332"/>
        <v>195384</v>
      </c>
      <c r="F10989" s="69">
        <f t="shared" si="333"/>
        <v>5.8149292775639717E-2</v>
      </c>
      <c r="G10989" s="69">
        <f t="shared" si="334"/>
        <v>8.1395806803114049E-2</v>
      </c>
    </row>
    <row r="10990" spans="1:7" x14ac:dyDescent="0.3">
      <c r="A10990" s="24">
        <v>45870</v>
      </c>
      <c r="B10990" s="66">
        <f t="shared" si="329"/>
        <v>2077.8058999999998</v>
      </c>
      <c r="C10990" s="72">
        <v>1585.87</v>
      </c>
      <c r="E10990" s="112">
        <f t="shared" si="332"/>
        <v>195384</v>
      </c>
      <c r="F10990" s="69">
        <f t="shared" si="333"/>
        <v>5.8149292775639717E-2</v>
      </c>
      <c r="G10990" s="69">
        <f t="shared" si="334"/>
        <v>8.1775315725261324E-2</v>
      </c>
    </row>
    <row r="10991" spans="1:7" x14ac:dyDescent="0.3">
      <c r="A10991" s="24">
        <v>45871</v>
      </c>
      <c r="B10991" s="66">
        <f t="shared" si="329"/>
        <v>2077.8058999999998</v>
      </c>
      <c r="C10991" s="72">
        <v>1585.87</v>
      </c>
      <c r="E10991" s="112">
        <f t="shared" si="332"/>
        <v>195384</v>
      </c>
      <c r="F10991" s="69">
        <f t="shared" si="333"/>
        <v>5.8149292775639717E-2</v>
      </c>
      <c r="G10991" s="69">
        <f t="shared" si="334"/>
        <v>8.272512575553391E-2</v>
      </c>
    </row>
    <row r="10992" spans="1:7" x14ac:dyDescent="0.3">
      <c r="A10992" s="24">
        <v>45872</v>
      </c>
      <c r="B10992" s="66">
        <f t="shared" si="329"/>
        <v>2077.8058999999998</v>
      </c>
      <c r="C10992" s="72">
        <v>1585.87</v>
      </c>
      <c r="E10992" s="112">
        <f t="shared" si="332"/>
        <v>195384</v>
      </c>
      <c r="F10992" s="69">
        <f t="shared" si="333"/>
        <v>5.8149292775639717E-2</v>
      </c>
      <c r="G10992" s="69">
        <f t="shared" si="334"/>
        <v>8.272512575553391E-2</v>
      </c>
    </row>
    <row r="10993" spans="1:7" x14ac:dyDescent="0.3">
      <c r="A10993" s="24">
        <v>45873</v>
      </c>
      <c r="B10993" s="66">
        <f t="shared" si="329"/>
        <v>2077.8058999999998</v>
      </c>
      <c r="C10993" s="72">
        <v>1581.95</v>
      </c>
      <c r="E10993" s="112">
        <f t="shared" si="332"/>
        <v>195384</v>
      </c>
      <c r="F10993" s="69">
        <f t="shared" si="333"/>
        <v>5.8149292775639717E-2</v>
      </c>
      <c r="G10993" s="69">
        <f t="shared" si="334"/>
        <v>8.272512575553391E-2</v>
      </c>
    </row>
    <row r="10994" spans="1:7" x14ac:dyDescent="0.3">
      <c r="A10994" s="24">
        <v>45874</v>
      </c>
      <c r="B10994" s="66">
        <f t="shared" si="329"/>
        <v>2077.8058999999998</v>
      </c>
      <c r="C10994" s="72">
        <v>1599.9</v>
      </c>
      <c r="E10994" s="112">
        <f t="shared" si="332"/>
        <v>195384</v>
      </c>
      <c r="F10994" s="69">
        <f t="shared" si="333"/>
        <v>5.8149292775639717E-2</v>
      </c>
      <c r="G10994" s="69">
        <f t="shared" si="334"/>
        <v>8.2455032084316926E-2</v>
      </c>
    </row>
    <row r="10995" spans="1:7" x14ac:dyDescent="0.3">
      <c r="A10995" s="24">
        <v>45875</v>
      </c>
      <c r="B10995" s="66">
        <f t="shared" si="329"/>
        <v>2077.8058999999998</v>
      </c>
      <c r="C10995" s="72">
        <v>1603.93</v>
      </c>
      <c r="E10995" s="112">
        <f t="shared" si="332"/>
        <v>195384</v>
      </c>
      <c r="F10995" s="69">
        <f t="shared" si="333"/>
        <v>5.8149292775639717E-2</v>
      </c>
      <c r="G10995" s="69">
        <f t="shared" si="334"/>
        <v>8.1705806383595578E-2</v>
      </c>
    </row>
    <row r="10996" spans="1:7" x14ac:dyDescent="0.3">
      <c r="A10996" s="24">
        <v>45876</v>
      </c>
      <c r="B10996" s="66">
        <f t="shared" si="329"/>
        <v>2077.8058999999998</v>
      </c>
      <c r="C10996" s="72">
        <v>1605</v>
      </c>
      <c r="E10996" s="112">
        <f t="shared" si="332"/>
        <v>195384</v>
      </c>
      <c r="F10996" s="69">
        <f t="shared" si="333"/>
        <v>5.8149292775639717E-2</v>
      </c>
      <c r="G10996" s="69">
        <f t="shared" si="334"/>
        <v>8.2539555750810428E-2</v>
      </c>
    </row>
    <row r="10997" spans="1:7" x14ac:dyDescent="0.3">
      <c r="A10997" s="24">
        <v>45877</v>
      </c>
      <c r="B10997" s="66">
        <f t="shared" si="329"/>
        <v>2077.8058999999998</v>
      </c>
      <c r="C10997" s="72">
        <v>1603.7</v>
      </c>
      <c r="E10997" s="112">
        <f t="shared" si="332"/>
        <v>195384</v>
      </c>
      <c r="F10997" s="69">
        <f t="shared" si="333"/>
        <v>5.8149292775639717E-2</v>
      </c>
      <c r="G10997" s="69">
        <f t="shared" si="334"/>
        <v>8.3618242263626741E-2</v>
      </c>
    </row>
    <row r="10998" spans="1:7" x14ac:dyDescent="0.3">
      <c r="A10998" s="24">
        <v>45878</v>
      </c>
      <c r="B10998" s="66">
        <f t="shared" si="329"/>
        <v>2077.8058999999998</v>
      </c>
      <c r="C10998" s="72">
        <v>1603.7</v>
      </c>
      <c r="E10998" s="112">
        <f t="shared" si="332"/>
        <v>195384</v>
      </c>
      <c r="F10998" s="69">
        <f t="shared" si="333"/>
        <v>5.8149292775639717E-2</v>
      </c>
      <c r="G10998" s="69">
        <f t="shared" si="334"/>
        <v>8.1923890063424959E-2</v>
      </c>
    </row>
    <row r="10999" spans="1:7" x14ac:dyDescent="0.3">
      <c r="A10999" s="24">
        <v>45879</v>
      </c>
      <c r="B10999" s="66">
        <f t="shared" ref="B10999:B11024" si="335">+B10998</f>
        <v>2077.8058999999998</v>
      </c>
      <c r="C10999" s="72">
        <v>1603.7</v>
      </c>
      <c r="E10999" s="112">
        <f t="shared" si="332"/>
        <v>195384</v>
      </c>
      <c r="F10999" s="69">
        <f t="shared" si="333"/>
        <v>5.8149292775639717E-2</v>
      </c>
      <c r="G10999" s="69">
        <f t="shared" si="334"/>
        <v>8.1923890063424959E-2</v>
      </c>
    </row>
    <row r="11000" spans="1:7" x14ac:dyDescent="0.3">
      <c r="A11000" s="24">
        <v>45880</v>
      </c>
      <c r="B11000" s="66">
        <f t="shared" si="335"/>
        <v>2077.8058999999998</v>
      </c>
      <c r="C11000" s="72">
        <v>1586.08</v>
      </c>
      <c r="E11000" s="112">
        <f t="shared" si="332"/>
        <v>195384</v>
      </c>
      <c r="F11000" s="69">
        <f t="shared" si="333"/>
        <v>5.8149292775639717E-2</v>
      </c>
      <c r="G11000" s="69">
        <f t="shared" si="334"/>
        <v>8.1923890063424959E-2</v>
      </c>
    </row>
    <row r="11001" spans="1:7" x14ac:dyDescent="0.3">
      <c r="A11001" s="24">
        <v>45881</v>
      </c>
      <c r="B11001" s="66">
        <f t="shared" si="335"/>
        <v>2077.8058999999998</v>
      </c>
      <c r="C11001" s="72">
        <v>1600.43</v>
      </c>
      <c r="E11001" s="112">
        <f t="shared" si="332"/>
        <v>195384</v>
      </c>
      <c r="F11001" s="69">
        <f t="shared" si="333"/>
        <v>5.8149292775639717E-2</v>
      </c>
      <c r="G11001" s="69">
        <f t="shared" si="334"/>
        <v>8.1846023867356635E-2</v>
      </c>
    </row>
    <row r="11002" spans="1:7" x14ac:dyDescent="0.3">
      <c r="A11002" s="24">
        <v>45882</v>
      </c>
      <c r="B11002" s="66">
        <f t="shared" si="335"/>
        <v>2077.8058999999998</v>
      </c>
      <c r="C11002" s="72">
        <v>1618.87</v>
      </c>
      <c r="E11002" s="112">
        <f t="shared" si="332"/>
        <v>195384</v>
      </c>
      <c r="F11002" s="69">
        <f t="shared" si="333"/>
        <v>5.8149292775639717E-2</v>
      </c>
      <c r="G11002" s="69">
        <f t="shared" si="334"/>
        <v>8.1645015374283134E-2</v>
      </c>
    </row>
    <row r="11003" spans="1:7" x14ac:dyDescent="0.3">
      <c r="A11003" s="24">
        <v>45883</v>
      </c>
      <c r="B11003" s="66">
        <f t="shared" si="335"/>
        <v>2077.8058999999998</v>
      </c>
      <c r="C11003" s="72">
        <v>1626.69</v>
      </c>
      <c r="E11003" s="112">
        <f t="shared" si="332"/>
        <v>195384</v>
      </c>
      <c r="F11003" s="69">
        <f t="shared" si="333"/>
        <v>5.8149292775639717E-2</v>
      </c>
      <c r="G11003" s="69">
        <f t="shared" si="334"/>
        <v>8.1576800610510258E-2</v>
      </c>
    </row>
    <row r="11004" spans="1:7" x14ac:dyDescent="0.3">
      <c r="A11004" s="24">
        <v>45884</v>
      </c>
      <c r="B11004" s="66">
        <f t="shared" si="335"/>
        <v>2077.8058999999998</v>
      </c>
      <c r="C11004" s="72">
        <v>1626.69</v>
      </c>
      <c r="E11004" s="112">
        <f t="shared" si="332"/>
        <v>195384</v>
      </c>
      <c r="F11004" s="69">
        <f t="shared" si="333"/>
        <v>5.8149292775639717E-2</v>
      </c>
      <c r="G11004" s="69">
        <f t="shared" si="334"/>
        <v>8.1576800610510258E-2</v>
      </c>
    </row>
    <row r="11005" spans="1:7" x14ac:dyDescent="0.3">
      <c r="A11005" s="24">
        <v>45885</v>
      </c>
      <c r="B11005" s="66">
        <f t="shared" si="335"/>
        <v>2077.8058999999998</v>
      </c>
      <c r="C11005" s="72">
        <v>1626.69</v>
      </c>
      <c r="E11005" s="112">
        <f t="shared" si="332"/>
        <v>195384</v>
      </c>
      <c r="F11005" s="69">
        <f t="shared" si="333"/>
        <v>5.8149292775639717E-2</v>
      </c>
      <c r="G11005" s="69">
        <f t="shared" si="334"/>
        <v>8.1571434210006968E-2</v>
      </c>
    </row>
    <row r="11006" spans="1:7" x14ac:dyDescent="0.3">
      <c r="A11006" s="24">
        <v>45886</v>
      </c>
      <c r="B11006" s="66">
        <f t="shared" si="335"/>
        <v>2077.8058999999998</v>
      </c>
      <c r="C11006" s="72">
        <v>1626.69</v>
      </c>
      <c r="E11006" s="112">
        <f t="shared" si="332"/>
        <v>195384</v>
      </c>
      <c r="F11006" s="69">
        <f t="shared" si="333"/>
        <v>5.8149292775639717E-2</v>
      </c>
      <c r="G11006" s="69">
        <f t="shared" si="334"/>
        <v>8.1571434210006968E-2</v>
      </c>
    </row>
    <row r="11007" spans="1:7" x14ac:dyDescent="0.3">
      <c r="A11007" s="24">
        <v>45887</v>
      </c>
      <c r="B11007" s="66">
        <f t="shared" si="335"/>
        <v>2077.8058999999998</v>
      </c>
      <c r="C11007" s="72">
        <v>1626.75</v>
      </c>
      <c r="E11007" s="112">
        <f t="shared" si="332"/>
        <v>195384</v>
      </c>
      <c r="F11007" s="69">
        <f t="shared" si="333"/>
        <v>5.8149292775639717E-2</v>
      </c>
      <c r="G11007" s="69">
        <f t="shared" si="334"/>
        <v>8.1571434210006968E-2</v>
      </c>
    </row>
    <row r="11008" spans="1:7" x14ac:dyDescent="0.3">
      <c r="A11008" s="24">
        <v>45888</v>
      </c>
      <c r="B11008" s="66">
        <f t="shared" si="335"/>
        <v>2077.8058999999998</v>
      </c>
      <c r="C11008" s="72">
        <v>1650.81</v>
      </c>
      <c r="E11008" s="112">
        <f t="shared" si="332"/>
        <v>195384</v>
      </c>
      <c r="F11008" s="69">
        <f t="shared" si="333"/>
        <v>5.8149292775639717E-2</v>
      </c>
      <c r="G11008" s="69">
        <f t="shared" si="334"/>
        <v>8.102192165702897E-2</v>
      </c>
    </row>
    <row r="11009" spans="1:7" x14ac:dyDescent="0.3">
      <c r="A11009" s="24">
        <v>45889</v>
      </c>
      <c r="B11009" s="66">
        <f t="shared" si="335"/>
        <v>2077.8058999999998</v>
      </c>
      <c r="C11009" s="72">
        <v>1617.16</v>
      </c>
      <c r="E11009" s="112">
        <f t="shared" si="332"/>
        <v>195384</v>
      </c>
      <c r="F11009" s="69">
        <f t="shared" si="333"/>
        <v>5.8149292775639717E-2</v>
      </c>
      <c r="G11009" s="69">
        <f t="shared" si="334"/>
        <v>8.1037806750972122E-2</v>
      </c>
    </row>
    <row r="11010" spans="1:7" x14ac:dyDescent="0.3">
      <c r="A11010" s="24">
        <v>45890</v>
      </c>
      <c r="B11010" s="66">
        <f t="shared" si="335"/>
        <v>2077.8058999999998</v>
      </c>
      <c r="C11010" s="72">
        <v>1659.45</v>
      </c>
      <c r="E11010" s="112">
        <f t="shared" si="332"/>
        <v>195384</v>
      </c>
      <c r="F11010" s="69">
        <f t="shared" si="333"/>
        <v>5.8149292775639717E-2</v>
      </c>
      <c r="G11010" s="69">
        <f t="shared" si="334"/>
        <v>8.1221466047462151E-2</v>
      </c>
    </row>
    <row r="11011" spans="1:7" x14ac:dyDescent="0.3">
      <c r="A11011" s="24">
        <v>45891</v>
      </c>
      <c r="B11011" s="66">
        <f t="shared" si="335"/>
        <v>2077.8058999999998</v>
      </c>
      <c r="C11011" s="72">
        <v>1675.29</v>
      </c>
      <c r="E11011" s="112">
        <f t="shared" si="332"/>
        <v>195384</v>
      </c>
      <c r="F11011" s="69">
        <f t="shared" si="333"/>
        <v>5.8149292775639717E-2</v>
      </c>
      <c r="G11011" s="69">
        <f t="shared" si="334"/>
        <v>8.1584314757549833E-2</v>
      </c>
    </row>
    <row r="11012" spans="1:7" x14ac:dyDescent="0.3">
      <c r="A11012" s="24">
        <v>45892</v>
      </c>
      <c r="B11012" s="66">
        <f t="shared" si="335"/>
        <v>2077.8058999999998</v>
      </c>
      <c r="C11012" s="72">
        <v>1675.29</v>
      </c>
      <c r="E11012" s="112">
        <f t="shared" si="332"/>
        <v>195384</v>
      </c>
      <c r="F11012" s="69">
        <f t="shared" si="333"/>
        <v>5.8149292775639717E-2</v>
      </c>
      <c r="G11012" s="69">
        <f t="shared" si="334"/>
        <v>8.1621906266456032E-2</v>
      </c>
    </row>
    <row r="11013" spans="1:7" x14ac:dyDescent="0.3">
      <c r="A11013" s="24">
        <v>45893</v>
      </c>
      <c r="B11013" s="66">
        <f t="shared" si="335"/>
        <v>2077.8058999999998</v>
      </c>
      <c r="C11013" s="72">
        <v>1675.29</v>
      </c>
      <c r="E11013" s="112">
        <f t="shared" si="332"/>
        <v>195384</v>
      </c>
      <c r="F11013" s="69">
        <f t="shared" si="333"/>
        <v>5.8149292775639717E-2</v>
      </c>
      <c r="G11013" s="69">
        <f t="shared" si="334"/>
        <v>8.1621906266456032E-2</v>
      </c>
    </row>
    <row r="11014" spans="1:7" x14ac:dyDescent="0.3">
      <c r="A11014" s="24">
        <v>45894</v>
      </c>
      <c r="B11014" s="66">
        <f t="shared" si="335"/>
        <v>2077.8058999999998</v>
      </c>
      <c r="C11014" s="72">
        <v>1677.94</v>
      </c>
      <c r="E11014" s="112">
        <f t="shared" si="332"/>
        <v>195384</v>
      </c>
      <c r="F11014" s="69">
        <f t="shared" si="333"/>
        <v>5.8149292775639717E-2</v>
      </c>
      <c r="G11014" s="69">
        <f t="shared" si="334"/>
        <v>8.1621906266456032E-2</v>
      </c>
    </row>
    <row r="11015" spans="1:7" x14ac:dyDescent="0.3">
      <c r="A11015" s="24">
        <v>45895</v>
      </c>
      <c r="B11015" s="66">
        <f t="shared" si="335"/>
        <v>2077.8058999999998</v>
      </c>
      <c r="C11015" s="72">
        <v>1680</v>
      </c>
      <c r="E11015" s="112">
        <f t="shared" si="332"/>
        <v>195384</v>
      </c>
      <c r="F11015" s="69">
        <f t="shared" si="333"/>
        <v>5.8149292775639717E-2</v>
      </c>
      <c r="G11015" s="69">
        <f t="shared" si="334"/>
        <v>8.1895754629751946E-2</v>
      </c>
    </row>
    <row r="11016" spans="1:7" x14ac:dyDescent="0.3">
      <c r="A11016" s="24">
        <v>45896</v>
      </c>
      <c r="B11016" s="66">
        <f t="shared" si="335"/>
        <v>2077.8058999999998</v>
      </c>
      <c r="C11016" s="72">
        <v>1659.57</v>
      </c>
      <c r="E11016" s="112">
        <f t="shared" si="332"/>
        <v>195384</v>
      </c>
      <c r="F11016" s="69">
        <f t="shared" si="333"/>
        <v>5.8149292775639717E-2</v>
      </c>
      <c r="G11016" s="69">
        <f t="shared" si="334"/>
        <v>8.2902662913761166E-2</v>
      </c>
    </row>
    <row r="11017" spans="1:7" x14ac:dyDescent="0.3">
      <c r="A11017" s="24">
        <v>45897</v>
      </c>
      <c r="B11017" s="66">
        <f t="shared" si="335"/>
        <v>2077.8058999999998</v>
      </c>
      <c r="C11017" s="72">
        <v>1672.46</v>
      </c>
      <c r="E11017" s="112">
        <f t="shared" si="332"/>
        <v>195384</v>
      </c>
      <c r="F11017" s="69">
        <f t="shared" si="333"/>
        <v>5.8149292775639717E-2</v>
      </c>
      <c r="G11017" s="69">
        <f t="shared" si="334"/>
        <v>8.3271215692594908E-2</v>
      </c>
    </row>
    <row r="11018" spans="1:7" x14ac:dyDescent="0.3">
      <c r="A11018" s="24">
        <v>45898</v>
      </c>
      <c r="B11018" s="66">
        <f t="shared" si="335"/>
        <v>2077.8058999999998</v>
      </c>
      <c r="C11018" s="72">
        <v>1659.32</v>
      </c>
      <c r="E11018" s="112">
        <f t="shared" si="332"/>
        <v>195384</v>
      </c>
      <c r="F11018" s="69">
        <f t="shared" si="333"/>
        <v>5.8149292775639717E-2</v>
      </c>
      <c r="G11018" s="69">
        <f t="shared" si="334"/>
        <v>8.2139876260250932E-2</v>
      </c>
    </row>
    <row r="11019" spans="1:7" x14ac:dyDescent="0.3">
      <c r="A11019" s="24">
        <v>45899</v>
      </c>
      <c r="B11019" s="66">
        <f t="shared" si="335"/>
        <v>2077.8058999999998</v>
      </c>
      <c r="C11019" s="72">
        <v>1659.32</v>
      </c>
      <c r="E11019" s="112">
        <f t="shared" si="332"/>
        <v>195384</v>
      </c>
      <c r="F11019" s="69">
        <f t="shared" si="333"/>
        <v>6.1744279890405894E-2</v>
      </c>
      <c r="G11019" s="69">
        <f t="shared" si="334"/>
        <v>8.2175803202205494E-2</v>
      </c>
    </row>
    <row r="11020" spans="1:7" x14ac:dyDescent="0.3">
      <c r="A11020" s="24">
        <v>45900</v>
      </c>
      <c r="B11020" s="66">
        <v>2090.8496</v>
      </c>
      <c r="C11020" s="72">
        <v>1659.32</v>
      </c>
      <c r="E11020" s="112">
        <f t="shared" si="332"/>
        <v>195384</v>
      </c>
      <c r="F11020" s="69">
        <f t="shared" si="333"/>
        <v>6.1744279890405894E-2</v>
      </c>
      <c r="G11020" s="69">
        <f t="shared" si="334"/>
        <v>8.2175803202205494E-2</v>
      </c>
    </row>
    <row r="11021" spans="1:7" x14ac:dyDescent="0.3">
      <c r="A11021" s="24">
        <v>45901</v>
      </c>
      <c r="B11021" s="66">
        <f t="shared" si="335"/>
        <v>2090.8496</v>
      </c>
      <c r="C11021" s="72">
        <v>1668.77</v>
      </c>
      <c r="E11021" s="112">
        <f t="shared" si="332"/>
        <v>195384</v>
      </c>
      <c r="F11021" s="69">
        <f t="shared" si="333"/>
        <v>6.1744279890405894E-2</v>
      </c>
      <c r="G11021" s="69">
        <f t="shared" si="334"/>
        <v>8.2175803202205494E-2</v>
      </c>
    </row>
    <row r="11022" spans="1:7" x14ac:dyDescent="0.3">
      <c r="A11022" s="24">
        <v>45902</v>
      </c>
      <c r="B11022" s="66">
        <f t="shared" si="335"/>
        <v>2090.8496</v>
      </c>
      <c r="C11022" s="72">
        <v>1668.05</v>
      </c>
      <c r="E11022" s="112">
        <f t="shared" si="332"/>
        <v>195384</v>
      </c>
      <c r="F11022" s="69">
        <f t="shared" si="333"/>
        <v>6.1744279890405894E-2</v>
      </c>
      <c r="G11022" s="69">
        <f t="shared" si="334"/>
        <v>8.2090935571856052E-2</v>
      </c>
    </row>
    <row r="11023" spans="1:7" x14ac:dyDescent="0.3">
      <c r="A11023" s="24">
        <v>45903</v>
      </c>
      <c r="B11023" s="66">
        <f t="shared" si="335"/>
        <v>2090.8496</v>
      </c>
      <c r="C11023" s="72">
        <v>1676.41</v>
      </c>
      <c r="E11023" s="112">
        <f t="shared" si="332"/>
        <v>195384</v>
      </c>
      <c r="F11023" s="69">
        <f t="shared" si="333"/>
        <v>6.1744279890405894E-2</v>
      </c>
      <c r="G11023" s="69">
        <f t="shared" si="334"/>
        <v>8.2208491341589543E-2</v>
      </c>
    </row>
    <row r="11024" spans="1:7" x14ac:dyDescent="0.3">
      <c r="A11024" s="24">
        <v>45904</v>
      </c>
      <c r="B11024" s="66">
        <f t="shared" si="335"/>
        <v>2090.8496</v>
      </c>
      <c r="C11024" s="72">
        <v>1681.38</v>
      </c>
      <c r="E11024" s="112">
        <f t="shared" ref="E11024:E11087" si="336">+E11023</f>
        <v>195384</v>
      </c>
      <c r="F11024" s="69">
        <f t="shared" si="333"/>
        <v>6.1744279890405894E-2</v>
      </c>
      <c r="G11024" s="69">
        <f t="shared" si="334"/>
        <v>8.2193233640895105E-2</v>
      </c>
    </row>
    <row r="11025" spans="1:7" x14ac:dyDescent="0.3">
      <c r="A11025" s="24">
        <v>45905</v>
      </c>
      <c r="B11025" s="66">
        <f>+B11024</f>
        <v>2090.8496</v>
      </c>
      <c r="C11025" s="72">
        <v>1693.11</v>
      </c>
      <c r="E11025" s="112">
        <f t="shared" si="336"/>
        <v>195384</v>
      </c>
      <c r="F11025" s="69">
        <f t="shared" ref="F11025:F11065" si="337">+SUM(D10663:D11025)/B10662</f>
        <v>6.1744279890405894E-2</v>
      </c>
      <c r="G11025" s="69">
        <f t="shared" ref="G11025:G11065" si="338">+SUM(D10663:D11025)/C10662</f>
        <v>8.2232479176614137E-2</v>
      </c>
    </row>
    <row r="11026" spans="1:7" x14ac:dyDescent="0.3">
      <c r="A11026" s="24">
        <v>45906</v>
      </c>
      <c r="B11026" s="66">
        <f t="shared" ref="B11026:B11049" si="339">+B11025</f>
        <v>2090.8496</v>
      </c>
      <c r="C11026" s="72">
        <v>1693.11</v>
      </c>
      <c r="E11026" s="112">
        <f t="shared" si="336"/>
        <v>195384</v>
      </c>
      <c r="F11026" s="69">
        <f t="shared" si="337"/>
        <v>6.1744279890405894E-2</v>
      </c>
      <c r="G11026" s="69">
        <f t="shared" si="338"/>
        <v>8.233731739707835E-2</v>
      </c>
    </row>
    <row r="11027" spans="1:7" x14ac:dyDescent="0.3">
      <c r="A11027" s="24">
        <v>45907</v>
      </c>
      <c r="B11027" s="66">
        <f t="shared" si="339"/>
        <v>2090.8496</v>
      </c>
      <c r="C11027" s="72">
        <v>1693.11</v>
      </c>
      <c r="E11027" s="112">
        <f t="shared" si="336"/>
        <v>195384</v>
      </c>
      <c r="F11027" s="69">
        <f t="shared" si="337"/>
        <v>6.1744279890405894E-2</v>
      </c>
      <c r="G11027" s="69">
        <f t="shared" si="338"/>
        <v>8.233731739707835E-2</v>
      </c>
    </row>
    <row r="11028" spans="1:7" x14ac:dyDescent="0.3">
      <c r="A11028" s="24">
        <v>45908</v>
      </c>
      <c r="B11028" s="66">
        <f t="shared" si="339"/>
        <v>2090.8496</v>
      </c>
      <c r="C11028" s="72">
        <v>1697.92</v>
      </c>
      <c r="E11028" s="112">
        <f t="shared" si="336"/>
        <v>195384</v>
      </c>
      <c r="F11028" s="69">
        <f t="shared" si="337"/>
        <v>6.1744279890405894E-2</v>
      </c>
      <c r="G11028" s="69">
        <f t="shared" si="338"/>
        <v>8.233731739707835E-2</v>
      </c>
    </row>
    <row r="11029" spans="1:7" x14ac:dyDescent="0.3">
      <c r="A11029" s="24">
        <v>45909</v>
      </c>
      <c r="B11029" s="66">
        <f t="shared" si="339"/>
        <v>2090.8496</v>
      </c>
      <c r="C11029" s="72">
        <v>1698.7</v>
      </c>
      <c r="E11029" s="112">
        <f t="shared" si="336"/>
        <v>195384</v>
      </c>
      <c r="F11029" s="69">
        <f t="shared" si="337"/>
        <v>6.1744279890405894E-2</v>
      </c>
      <c r="G11029" s="69">
        <f t="shared" si="338"/>
        <v>8.2340597898986678E-2</v>
      </c>
    </row>
    <row r="11030" spans="1:7" x14ac:dyDescent="0.3">
      <c r="A11030" s="24">
        <v>45910</v>
      </c>
      <c r="B11030" s="66">
        <f t="shared" si="339"/>
        <v>2090.8496</v>
      </c>
      <c r="C11030" s="72">
        <v>1698.95</v>
      </c>
      <c r="E11030" s="112">
        <f t="shared" si="336"/>
        <v>195384</v>
      </c>
      <c r="F11030" s="69">
        <f t="shared" si="337"/>
        <v>6.1744279890405894E-2</v>
      </c>
      <c r="G11030" s="69">
        <f t="shared" si="338"/>
        <v>8.2430914251906212E-2</v>
      </c>
    </row>
    <row r="11031" spans="1:7" x14ac:dyDescent="0.3">
      <c r="A11031" s="24">
        <v>45911</v>
      </c>
      <c r="B11031" s="66">
        <f t="shared" si="339"/>
        <v>2090.8496</v>
      </c>
      <c r="C11031" s="72">
        <v>1700</v>
      </c>
      <c r="E11031" s="112">
        <f t="shared" si="336"/>
        <v>195384</v>
      </c>
      <c r="F11031" s="69">
        <f t="shared" si="337"/>
        <v>6.1744279890405894E-2</v>
      </c>
      <c r="G11031" s="69">
        <f t="shared" si="338"/>
        <v>8.2427626549672617E-2</v>
      </c>
    </row>
    <row r="11032" spans="1:7" x14ac:dyDescent="0.3">
      <c r="A11032" s="24">
        <v>45912</v>
      </c>
      <c r="B11032" s="66">
        <f t="shared" si="339"/>
        <v>2090.8496</v>
      </c>
      <c r="C11032" s="72">
        <v>1715.12</v>
      </c>
      <c r="E11032" s="112">
        <f t="shared" si="336"/>
        <v>195384</v>
      </c>
      <c r="F11032" s="69">
        <f t="shared" si="337"/>
        <v>6.1744279890405894E-2</v>
      </c>
      <c r="G11032" s="69">
        <f t="shared" si="338"/>
        <v>8.274886387144563E-2</v>
      </c>
    </row>
    <row r="11033" spans="1:7" x14ac:dyDescent="0.3">
      <c r="A11033" s="24">
        <v>45913</v>
      </c>
      <c r="B11033" s="66">
        <f t="shared" si="339"/>
        <v>2090.8496</v>
      </c>
      <c r="C11033" s="72">
        <v>1715.12</v>
      </c>
      <c r="E11033" s="112">
        <f t="shared" si="336"/>
        <v>195384</v>
      </c>
      <c r="F11033" s="69">
        <f t="shared" si="337"/>
        <v>6.1744279890405894E-2</v>
      </c>
      <c r="G11033" s="69">
        <f t="shared" si="338"/>
        <v>8.2666666666666666E-2</v>
      </c>
    </row>
    <row r="11034" spans="1:7" x14ac:dyDescent="0.3">
      <c r="A11034" s="24">
        <v>45914</v>
      </c>
      <c r="B11034" s="66">
        <f t="shared" si="339"/>
        <v>2090.8496</v>
      </c>
      <c r="C11034" s="72">
        <v>1715.12</v>
      </c>
      <c r="E11034" s="112">
        <f t="shared" si="336"/>
        <v>195384</v>
      </c>
      <c r="F11034" s="69">
        <f t="shared" si="337"/>
        <v>6.1744279890405894E-2</v>
      </c>
      <c r="G11034" s="69">
        <f t="shared" si="338"/>
        <v>8.2666666666666666E-2</v>
      </c>
    </row>
    <row r="11035" spans="1:7" x14ac:dyDescent="0.3">
      <c r="A11035" s="24">
        <v>45915</v>
      </c>
      <c r="B11035" s="66">
        <f t="shared" si="339"/>
        <v>2090.8496</v>
      </c>
      <c r="C11035" s="72">
        <v>1693.26</v>
      </c>
      <c r="E11035" s="112">
        <f t="shared" si="336"/>
        <v>195384</v>
      </c>
      <c r="F11035" s="69">
        <f t="shared" si="337"/>
        <v>6.1744279890405894E-2</v>
      </c>
      <c r="G11035" s="69">
        <f t="shared" si="338"/>
        <v>8.2666666666666666E-2</v>
      </c>
    </row>
    <row r="11036" spans="1:7" x14ac:dyDescent="0.3">
      <c r="A11036" s="24">
        <v>45916</v>
      </c>
      <c r="B11036" s="66">
        <f t="shared" si="339"/>
        <v>2090.8496</v>
      </c>
      <c r="C11036" s="72">
        <v>1683.51</v>
      </c>
      <c r="E11036" s="112">
        <f t="shared" si="336"/>
        <v>195384</v>
      </c>
      <c r="F11036" s="69">
        <f t="shared" si="337"/>
        <v>6.1744279890405894E-2</v>
      </c>
      <c r="G11036" s="69">
        <f t="shared" si="338"/>
        <v>8.2677690358714501E-2</v>
      </c>
    </row>
    <row r="11037" spans="1:7" x14ac:dyDescent="0.3">
      <c r="A11037" s="24">
        <v>45917</v>
      </c>
      <c r="B11037" s="66">
        <f t="shared" si="339"/>
        <v>2090.8496</v>
      </c>
      <c r="C11037" s="72">
        <v>1683.51</v>
      </c>
      <c r="E11037" s="112">
        <f t="shared" si="336"/>
        <v>195384</v>
      </c>
      <c r="F11037" s="69">
        <f t="shared" si="337"/>
        <v>6.1744279890405894E-2</v>
      </c>
      <c r="G11037" s="69">
        <f t="shared" si="338"/>
        <v>8.1854128022496683E-2</v>
      </c>
    </row>
    <row r="11038" spans="1:7" x14ac:dyDescent="0.3">
      <c r="A11038" s="24">
        <v>45918</v>
      </c>
      <c r="B11038" s="66">
        <f t="shared" si="339"/>
        <v>2090.8496</v>
      </c>
      <c r="C11038" s="72">
        <v>1683.51</v>
      </c>
      <c r="E11038" s="112">
        <f t="shared" si="336"/>
        <v>195384</v>
      </c>
      <c r="F11038" s="69">
        <f t="shared" si="337"/>
        <v>6.1744279890405894E-2</v>
      </c>
      <c r="G11038" s="69">
        <f t="shared" si="338"/>
        <v>8.1854128022496683E-2</v>
      </c>
    </row>
    <row r="11039" spans="1:7" x14ac:dyDescent="0.3">
      <c r="A11039" s="24">
        <v>45919</v>
      </c>
      <c r="B11039" s="66">
        <f t="shared" si="339"/>
        <v>2090.8496</v>
      </c>
      <c r="C11039" s="72">
        <v>1683.51</v>
      </c>
      <c r="E11039" s="112">
        <f t="shared" si="336"/>
        <v>195384</v>
      </c>
      <c r="F11039" s="69">
        <f t="shared" si="337"/>
        <v>6.1744279890405894E-2</v>
      </c>
      <c r="G11039" s="69">
        <f t="shared" si="338"/>
        <v>8.1854128022496683E-2</v>
      </c>
    </row>
    <row r="11040" spans="1:7" x14ac:dyDescent="0.3">
      <c r="A11040" s="24">
        <v>45920</v>
      </c>
      <c r="B11040" s="66">
        <f t="shared" si="339"/>
        <v>2090.8496</v>
      </c>
      <c r="C11040" s="72">
        <v>1683.51</v>
      </c>
      <c r="E11040" s="112">
        <f t="shared" si="336"/>
        <v>195384</v>
      </c>
      <c r="F11040" s="69">
        <f t="shared" si="337"/>
        <v>6.1744279890405894E-2</v>
      </c>
      <c r="G11040" s="69">
        <f t="shared" si="338"/>
        <v>8.1854128022496683E-2</v>
      </c>
    </row>
    <row r="11041" spans="1:7" x14ac:dyDescent="0.3">
      <c r="A11041" s="24">
        <v>45921</v>
      </c>
      <c r="B11041" s="66">
        <f t="shared" si="339"/>
        <v>2090.8496</v>
      </c>
      <c r="C11041" s="72">
        <v>1683.51</v>
      </c>
      <c r="E11041" s="112">
        <f t="shared" si="336"/>
        <v>195384</v>
      </c>
      <c r="F11041" s="69">
        <f t="shared" si="337"/>
        <v>6.1744279890405894E-2</v>
      </c>
      <c r="G11041" s="69">
        <f t="shared" si="338"/>
        <v>8.1854128022496683E-2</v>
      </c>
    </row>
    <row r="11042" spans="1:7" x14ac:dyDescent="0.3">
      <c r="A11042" s="24">
        <v>45922</v>
      </c>
      <c r="B11042" s="66">
        <f t="shared" si="339"/>
        <v>2090.8496</v>
      </c>
      <c r="C11042" s="72">
        <v>1720.29</v>
      </c>
      <c r="E11042" s="112">
        <f t="shared" si="336"/>
        <v>195384</v>
      </c>
      <c r="F11042" s="69">
        <f t="shared" si="337"/>
        <v>6.1744279890405894E-2</v>
      </c>
      <c r="G11042" s="69">
        <f t="shared" si="338"/>
        <v>8.1854128022496683E-2</v>
      </c>
    </row>
    <row r="11043" spans="1:7" x14ac:dyDescent="0.3">
      <c r="A11043" s="24">
        <v>45923</v>
      </c>
      <c r="B11043" s="66">
        <f t="shared" si="339"/>
        <v>2090.8496</v>
      </c>
      <c r="C11043" s="72">
        <v>1719.55</v>
      </c>
      <c r="E11043" s="112">
        <f t="shared" si="336"/>
        <v>195384</v>
      </c>
      <c r="F11043" s="69">
        <f t="shared" si="337"/>
        <v>6.1744279890405894E-2</v>
      </c>
      <c r="G11043" s="69">
        <f t="shared" si="338"/>
        <v>8.2667217781451877E-2</v>
      </c>
    </row>
    <row r="11044" spans="1:7" x14ac:dyDescent="0.3">
      <c r="A11044" s="24">
        <v>45924</v>
      </c>
      <c r="B11044" s="66">
        <f t="shared" si="339"/>
        <v>2090.8496</v>
      </c>
      <c r="C11044" s="72">
        <v>1721.63</v>
      </c>
      <c r="E11044" s="112">
        <f t="shared" si="336"/>
        <v>195384</v>
      </c>
      <c r="F11044" s="69">
        <f t="shared" si="337"/>
        <v>6.1744279890405894E-2</v>
      </c>
      <c r="G11044" s="69">
        <f t="shared" si="338"/>
        <v>8.3005328406565451E-2</v>
      </c>
    </row>
    <row r="11045" spans="1:7" x14ac:dyDescent="0.3">
      <c r="A11045" s="24">
        <v>45925</v>
      </c>
      <c r="B11045" s="66">
        <f t="shared" si="339"/>
        <v>2090.8496</v>
      </c>
      <c r="C11045" s="72">
        <v>1710.02</v>
      </c>
      <c r="E11045" s="112">
        <f t="shared" si="336"/>
        <v>195384</v>
      </c>
      <c r="F11045" s="69">
        <f t="shared" si="337"/>
        <v>6.1744279890405894E-2</v>
      </c>
      <c r="G11045" s="69">
        <f t="shared" si="338"/>
        <v>8.2556591211717711E-2</v>
      </c>
    </row>
    <row r="11046" spans="1:7" x14ac:dyDescent="0.3">
      <c r="A11046" s="24">
        <v>45926</v>
      </c>
      <c r="B11046" s="66">
        <f t="shared" si="339"/>
        <v>2090.8496</v>
      </c>
      <c r="C11046" s="72">
        <v>1710.75</v>
      </c>
      <c r="E11046" s="112">
        <f t="shared" si="336"/>
        <v>195384</v>
      </c>
      <c r="F11046" s="69">
        <f t="shared" si="337"/>
        <v>6.1744279890405894E-2</v>
      </c>
      <c r="G11046" s="69">
        <f t="shared" si="338"/>
        <v>8.2775378330207011E-2</v>
      </c>
    </row>
    <row r="11047" spans="1:7" x14ac:dyDescent="0.3">
      <c r="A11047" s="24">
        <v>45927</v>
      </c>
      <c r="B11047" s="66">
        <f t="shared" si="339"/>
        <v>2090.8496</v>
      </c>
      <c r="C11047" s="72">
        <v>1710.75</v>
      </c>
      <c r="E11047" s="112">
        <f t="shared" si="336"/>
        <v>195384</v>
      </c>
      <c r="F11047" s="69">
        <f t="shared" si="337"/>
        <v>6.1744279890405894E-2</v>
      </c>
      <c r="G11047" s="69">
        <f t="shared" si="338"/>
        <v>8.2722366393371535E-2</v>
      </c>
    </row>
    <row r="11048" spans="1:7" x14ac:dyDescent="0.3">
      <c r="A11048" s="24">
        <v>45928</v>
      </c>
      <c r="B11048" s="66">
        <f t="shared" si="339"/>
        <v>2090.8496</v>
      </c>
      <c r="C11048" s="72">
        <v>1710.75</v>
      </c>
      <c r="E11048" s="112">
        <f t="shared" si="336"/>
        <v>195384</v>
      </c>
      <c r="F11048" s="69">
        <f t="shared" si="337"/>
        <v>6.1744279890405894E-2</v>
      </c>
      <c r="G11048" s="69">
        <f t="shared" si="338"/>
        <v>8.2722366393371535E-2</v>
      </c>
    </row>
    <row r="11049" spans="1:7" x14ac:dyDescent="0.3">
      <c r="A11049" s="24">
        <v>45929</v>
      </c>
      <c r="B11049" s="66">
        <f t="shared" si="339"/>
        <v>2090.8496</v>
      </c>
      <c r="C11049" s="72">
        <v>1716.18</v>
      </c>
      <c r="D11049" s="71">
        <v>17</v>
      </c>
      <c r="E11049" s="112">
        <f t="shared" si="336"/>
        <v>195384</v>
      </c>
      <c r="F11049" s="69">
        <f t="shared" si="337"/>
        <v>6.1744279890405894E-2</v>
      </c>
      <c r="G11049" s="69">
        <f t="shared" si="338"/>
        <v>8.2722366393371535E-2</v>
      </c>
    </row>
    <row r="11050" spans="1:7" x14ac:dyDescent="0.3">
      <c r="A11050" s="24">
        <v>45930</v>
      </c>
      <c r="B11050" s="66">
        <v>2164.9166</v>
      </c>
      <c r="C11050" s="72">
        <v>1727.41</v>
      </c>
      <c r="E11050" s="112">
        <f t="shared" si="336"/>
        <v>195384</v>
      </c>
      <c r="F11050" s="69">
        <f t="shared" si="337"/>
        <v>6.0854406666345055E-2</v>
      </c>
      <c r="G11050" s="69">
        <f t="shared" si="338"/>
        <v>8.2726781461195137E-2</v>
      </c>
    </row>
    <row r="11051" spans="1:7" x14ac:dyDescent="0.3">
      <c r="A11051" s="24">
        <v>45931</v>
      </c>
      <c r="B11051" s="66">
        <f>+B11050</f>
        <v>2164.9166</v>
      </c>
      <c r="C11051" s="72">
        <v>1732.36</v>
      </c>
      <c r="E11051" s="112">
        <f t="shared" si="336"/>
        <v>195384</v>
      </c>
      <c r="F11051" s="69">
        <f t="shared" si="337"/>
        <v>6.0854406666345055E-2</v>
      </c>
      <c r="G11051" s="69">
        <f t="shared" si="338"/>
        <v>8.2785878331463975E-2</v>
      </c>
    </row>
    <row r="11052" spans="1:7" x14ac:dyDescent="0.3">
      <c r="A11052" s="24">
        <v>45932</v>
      </c>
      <c r="B11052" s="66">
        <f t="shared" ref="B11052:B11115" si="340">+B11051</f>
        <v>2164.9166</v>
      </c>
      <c r="C11052" s="72">
        <v>1736.41</v>
      </c>
      <c r="E11052" s="112">
        <f t="shared" si="336"/>
        <v>195384</v>
      </c>
      <c r="F11052" s="69">
        <f t="shared" si="337"/>
        <v>6.0854406666345055E-2</v>
      </c>
      <c r="G11052" s="69">
        <f t="shared" si="338"/>
        <v>8.2761566596363828E-2</v>
      </c>
    </row>
    <row r="11053" spans="1:7" x14ac:dyDescent="0.3">
      <c r="A11053" s="24">
        <v>45933</v>
      </c>
      <c r="B11053" s="66">
        <f t="shared" si="340"/>
        <v>2164.9166</v>
      </c>
      <c r="C11053" s="72">
        <v>1743.43</v>
      </c>
      <c r="E11053" s="112">
        <f t="shared" si="336"/>
        <v>195384</v>
      </c>
      <c r="F11053" s="69">
        <f t="shared" si="337"/>
        <v>6.0854406666345055E-2</v>
      </c>
      <c r="G11053" s="69">
        <f t="shared" si="338"/>
        <v>8.3735692338859441E-2</v>
      </c>
    </row>
    <row r="11054" spans="1:7" x14ac:dyDescent="0.3">
      <c r="A11054" s="24">
        <v>45934</v>
      </c>
      <c r="B11054" s="66">
        <f t="shared" si="340"/>
        <v>2164.9166</v>
      </c>
      <c r="C11054" s="72">
        <v>1743.43</v>
      </c>
      <c r="E11054" s="112">
        <f t="shared" si="336"/>
        <v>195384</v>
      </c>
      <c r="F11054" s="69">
        <f t="shared" si="337"/>
        <v>6.0854406666345055E-2</v>
      </c>
      <c r="G11054" s="69">
        <f t="shared" si="338"/>
        <v>8.2836204765753901E-2</v>
      </c>
    </row>
    <row r="11055" spans="1:7" x14ac:dyDescent="0.3">
      <c r="A11055" s="24">
        <v>45935</v>
      </c>
      <c r="B11055" s="66">
        <f t="shared" si="340"/>
        <v>2164.9166</v>
      </c>
      <c r="C11055" s="72">
        <v>1743.43</v>
      </c>
      <c r="E11055" s="112">
        <f t="shared" si="336"/>
        <v>195384</v>
      </c>
      <c r="F11055" s="69">
        <f t="shared" si="337"/>
        <v>6.0854406666345055E-2</v>
      </c>
      <c r="G11055" s="69">
        <f t="shared" si="338"/>
        <v>8.2836204765753901E-2</v>
      </c>
    </row>
    <row r="11056" spans="1:7" x14ac:dyDescent="0.3">
      <c r="A11056" s="24">
        <v>45936</v>
      </c>
      <c r="B11056" s="66">
        <f t="shared" si="340"/>
        <v>2164.9166</v>
      </c>
      <c r="C11056" s="72">
        <v>1746.83</v>
      </c>
      <c r="E11056" s="112">
        <f t="shared" si="336"/>
        <v>195384</v>
      </c>
      <c r="F11056" s="69">
        <f t="shared" si="337"/>
        <v>6.0854406666345055E-2</v>
      </c>
      <c r="G11056" s="69">
        <f t="shared" si="338"/>
        <v>8.2836204765753901E-2</v>
      </c>
    </row>
    <row r="11057" spans="1:7" x14ac:dyDescent="0.3">
      <c r="A11057" s="24">
        <v>45937</v>
      </c>
      <c r="B11057" s="66">
        <f t="shared" si="340"/>
        <v>2164.9166</v>
      </c>
      <c r="C11057" s="72">
        <v>1747.27</v>
      </c>
      <c r="E11057" s="112">
        <f t="shared" si="336"/>
        <v>195384</v>
      </c>
      <c r="F11057" s="69">
        <f t="shared" si="337"/>
        <v>6.0854406666345055E-2</v>
      </c>
      <c r="G11057" s="69">
        <f t="shared" si="338"/>
        <v>8.3720427784379395E-2</v>
      </c>
    </row>
    <row r="11058" spans="1:7" x14ac:dyDescent="0.3">
      <c r="A11058" s="24">
        <v>45938</v>
      </c>
      <c r="B11058" s="66">
        <f t="shared" si="340"/>
        <v>2164.9166</v>
      </c>
      <c r="C11058" s="72">
        <v>1740</v>
      </c>
      <c r="E11058" s="112">
        <f t="shared" si="336"/>
        <v>195384</v>
      </c>
      <c r="F11058" s="69">
        <f t="shared" si="337"/>
        <v>6.0854406666345055E-2</v>
      </c>
      <c r="G11058" s="69">
        <f t="shared" si="338"/>
        <v>8.3830230262713121E-2</v>
      </c>
    </row>
    <row r="11059" spans="1:7" x14ac:dyDescent="0.3">
      <c r="A11059" s="24">
        <v>45939</v>
      </c>
      <c r="B11059" s="66">
        <f t="shared" si="340"/>
        <v>2164.9166</v>
      </c>
      <c r="C11059" s="72">
        <v>1732.62</v>
      </c>
      <c r="E11059" s="112">
        <f t="shared" si="336"/>
        <v>195384</v>
      </c>
      <c r="F11059" s="69">
        <f t="shared" si="337"/>
        <v>6.0854406666345055E-2</v>
      </c>
      <c r="G11059" s="69">
        <f t="shared" si="338"/>
        <v>8.3479759524434649E-2</v>
      </c>
    </row>
    <row r="11060" spans="1:7" x14ac:dyDescent="0.3">
      <c r="A11060" s="24">
        <v>45940</v>
      </c>
      <c r="B11060" s="66">
        <f t="shared" si="340"/>
        <v>2164.9166</v>
      </c>
      <c r="C11060" s="72">
        <v>1711.68</v>
      </c>
      <c r="E11060" s="112">
        <f t="shared" si="336"/>
        <v>195384</v>
      </c>
      <c r="F11060" s="69">
        <f t="shared" si="337"/>
        <v>6.0854406666345055E-2</v>
      </c>
      <c r="G11060" s="69">
        <f t="shared" si="338"/>
        <v>8.3549506451504219E-2</v>
      </c>
    </row>
    <row r="11061" spans="1:7" x14ac:dyDescent="0.3">
      <c r="A11061" s="24">
        <v>45941</v>
      </c>
      <c r="B11061" s="66">
        <f t="shared" si="340"/>
        <v>2164.9166</v>
      </c>
      <c r="C11061" s="72">
        <v>1711.68</v>
      </c>
      <c r="E11061" s="112">
        <f t="shared" si="336"/>
        <v>195384</v>
      </c>
      <c r="F11061" s="69">
        <f t="shared" si="337"/>
        <v>6.0854406666345055E-2</v>
      </c>
      <c r="G11061" s="69">
        <f t="shared" si="338"/>
        <v>8.3649831013849443E-2</v>
      </c>
    </row>
    <row r="11062" spans="1:7" x14ac:dyDescent="0.3">
      <c r="A11062" s="24">
        <v>45942</v>
      </c>
      <c r="B11062" s="66">
        <f t="shared" si="340"/>
        <v>2164.9166</v>
      </c>
      <c r="C11062" s="72">
        <v>1711.68</v>
      </c>
      <c r="E11062" s="112">
        <f t="shared" si="336"/>
        <v>195384</v>
      </c>
      <c r="F11062" s="69">
        <f t="shared" si="337"/>
        <v>6.0854406666345055E-2</v>
      </c>
      <c r="G11062" s="69">
        <f t="shared" si="338"/>
        <v>8.3649831013849443E-2</v>
      </c>
    </row>
    <row r="11063" spans="1:7" x14ac:dyDescent="0.3">
      <c r="A11063" s="24">
        <v>45943</v>
      </c>
      <c r="B11063" s="66">
        <f t="shared" si="340"/>
        <v>2164.9166</v>
      </c>
      <c r="C11063" s="72">
        <v>1692.96</v>
      </c>
      <c r="E11063" s="112">
        <f t="shared" si="336"/>
        <v>195384</v>
      </c>
      <c r="F11063" s="69">
        <f t="shared" si="337"/>
        <v>6.0854406666345055E-2</v>
      </c>
      <c r="G11063" s="69">
        <f t="shared" si="338"/>
        <v>8.3649831013849443E-2</v>
      </c>
    </row>
    <row r="11064" spans="1:7" x14ac:dyDescent="0.3">
      <c r="A11064" s="24">
        <v>45944</v>
      </c>
      <c r="B11064" s="66">
        <f t="shared" si="340"/>
        <v>2164.9166</v>
      </c>
      <c r="C11064" s="72">
        <v>1689.87</v>
      </c>
      <c r="E11064" s="112">
        <f t="shared" si="336"/>
        <v>195384</v>
      </c>
      <c r="F11064" s="69">
        <f t="shared" si="337"/>
        <v>6.0854406666345055E-2</v>
      </c>
      <c r="G11064" s="69">
        <f t="shared" si="338"/>
        <v>8.3679749500620848E-2</v>
      </c>
    </row>
    <row r="11065" spans="1:7" x14ac:dyDescent="0.3">
      <c r="A11065" s="24">
        <v>45945</v>
      </c>
      <c r="B11065" s="66">
        <f t="shared" si="340"/>
        <v>2164.9166</v>
      </c>
      <c r="C11065" s="72">
        <v>1699.4</v>
      </c>
      <c r="E11065" s="112">
        <f t="shared" si="336"/>
        <v>195384</v>
      </c>
      <c r="F11065" s="69">
        <f t="shared" si="337"/>
        <v>6.0854406666345055E-2</v>
      </c>
      <c r="G11065" s="69">
        <f t="shared" si="338"/>
        <v>8.3539374667358335E-2</v>
      </c>
    </row>
    <row r="11066" spans="1:7" x14ac:dyDescent="0.3">
      <c r="A11066" s="24">
        <v>45946</v>
      </c>
      <c r="B11066" s="66">
        <f t="shared" si="340"/>
        <v>2164.9166</v>
      </c>
      <c r="C11066" s="72">
        <v>1725.89</v>
      </c>
      <c r="E11066" s="112">
        <f t="shared" si="336"/>
        <v>195384</v>
      </c>
      <c r="F11066" s="69">
        <f t="shared" ref="F11066:F11106" si="341">+SUM(D10704:D11066)/B10703</f>
        <v>6.0854406666345055E-2</v>
      </c>
      <c r="G11066" s="69">
        <f t="shared" ref="G11066:G11106" si="342">+SUM(D10704:D11066)/C10703</f>
        <v>8.2425982796899708E-2</v>
      </c>
    </row>
    <row r="11067" spans="1:7" x14ac:dyDescent="0.3">
      <c r="A11067" s="24">
        <v>45947</v>
      </c>
      <c r="B11067" s="66">
        <f t="shared" si="340"/>
        <v>2164.9166</v>
      </c>
      <c r="C11067" s="72">
        <v>1714.09</v>
      </c>
      <c r="E11067" s="112">
        <f t="shared" si="336"/>
        <v>195384</v>
      </c>
      <c r="F11067" s="69">
        <f t="shared" si="341"/>
        <v>6.0854406666345055E-2</v>
      </c>
      <c r="G11067" s="69">
        <f t="shared" si="342"/>
        <v>8.3392739451490977E-2</v>
      </c>
    </row>
    <row r="11068" spans="1:7" x14ac:dyDescent="0.3">
      <c r="A11068" s="24">
        <v>45948</v>
      </c>
      <c r="B11068" s="66">
        <f t="shared" si="340"/>
        <v>2164.9166</v>
      </c>
      <c r="C11068" s="72">
        <v>1714.09</v>
      </c>
      <c r="E11068" s="112">
        <f t="shared" si="336"/>
        <v>195384</v>
      </c>
      <c r="F11068" s="69">
        <f t="shared" si="341"/>
        <v>6.0854406666345055E-2</v>
      </c>
      <c r="G11068" s="69">
        <f t="shared" si="342"/>
        <v>8.2580232689784691E-2</v>
      </c>
    </row>
    <row r="11069" spans="1:7" x14ac:dyDescent="0.3">
      <c r="A11069" s="24">
        <v>45949</v>
      </c>
      <c r="B11069" s="66">
        <f t="shared" si="340"/>
        <v>2164.9166</v>
      </c>
      <c r="C11069" s="72">
        <v>1714.09</v>
      </c>
      <c r="E11069" s="112">
        <f t="shared" si="336"/>
        <v>195384</v>
      </c>
      <c r="F11069" s="69">
        <f t="shared" si="341"/>
        <v>6.0854406666345055E-2</v>
      </c>
      <c r="G11069" s="69">
        <f t="shared" si="342"/>
        <v>8.2580232689784691E-2</v>
      </c>
    </row>
    <row r="11070" spans="1:7" x14ac:dyDescent="0.3">
      <c r="A11070" s="24">
        <v>45950</v>
      </c>
      <c r="B11070" s="66">
        <f t="shared" si="340"/>
        <v>2164.9166</v>
      </c>
      <c r="C11070" s="72">
        <v>1715.1</v>
      </c>
      <c r="E11070" s="112">
        <f t="shared" si="336"/>
        <v>195384</v>
      </c>
      <c r="F11070" s="69">
        <f t="shared" si="341"/>
        <v>6.0854406666345055E-2</v>
      </c>
      <c r="G11070" s="69">
        <f t="shared" si="342"/>
        <v>8.2580232689784691E-2</v>
      </c>
    </row>
    <row r="11071" spans="1:7" x14ac:dyDescent="0.3">
      <c r="A11071" s="24">
        <v>45951</v>
      </c>
      <c r="B11071" s="66">
        <f t="shared" si="340"/>
        <v>2164.9166</v>
      </c>
      <c r="C11071" s="72">
        <v>1703.24</v>
      </c>
      <c r="E11071" s="112">
        <f t="shared" si="336"/>
        <v>195384</v>
      </c>
      <c r="F11071" s="69">
        <f t="shared" si="341"/>
        <v>6.0854406666345055E-2</v>
      </c>
      <c r="G11071" s="69">
        <f t="shared" si="342"/>
        <v>8.2675485385107744E-2</v>
      </c>
    </row>
    <row r="11072" spans="1:7" x14ac:dyDescent="0.3">
      <c r="A11072" s="24">
        <v>45952</v>
      </c>
      <c r="B11072" s="66">
        <f t="shared" si="340"/>
        <v>2164.9166</v>
      </c>
      <c r="C11072" s="72">
        <v>1706.47</v>
      </c>
      <c r="E11072" s="112">
        <f t="shared" si="336"/>
        <v>195384</v>
      </c>
      <c r="F11072" s="69">
        <f t="shared" si="341"/>
        <v>6.0854406666345055E-2</v>
      </c>
      <c r="G11072" s="69">
        <f t="shared" si="342"/>
        <v>8.3242706193525876E-2</v>
      </c>
    </row>
    <row r="11073" spans="1:7" x14ac:dyDescent="0.3">
      <c r="A11073" s="24">
        <v>45953</v>
      </c>
      <c r="B11073" s="66">
        <f t="shared" si="340"/>
        <v>2164.9166</v>
      </c>
      <c r="C11073" s="72">
        <v>1749.94</v>
      </c>
      <c r="E11073" s="112">
        <f t="shared" si="336"/>
        <v>195384</v>
      </c>
      <c r="F11073" s="69">
        <f t="shared" si="341"/>
        <v>6.0854406666345055E-2</v>
      </c>
      <c r="G11073" s="69">
        <f t="shared" si="342"/>
        <v>8.3193001053330745E-2</v>
      </c>
    </row>
    <row r="11074" spans="1:7" x14ac:dyDescent="0.3">
      <c r="A11074" s="24">
        <v>45954</v>
      </c>
      <c r="B11074" s="66">
        <f t="shared" si="340"/>
        <v>2164.9166</v>
      </c>
      <c r="C11074" s="72">
        <v>1744</v>
      </c>
      <c r="E11074" s="112">
        <f t="shared" si="336"/>
        <v>195384</v>
      </c>
      <c r="F11074" s="69">
        <f t="shared" si="341"/>
        <v>6.0854406666345055E-2</v>
      </c>
      <c r="G11074" s="69">
        <f t="shared" si="342"/>
        <v>8.2887700534759357E-2</v>
      </c>
    </row>
    <row r="11075" spans="1:7" x14ac:dyDescent="0.3">
      <c r="A11075" s="24">
        <v>45955</v>
      </c>
      <c r="B11075" s="66">
        <f t="shared" si="340"/>
        <v>2164.9166</v>
      </c>
      <c r="C11075" s="72">
        <v>1744</v>
      </c>
      <c r="E11075" s="112">
        <f t="shared" si="336"/>
        <v>195384</v>
      </c>
      <c r="F11075" s="69">
        <f t="shared" si="341"/>
        <v>6.0854406666345055E-2</v>
      </c>
      <c r="G11075" s="69">
        <f t="shared" si="342"/>
        <v>8.2995883671898529E-2</v>
      </c>
    </row>
    <row r="11076" spans="1:7" x14ac:dyDescent="0.3">
      <c r="A11076" s="24">
        <v>45956</v>
      </c>
      <c r="B11076" s="66">
        <f t="shared" si="340"/>
        <v>2164.9166</v>
      </c>
      <c r="C11076" s="72">
        <v>1744</v>
      </c>
      <c r="E11076" s="112">
        <f t="shared" si="336"/>
        <v>195384</v>
      </c>
      <c r="F11076" s="69">
        <f t="shared" si="341"/>
        <v>6.0854406666345055E-2</v>
      </c>
      <c r="G11076" s="69">
        <f t="shared" si="342"/>
        <v>8.2995883671898529E-2</v>
      </c>
    </row>
    <row r="11077" spans="1:7" x14ac:dyDescent="0.3">
      <c r="A11077" s="24">
        <v>45957</v>
      </c>
      <c r="B11077" s="66">
        <f t="shared" si="340"/>
        <v>2164.9166</v>
      </c>
      <c r="C11077" s="72">
        <v>1747.02</v>
      </c>
      <c r="E11077" s="112">
        <f t="shared" si="336"/>
        <v>195384</v>
      </c>
      <c r="F11077" s="69">
        <f t="shared" si="341"/>
        <v>6.0854406666345055E-2</v>
      </c>
      <c r="G11077" s="69">
        <f t="shared" si="342"/>
        <v>8.2995883671898529E-2</v>
      </c>
    </row>
    <row r="11078" spans="1:7" x14ac:dyDescent="0.3">
      <c r="A11078" s="24">
        <v>45958</v>
      </c>
      <c r="B11078" s="66">
        <f t="shared" si="340"/>
        <v>2164.9166</v>
      </c>
      <c r="C11078" s="72">
        <v>1745.67</v>
      </c>
      <c r="E11078" s="112">
        <f t="shared" si="336"/>
        <v>195384</v>
      </c>
      <c r="F11078" s="69">
        <f t="shared" si="341"/>
        <v>6.0854406666345055E-2</v>
      </c>
      <c r="G11078" s="69">
        <f t="shared" si="342"/>
        <v>8.3170680993487192E-2</v>
      </c>
    </row>
    <row r="11079" spans="1:7" x14ac:dyDescent="0.3">
      <c r="A11079" s="24">
        <v>45959</v>
      </c>
      <c r="B11079" s="66">
        <f t="shared" si="340"/>
        <v>2164.9166</v>
      </c>
      <c r="C11079" s="72">
        <v>1766.87</v>
      </c>
      <c r="E11079" s="112">
        <f t="shared" si="336"/>
        <v>195384</v>
      </c>
      <c r="F11079" s="69">
        <f t="shared" si="341"/>
        <v>6.0854406666345055E-2</v>
      </c>
      <c r="G11079" s="69">
        <f t="shared" si="342"/>
        <v>8.30887575550463E-2</v>
      </c>
    </row>
    <row r="11080" spans="1:7" x14ac:dyDescent="0.3">
      <c r="A11080" s="24">
        <v>45960</v>
      </c>
      <c r="B11080" s="66">
        <f t="shared" si="340"/>
        <v>2164.9166</v>
      </c>
      <c r="C11080" s="72">
        <v>1783.28</v>
      </c>
      <c r="E11080" s="112">
        <f t="shared" si="336"/>
        <v>195384</v>
      </c>
      <c r="F11080" s="69">
        <f t="shared" si="341"/>
        <v>6.0355831699710268E-2</v>
      </c>
      <c r="G11080" s="69">
        <f t="shared" si="342"/>
        <v>8.2864990209902359E-2</v>
      </c>
    </row>
    <row r="11081" spans="1:7" x14ac:dyDescent="0.3">
      <c r="A11081" s="24">
        <v>45961</v>
      </c>
      <c r="B11081" s="66">
        <v>2177.3973000000001</v>
      </c>
      <c r="C11081" s="72">
        <v>1783.28</v>
      </c>
      <c r="E11081" s="112">
        <f t="shared" si="336"/>
        <v>195384</v>
      </c>
      <c r="F11081" s="69">
        <f t="shared" si="341"/>
        <v>6.0355831699710268E-2</v>
      </c>
      <c r="G11081" s="69">
        <f t="shared" si="342"/>
        <v>8.2864990209902359E-2</v>
      </c>
    </row>
    <row r="11082" spans="1:7" x14ac:dyDescent="0.3">
      <c r="A11082" s="24">
        <v>45962</v>
      </c>
      <c r="B11082" s="66">
        <f t="shared" si="340"/>
        <v>2177.3973000000001</v>
      </c>
      <c r="C11082" s="72">
        <v>1783.28</v>
      </c>
      <c r="E11082" s="112">
        <f t="shared" si="336"/>
        <v>195384</v>
      </c>
      <c r="F11082" s="69">
        <f t="shared" si="341"/>
        <v>6.0355831699710268E-2</v>
      </c>
      <c r="G11082" s="69">
        <f t="shared" si="342"/>
        <v>8.2864990209902359E-2</v>
      </c>
    </row>
    <row r="11083" spans="1:7" x14ac:dyDescent="0.3">
      <c r="A11083" s="24">
        <v>45963</v>
      </c>
      <c r="B11083" s="66">
        <f t="shared" si="340"/>
        <v>2177.3973000000001</v>
      </c>
      <c r="C11083" s="72">
        <v>1783.28</v>
      </c>
      <c r="E11083" s="112">
        <f t="shared" si="336"/>
        <v>195384</v>
      </c>
      <c r="F11083" s="69">
        <f t="shared" si="341"/>
        <v>6.0355831699710268E-2</v>
      </c>
      <c r="G11083" s="69">
        <f t="shared" si="342"/>
        <v>8.2864990209902359E-2</v>
      </c>
    </row>
    <row r="11084" spans="1:7" x14ac:dyDescent="0.3">
      <c r="A11084" s="24">
        <v>45964</v>
      </c>
      <c r="B11084" s="66">
        <f t="shared" si="340"/>
        <v>2177.3973000000001</v>
      </c>
      <c r="C11084" s="72">
        <v>1774.46</v>
      </c>
      <c r="E11084" s="112">
        <f t="shared" si="336"/>
        <v>195384</v>
      </c>
      <c r="F11084" s="69">
        <f t="shared" si="341"/>
        <v>6.0355831699710268E-2</v>
      </c>
      <c r="G11084" s="69">
        <f t="shared" si="342"/>
        <v>8.2864990209902359E-2</v>
      </c>
    </row>
    <row r="11085" spans="1:7" x14ac:dyDescent="0.3">
      <c r="A11085" s="24">
        <v>45965</v>
      </c>
      <c r="B11085" s="66">
        <f t="shared" si="340"/>
        <v>2177.3973000000001</v>
      </c>
      <c r="C11085" s="72">
        <v>1779.21</v>
      </c>
      <c r="E11085" s="112">
        <f t="shared" si="336"/>
        <v>195384</v>
      </c>
      <c r="F11085" s="69">
        <f t="shared" si="341"/>
        <v>6.0355831699710268E-2</v>
      </c>
      <c r="G11085" s="69">
        <f t="shared" si="342"/>
        <v>8.2670524624482475E-2</v>
      </c>
    </row>
    <row r="11086" spans="1:7" x14ac:dyDescent="0.3">
      <c r="A11086" s="24">
        <v>45966</v>
      </c>
      <c r="B11086" s="66">
        <f t="shared" si="340"/>
        <v>2177.3973000000001</v>
      </c>
      <c r="C11086" s="72">
        <v>1781.85</v>
      </c>
      <c r="E11086" s="112">
        <f t="shared" si="336"/>
        <v>195384</v>
      </c>
      <c r="F11086" s="69">
        <f t="shared" si="341"/>
        <v>6.0355831699710268E-2</v>
      </c>
      <c r="G11086" s="69">
        <f t="shared" si="342"/>
        <v>8.2884376295068382E-2</v>
      </c>
    </row>
    <row r="11087" spans="1:7" x14ac:dyDescent="0.3">
      <c r="A11087" s="24">
        <v>45967</v>
      </c>
      <c r="B11087" s="66">
        <f t="shared" si="340"/>
        <v>2177.3973000000001</v>
      </c>
      <c r="C11087" s="72">
        <v>1800</v>
      </c>
      <c r="E11087" s="112">
        <f t="shared" si="336"/>
        <v>195384</v>
      </c>
      <c r="F11087" s="69">
        <f t="shared" si="341"/>
        <v>6.0355831699710268E-2</v>
      </c>
      <c r="G11087" s="69">
        <f t="shared" si="342"/>
        <v>8.2827351729020976E-2</v>
      </c>
    </row>
    <row r="11088" spans="1:7" x14ac:dyDescent="0.3">
      <c r="A11088" s="24">
        <v>45968</v>
      </c>
      <c r="B11088" s="66">
        <f t="shared" si="340"/>
        <v>2177.3973000000001</v>
      </c>
      <c r="C11088" s="72">
        <v>1799.84</v>
      </c>
      <c r="E11088" s="112">
        <f t="shared" ref="E11088:E11151" si="343">+E11087</f>
        <v>195384</v>
      </c>
      <c r="F11088" s="69">
        <f t="shared" si="341"/>
        <v>6.0355831699710268E-2</v>
      </c>
      <c r="G11088" s="69">
        <f t="shared" si="342"/>
        <v>8.36916099161059E-2</v>
      </c>
    </row>
    <row r="11089" spans="1:7" x14ac:dyDescent="0.3">
      <c r="A11089" s="24">
        <v>45969</v>
      </c>
      <c r="B11089" s="66">
        <f t="shared" si="340"/>
        <v>2177.3973000000001</v>
      </c>
      <c r="C11089" s="72">
        <v>1799.84</v>
      </c>
      <c r="E11089" s="112">
        <f t="shared" si="343"/>
        <v>195384</v>
      </c>
      <c r="F11089" s="69">
        <f t="shared" si="341"/>
        <v>6.0355831699710268E-2</v>
      </c>
      <c r="G11089" s="69">
        <f t="shared" si="342"/>
        <v>8.2893241526840022E-2</v>
      </c>
    </row>
    <row r="11090" spans="1:7" x14ac:dyDescent="0.3">
      <c r="A11090" s="24">
        <v>45970</v>
      </c>
      <c r="B11090" s="66">
        <f t="shared" si="340"/>
        <v>2177.3973000000001</v>
      </c>
      <c r="C11090" s="72">
        <v>1799.84</v>
      </c>
      <c r="E11090" s="112">
        <f t="shared" si="343"/>
        <v>195384</v>
      </c>
      <c r="F11090" s="69">
        <f t="shared" si="341"/>
        <v>6.0355831699710268E-2</v>
      </c>
      <c r="G11090" s="69">
        <f t="shared" si="342"/>
        <v>8.2893241526840022E-2</v>
      </c>
    </row>
    <row r="11091" spans="1:7" x14ac:dyDescent="0.3">
      <c r="A11091" s="24">
        <v>45971</v>
      </c>
      <c r="B11091" s="66">
        <f t="shared" si="340"/>
        <v>2177.3973000000001</v>
      </c>
      <c r="C11091" s="72">
        <v>1799.96</v>
      </c>
      <c r="E11091" s="112">
        <f t="shared" si="343"/>
        <v>195384</v>
      </c>
      <c r="F11091" s="69">
        <f t="shared" si="341"/>
        <v>6.0355831699710268E-2</v>
      </c>
      <c r="G11091" s="69">
        <f t="shared" si="342"/>
        <v>8.2893241526840022E-2</v>
      </c>
    </row>
    <row r="11092" spans="1:7" x14ac:dyDescent="0.3">
      <c r="A11092" s="24">
        <v>45972</v>
      </c>
      <c r="B11092" s="66">
        <f t="shared" si="340"/>
        <v>2177.3973000000001</v>
      </c>
      <c r="C11092" s="72">
        <v>1824.29</v>
      </c>
      <c r="E11092" s="112">
        <f t="shared" si="343"/>
        <v>195384</v>
      </c>
      <c r="F11092" s="69">
        <f t="shared" si="341"/>
        <v>6.0355831699710268E-2</v>
      </c>
      <c r="G11092" s="69">
        <f t="shared" si="342"/>
        <v>8.2782562253822009E-2</v>
      </c>
    </row>
    <row r="11093" spans="1:7" x14ac:dyDescent="0.3">
      <c r="A11093" s="24">
        <v>45973</v>
      </c>
      <c r="B11093" s="66">
        <f t="shared" si="340"/>
        <v>2177.3973000000001</v>
      </c>
      <c r="C11093" s="72">
        <v>1834.53</v>
      </c>
      <c r="E11093" s="112">
        <f t="shared" si="343"/>
        <v>195384</v>
      </c>
      <c r="F11093" s="69">
        <f t="shared" si="341"/>
        <v>6.0355831699710268E-2</v>
      </c>
      <c r="G11093" s="69">
        <f t="shared" si="342"/>
        <v>8.3301983124630524E-2</v>
      </c>
    </row>
    <row r="11094" spans="1:7" x14ac:dyDescent="0.3">
      <c r="A11094" s="24">
        <v>45974</v>
      </c>
      <c r="B11094" s="66">
        <f t="shared" si="340"/>
        <v>2177.3973000000001</v>
      </c>
      <c r="C11094" s="72">
        <v>1829.98</v>
      </c>
      <c r="E11094" s="112">
        <f t="shared" si="343"/>
        <v>195384</v>
      </c>
      <c r="F11094" s="69">
        <f t="shared" si="341"/>
        <v>6.0355831699710268E-2</v>
      </c>
      <c r="G11094" s="69">
        <f t="shared" si="342"/>
        <v>8.3433139104574019E-2</v>
      </c>
    </row>
    <row r="11095" spans="1:7" x14ac:dyDescent="0.3">
      <c r="A11095" s="24">
        <v>45975</v>
      </c>
      <c r="B11095" s="66">
        <f t="shared" si="340"/>
        <v>2177.3973000000001</v>
      </c>
      <c r="C11095" s="72">
        <v>1836.85</v>
      </c>
      <c r="E11095" s="112">
        <f t="shared" si="343"/>
        <v>195384</v>
      </c>
      <c r="F11095" s="69">
        <f t="shared" si="341"/>
        <v>6.0355831699710268E-2</v>
      </c>
      <c r="G11095" s="69">
        <f t="shared" si="342"/>
        <v>8.3457847056764803E-2</v>
      </c>
    </row>
    <row r="11096" spans="1:7" x14ac:dyDescent="0.3">
      <c r="A11096" s="24">
        <v>45976</v>
      </c>
      <c r="B11096" s="66">
        <f t="shared" si="340"/>
        <v>2177.3973000000001</v>
      </c>
      <c r="C11096" s="72">
        <v>1836.85</v>
      </c>
      <c r="E11096" s="112">
        <f t="shared" si="343"/>
        <v>195384</v>
      </c>
      <c r="F11096" s="69">
        <f t="shared" si="341"/>
        <v>6.0355831699710268E-2</v>
      </c>
      <c r="G11096" s="69">
        <f t="shared" si="342"/>
        <v>8.3765672287073073E-2</v>
      </c>
    </row>
    <row r="11097" spans="1:7" x14ac:dyDescent="0.3">
      <c r="A11097" s="24">
        <v>45977</v>
      </c>
      <c r="B11097" s="66">
        <f t="shared" si="340"/>
        <v>2177.3973000000001</v>
      </c>
      <c r="C11097" s="72">
        <v>1836.85</v>
      </c>
      <c r="E11097" s="112">
        <f t="shared" si="343"/>
        <v>195384</v>
      </c>
      <c r="F11097" s="69">
        <f t="shared" si="341"/>
        <v>6.0355831699710268E-2</v>
      </c>
      <c r="G11097" s="69">
        <f t="shared" si="342"/>
        <v>8.3765672287073073E-2</v>
      </c>
    </row>
    <row r="11098" spans="1:7" x14ac:dyDescent="0.3">
      <c r="A11098" s="24">
        <v>45978</v>
      </c>
      <c r="B11098" s="66">
        <f t="shared" si="340"/>
        <v>2177.3973000000001</v>
      </c>
      <c r="C11098" s="72">
        <v>1830.58</v>
      </c>
      <c r="E11098" s="112">
        <f t="shared" si="343"/>
        <v>195384</v>
      </c>
      <c r="F11098" s="69">
        <f t="shared" si="341"/>
        <v>6.0355831699710268E-2</v>
      </c>
      <c r="G11098" s="69">
        <f t="shared" si="342"/>
        <v>8.3765672287073073E-2</v>
      </c>
    </row>
    <row r="11099" spans="1:7" x14ac:dyDescent="0.3">
      <c r="A11099" s="24">
        <v>45979</v>
      </c>
      <c r="B11099" s="66">
        <f t="shared" si="340"/>
        <v>2177.3973000000001</v>
      </c>
      <c r="C11099" s="72">
        <v>1888.07</v>
      </c>
      <c r="E11099" s="112">
        <f t="shared" si="343"/>
        <v>195384</v>
      </c>
      <c r="F11099" s="69">
        <f t="shared" si="341"/>
        <v>6.0355831699710268E-2</v>
      </c>
      <c r="G11099" s="69">
        <f t="shared" si="342"/>
        <v>8.3637418301755723E-2</v>
      </c>
    </row>
    <row r="11100" spans="1:7" x14ac:dyDescent="0.3">
      <c r="A11100" s="24">
        <v>45980</v>
      </c>
      <c r="B11100" s="66">
        <f t="shared" si="340"/>
        <v>2177.3973000000001</v>
      </c>
      <c r="C11100" s="72">
        <v>1853.98</v>
      </c>
      <c r="E11100" s="112">
        <f t="shared" si="343"/>
        <v>195384</v>
      </c>
      <c r="F11100" s="69">
        <f t="shared" si="341"/>
        <v>6.0355831699710268E-2</v>
      </c>
      <c r="G11100" s="69">
        <f t="shared" si="342"/>
        <v>8.4068936527952914E-2</v>
      </c>
    </row>
    <row r="11101" spans="1:7" x14ac:dyDescent="0.3">
      <c r="A11101" s="24">
        <v>45981</v>
      </c>
      <c r="B11101" s="66">
        <f t="shared" si="340"/>
        <v>2177.3973000000001</v>
      </c>
      <c r="C11101" s="72">
        <v>1866.3</v>
      </c>
      <c r="E11101" s="112">
        <f t="shared" si="343"/>
        <v>195384</v>
      </c>
      <c r="F11101" s="69">
        <f t="shared" si="341"/>
        <v>6.0355831699710268E-2</v>
      </c>
      <c r="G11101" s="69">
        <f t="shared" si="342"/>
        <v>8.3460093959912232E-2</v>
      </c>
    </row>
    <row r="11102" spans="1:7" x14ac:dyDescent="0.3">
      <c r="A11102" s="24">
        <v>45982</v>
      </c>
      <c r="B11102" s="66">
        <f t="shared" si="340"/>
        <v>2177.3973000000001</v>
      </c>
      <c r="C11102" s="72">
        <v>1873.99</v>
      </c>
      <c r="E11102" s="112">
        <f t="shared" si="343"/>
        <v>195384</v>
      </c>
      <c r="F11102" s="69">
        <f t="shared" si="341"/>
        <v>6.0355831699710268E-2</v>
      </c>
      <c r="G11102" s="69">
        <f t="shared" si="342"/>
        <v>8.3846668785372808E-2</v>
      </c>
    </row>
    <row r="11103" spans="1:7" x14ac:dyDescent="0.3">
      <c r="A11103" s="24">
        <v>45983</v>
      </c>
      <c r="B11103" s="66">
        <f t="shared" si="340"/>
        <v>2177.3973000000001</v>
      </c>
      <c r="C11103" s="72">
        <v>1873.99</v>
      </c>
      <c r="E11103" s="112">
        <f t="shared" si="343"/>
        <v>195384</v>
      </c>
      <c r="F11103" s="69">
        <f t="shared" si="341"/>
        <v>6.0355831699710268E-2</v>
      </c>
      <c r="G11103" s="69">
        <f t="shared" si="342"/>
        <v>8.3811532196470459E-2</v>
      </c>
    </row>
    <row r="11104" spans="1:7" x14ac:dyDescent="0.3">
      <c r="A11104" s="24">
        <v>45984</v>
      </c>
      <c r="B11104" s="66">
        <f t="shared" si="340"/>
        <v>2177.3973000000001</v>
      </c>
      <c r="C11104" s="72">
        <v>1873.99</v>
      </c>
      <c r="E11104" s="112">
        <f t="shared" si="343"/>
        <v>195384</v>
      </c>
      <c r="F11104" s="69">
        <f t="shared" si="341"/>
        <v>6.0355831699710268E-2</v>
      </c>
      <c r="G11104" s="69">
        <f t="shared" si="342"/>
        <v>8.3811532196470459E-2</v>
      </c>
    </row>
    <row r="11105" spans="1:7" x14ac:dyDescent="0.3">
      <c r="A11105" s="24">
        <v>45985</v>
      </c>
      <c r="B11105" s="66">
        <f t="shared" si="340"/>
        <v>2177.3973000000001</v>
      </c>
      <c r="C11105" s="72">
        <v>1900</v>
      </c>
      <c r="E11105" s="112">
        <f t="shared" si="343"/>
        <v>195384</v>
      </c>
      <c r="F11105" s="69">
        <f t="shared" si="341"/>
        <v>6.0355831699710268E-2</v>
      </c>
      <c r="G11105" s="69">
        <f t="shared" si="342"/>
        <v>8.3811532196470459E-2</v>
      </c>
    </row>
    <row r="11106" spans="1:7" x14ac:dyDescent="0.3">
      <c r="A11106" s="24">
        <v>45986</v>
      </c>
      <c r="B11106" s="66">
        <f t="shared" si="340"/>
        <v>2177.3973000000001</v>
      </c>
      <c r="C11106" s="72">
        <v>1900</v>
      </c>
      <c r="E11106" s="112">
        <f t="shared" si="343"/>
        <v>195384</v>
      </c>
      <c r="F11106" s="69">
        <f t="shared" si="341"/>
        <v>6.0355831699710268E-2</v>
      </c>
      <c r="G11106" s="69">
        <f t="shared" si="342"/>
        <v>8.3826829993780591E-2</v>
      </c>
    </row>
    <row r="11107" spans="1:7" x14ac:dyDescent="0.3">
      <c r="A11107" s="24">
        <v>45987</v>
      </c>
      <c r="B11107" s="66">
        <f t="shared" si="340"/>
        <v>2177.3973000000001</v>
      </c>
      <c r="C11107" s="72">
        <v>1895.92</v>
      </c>
      <c r="E11107" s="112">
        <f t="shared" si="343"/>
        <v>195384</v>
      </c>
      <c r="F11107" s="69">
        <f t="shared" ref="F11107:F11129" si="344">+SUM(D10745:D11107)/B10744</f>
        <v>6.0355831699710268E-2</v>
      </c>
      <c r="G11107" s="69">
        <f t="shared" ref="G11107:G11129" si="345">+SUM(D10745:D11107)/C10744</f>
        <v>8.3502808118627855E-2</v>
      </c>
    </row>
    <row r="11108" spans="1:7" x14ac:dyDescent="0.3">
      <c r="A11108" s="24">
        <v>45988</v>
      </c>
      <c r="B11108" s="66">
        <f t="shared" si="340"/>
        <v>2177.3973000000001</v>
      </c>
      <c r="C11108" s="72">
        <v>1910.19</v>
      </c>
      <c r="E11108" s="112">
        <f t="shared" si="343"/>
        <v>195384</v>
      </c>
      <c r="F11108" s="69">
        <f t="shared" si="344"/>
        <v>6.0355831699710268E-2</v>
      </c>
      <c r="G11108" s="69">
        <f t="shared" si="345"/>
        <v>8.3743043924577237E-2</v>
      </c>
    </row>
    <row r="11109" spans="1:7" x14ac:dyDescent="0.3">
      <c r="A11109" s="24">
        <v>45989</v>
      </c>
      <c r="B11109" s="66">
        <f t="shared" si="340"/>
        <v>2177.3973000000001</v>
      </c>
      <c r="C11109" s="72">
        <v>1928.81</v>
      </c>
      <c r="E11109" s="112">
        <f t="shared" si="343"/>
        <v>195384</v>
      </c>
      <c r="F11109" s="69">
        <f t="shared" si="344"/>
        <v>6.0355831699710268E-2</v>
      </c>
      <c r="G11109" s="69">
        <f t="shared" si="345"/>
        <v>8.3347896809926464E-2</v>
      </c>
    </row>
    <row r="11110" spans="1:7" x14ac:dyDescent="0.3">
      <c r="A11110" s="24">
        <v>45990</v>
      </c>
      <c r="B11110" s="66">
        <f t="shared" si="340"/>
        <v>2177.3973000000001</v>
      </c>
      <c r="C11110" s="72">
        <v>1928.81</v>
      </c>
      <c r="E11110" s="112">
        <f t="shared" si="343"/>
        <v>195384</v>
      </c>
      <c r="F11110" s="69">
        <f t="shared" si="344"/>
        <v>6.0355831699710268E-2</v>
      </c>
      <c r="G11110" s="69">
        <f t="shared" si="345"/>
        <v>8.3435384677495325E-2</v>
      </c>
    </row>
    <row r="11111" spans="1:7" x14ac:dyDescent="0.3">
      <c r="A11111" s="24">
        <v>45991</v>
      </c>
      <c r="B11111" s="66">
        <v>2188.9092999999998</v>
      </c>
      <c r="C11111" s="72">
        <v>1928.81</v>
      </c>
      <c r="E11111" s="112">
        <f t="shared" si="343"/>
        <v>195384</v>
      </c>
      <c r="F11111" s="69">
        <f t="shared" si="344"/>
        <v>5.968684239179041E-2</v>
      </c>
      <c r="G11111" s="69">
        <f t="shared" si="345"/>
        <v>8.3435384677495325E-2</v>
      </c>
    </row>
    <row r="11112" spans="1:7" x14ac:dyDescent="0.3">
      <c r="A11112" s="24">
        <v>45992</v>
      </c>
      <c r="B11112" s="66">
        <f t="shared" si="340"/>
        <v>2188.9092999999998</v>
      </c>
      <c r="C11112" s="72">
        <v>1972.91</v>
      </c>
      <c r="E11112" s="112">
        <f t="shared" si="343"/>
        <v>195384</v>
      </c>
      <c r="F11112" s="69">
        <f t="shared" si="344"/>
        <v>5.968684239179041E-2</v>
      </c>
      <c r="G11112" s="69">
        <f t="shared" si="345"/>
        <v>8.3435384677495325E-2</v>
      </c>
    </row>
    <row r="11113" spans="1:7" x14ac:dyDescent="0.3">
      <c r="A11113" s="24">
        <v>45993</v>
      </c>
      <c r="B11113" s="66">
        <f t="shared" si="340"/>
        <v>2188.9092999999998</v>
      </c>
      <c r="C11113" s="72">
        <v>1975.07</v>
      </c>
      <c r="E11113" s="112">
        <f t="shared" si="343"/>
        <v>195384</v>
      </c>
      <c r="F11113" s="69">
        <f t="shared" si="344"/>
        <v>5.968684239179041E-2</v>
      </c>
      <c r="G11113" s="69">
        <f t="shared" si="345"/>
        <v>8.4086039005072277E-2</v>
      </c>
    </row>
    <row r="11114" spans="1:7" x14ac:dyDescent="0.3">
      <c r="A11114" s="24">
        <v>45994</v>
      </c>
      <c r="B11114" s="66">
        <f t="shared" si="340"/>
        <v>2188.9092999999998</v>
      </c>
      <c r="C11114" s="72">
        <v>1974.67</v>
      </c>
      <c r="E11114" s="112">
        <f t="shared" si="343"/>
        <v>195384</v>
      </c>
      <c r="F11114" s="69">
        <f t="shared" si="344"/>
        <v>5.968684239179041E-2</v>
      </c>
      <c r="G11114" s="69">
        <f t="shared" si="345"/>
        <v>8.4268326662090803E-2</v>
      </c>
    </row>
    <row r="11115" spans="1:7" x14ac:dyDescent="0.3">
      <c r="A11115" s="24">
        <v>45995</v>
      </c>
      <c r="B11115" s="66">
        <f t="shared" si="340"/>
        <v>2188.9092999999998</v>
      </c>
      <c r="C11115" s="72">
        <v>1955</v>
      </c>
      <c r="E11115" s="112">
        <f t="shared" si="343"/>
        <v>195384</v>
      </c>
      <c r="F11115" s="69">
        <f t="shared" si="344"/>
        <v>5.968684239179041E-2</v>
      </c>
      <c r="G11115" s="69">
        <f t="shared" si="345"/>
        <v>8.3988079111351935E-2</v>
      </c>
    </row>
    <row r="11116" spans="1:7" x14ac:dyDescent="0.3">
      <c r="A11116" s="24">
        <v>45996</v>
      </c>
      <c r="B11116" s="66">
        <f t="shared" ref="B11116:B11129" si="346">+B11115</f>
        <v>2188.9092999999998</v>
      </c>
      <c r="C11116" s="72">
        <v>1940.06</v>
      </c>
      <c r="E11116" s="112">
        <f t="shared" si="343"/>
        <v>195384</v>
      </c>
      <c r="F11116" s="69">
        <f t="shared" si="344"/>
        <v>5.968684239179041E-2</v>
      </c>
      <c r="G11116" s="69">
        <f t="shared" si="345"/>
        <v>8.4375552864005665E-2</v>
      </c>
    </row>
    <row r="11117" spans="1:7" x14ac:dyDescent="0.3">
      <c r="A11117" s="24">
        <v>45997</v>
      </c>
      <c r="B11117" s="66">
        <f t="shared" si="346"/>
        <v>2188.9092999999998</v>
      </c>
      <c r="C11117" s="72">
        <v>1940.06</v>
      </c>
      <c r="E11117" s="112">
        <f t="shared" si="343"/>
        <v>195384</v>
      </c>
      <c r="F11117" s="69">
        <f t="shared" si="344"/>
        <v>5.968684239179041E-2</v>
      </c>
      <c r="G11117" s="69">
        <f t="shared" si="345"/>
        <v>8.5461838532261844E-2</v>
      </c>
    </row>
    <row r="11118" spans="1:7" x14ac:dyDescent="0.3">
      <c r="A11118" s="24">
        <v>45998</v>
      </c>
      <c r="B11118" s="66">
        <f t="shared" si="346"/>
        <v>2188.9092999999998</v>
      </c>
      <c r="C11118" s="72">
        <v>1940.06</v>
      </c>
      <c r="E11118" s="112">
        <f t="shared" si="343"/>
        <v>195384</v>
      </c>
      <c r="F11118" s="69">
        <f t="shared" si="344"/>
        <v>5.968684239179041E-2</v>
      </c>
      <c r="G11118" s="69">
        <f t="shared" si="345"/>
        <v>8.5461838532261844E-2</v>
      </c>
    </row>
    <row r="11119" spans="1:7" x14ac:dyDescent="0.3">
      <c r="A11119" s="24">
        <v>45999</v>
      </c>
      <c r="B11119" s="66">
        <f t="shared" si="346"/>
        <v>2188.9092999999998</v>
      </c>
      <c r="C11119" s="72">
        <v>1940.06</v>
      </c>
      <c r="E11119" s="112">
        <f t="shared" si="343"/>
        <v>195384</v>
      </c>
      <c r="F11119" s="69">
        <f t="shared" si="344"/>
        <v>5.968684239179041E-2</v>
      </c>
      <c r="G11119" s="69">
        <f t="shared" si="345"/>
        <v>8.5461838532261844E-2</v>
      </c>
    </row>
    <row r="11120" spans="1:7" x14ac:dyDescent="0.3">
      <c r="A11120" s="24">
        <v>46000</v>
      </c>
      <c r="B11120" s="66">
        <f t="shared" si="346"/>
        <v>2188.9092999999998</v>
      </c>
      <c r="C11120" s="72">
        <v>1967.86</v>
      </c>
      <c r="E11120" s="112">
        <f t="shared" si="343"/>
        <v>195384</v>
      </c>
      <c r="F11120" s="69">
        <f t="shared" si="344"/>
        <v>5.968684239179041E-2</v>
      </c>
      <c r="G11120" s="69">
        <f t="shared" si="345"/>
        <v>8.5193506056296414E-2</v>
      </c>
    </row>
    <row r="11121" spans="1:7" x14ac:dyDescent="0.3">
      <c r="A11121" s="24">
        <v>46001</v>
      </c>
      <c r="B11121" s="66">
        <f t="shared" si="346"/>
        <v>2188.9092999999998</v>
      </c>
      <c r="C11121" s="72">
        <v>1970.97</v>
      </c>
      <c r="E11121" s="112">
        <f t="shared" si="343"/>
        <v>195384</v>
      </c>
      <c r="F11121" s="69">
        <f t="shared" si="344"/>
        <v>5.968684239179041E-2</v>
      </c>
      <c r="G11121" s="69">
        <f t="shared" si="345"/>
        <v>8.5085359828731416E-2</v>
      </c>
    </row>
    <row r="11122" spans="1:7" x14ac:dyDescent="0.3">
      <c r="A11122" s="24">
        <v>46002</v>
      </c>
      <c r="B11122" s="66">
        <f t="shared" si="346"/>
        <v>2188.9092999999998</v>
      </c>
      <c r="C11122" s="72">
        <v>1975.23</v>
      </c>
      <c r="E11122" s="112">
        <f t="shared" si="343"/>
        <v>195384</v>
      </c>
      <c r="F11122" s="69">
        <f t="shared" si="344"/>
        <v>5.968684239179041E-2</v>
      </c>
      <c r="G11122" s="69">
        <f t="shared" si="345"/>
        <v>8.3276248807940795E-2</v>
      </c>
    </row>
    <row r="11123" spans="1:7" x14ac:dyDescent="0.3">
      <c r="A11123" s="24">
        <v>46003</v>
      </c>
      <c r="B11123" s="66">
        <f t="shared" si="346"/>
        <v>2188.9092999999998</v>
      </c>
      <c r="C11123" s="72">
        <v>1970.93</v>
      </c>
      <c r="E11123" s="112">
        <f t="shared" si="343"/>
        <v>195384</v>
      </c>
      <c r="F11123" s="69">
        <f t="shared" si="344"/>
        <v>5.968684239179041E-2</v>
      </c>
      <c r="G11123" s="69">
        <f t="shared" si="345"/>
        <v>8.3959645202789618E-2</v>
      </c>
    </row>
    <row r="11124" spans="1:7" x14ac:dyDescent="0.3">
      <c r="A11124" s="24">
        <v>46004</v>
      </c>
      <c r="B11124" s="66">
        <f t="shared" si="346"/>
        <v>2188.9092999999998</v>
      </c>
      <c r="C11124" s="72">
        <v>1970.93</v>
      </c>
      <c r="E11124" s="112">
        <f t="shared" si="343"/>
        <v>195384</v>
      </c>
      <c r="F11124" s="69">
        <f t="shared" si="344"/>
        <v>5.968684239179041E-2</v>
      </c>
      <c r="G11124" s="69">
        <f t="shared" si="345"/>
        <v>8.358160665417437E-2</v>
      </c>
    </row>
    <row r="11125" spans="1:7" x14ac:dyDescent="0.3">
      <c r="A11125" s="24">
        <v>46005</v>
      </c>
      <c r="B11125" s="66">
        <f t="shared" si="346"/>
        <v>2188.9092999999998</v>
      </c>
      <c r="C11125" s="72">
        <v>1970.93</v>
      </c>
      <c r="E11125" s="112">
        <f t="shared" si="343"/>
        <v>195384</v>
      </c>
      <c r="F11125" s="69">
        <f t="shared" si="344"/>
        <v>5.968684239179041E-2</v>
      </c>
      <c r="G11125" s="69">
        <f t="shared" si="345"/>
        <v>8.358160665417437E-2</v>
      </c>
    </row>
    <row r="11126" spans="1:7" x14ac:dyDescent="0.3">
      <c r="A11126" s="24">
        <v>46006</v>
      </c>
      <c r="B11126" s="66">
        <f t="shared" si="346"/>
        <v>2188.9092999999998</v>
      </c>
      <c r="C11126" s="72">
        <v>1989.59</v>
      </c>
      <c r="E11126" s="112">
        <f t="shared" si="343"/>
        <v>195384</v>
      </c>
      <c r="F11126" s="69">
        <f t="shared" si="344"/>
        <v>5.968684239179041E-2</v>
      </c>
      <c r="G11126" s="69">
        <f t="shared" si="345"/>
        <v>8.358160665417437E-2</v>
      </c>
    </row>
    <row r="11127" spans="1:7" x14ac:dyDescent="0.3">
      <c r="A11127" s="24">
        <v>46007</v>
      </c>
      <c r="B11127" s="66">
        <f t="shared" si="346"/>
        <v>2188.9092999999998</v>
      </c>
      <c r="C11127" s="72">
        <v>1997.4</v>
      </c>
      <c r="E11127" s="112">
        <f t="shared" si="343"/>
        <v>195384</v>
      </c>
      <c r="F11127" s="69">
        <f t="shared" si="344"/>
        <v>5.968684239179041E-2</v>
      </c>
      <c r="G11127" s="69">
        <f t="shared" si="345"/>
        <v>8.4077486896794895E-2</v>
      </c>
    </row>
    <row r="11128" spans="1:7" x14ac:dyDescent="0.3">
      <c r="A11128" s="24">
        <v>46008</v>
      </c>
      <c r="B11128" s="66">
        <f t="shared" si="346"/>
        <v>2188.9092999999998</v>
      </c>
      <c r="C11128" s="72">
        <v>1998</v>
      </c>
      <c r="D11128" s="71">
        <v>17</v>
      </c>
      <c r="E11128" s="112">
        <f t="shared" si="343"/>
        <v>195384</v>
      </c>
      <c r="F11128" s="69">
        <f t="shared" si="344"/>
        <v>6.7869715945503603E-2</v>
      </c>
      <c r="G11128" s="69">
        <f t="shared" si="345"/>
        <v>9.5493518631395019E-2</v>
      </c>
    </row>
    <row r="11129" spans="1:7" x14ac:dyDescent="0.3">
      <c r="A11129" s="24">
        <v>46009</v>
      </c>
      <c r="B11129" s="66">
        <f t="shared" si="346"/>
        <v>2188.9092999999998</v>
      </c>
      <c r="C11129" s="72">
        <v>2002.37</v>
      </c>
      <c r="E11129" s="112">
        <f t="shared" si="343"/>
        <v>195384</v>
      </c>
      <c r="F11129" s="69">
        <f t="shared" si="344"/>
        <v>5.968684239179041E-2</v>
      </c>
      <c r="G11129" s="69">
        <f t="shared" si="345"/>
        <v>8.5019437911812906E-2</v>
      </c>
    </row>
    <row r="11130" spans="1:7" x14ac:dyDescent="0.3">
      <c r="A11130" s="24">
        <v>46010</v>
      </c>
      <c r="B11130" s="66">
        <v>2164.9166</v>
      </c>
      <c r="C11130" s="72">
        <v>2050.64</v>
      </c>
      <c r="E11130" s="112">
        <f t="shared" si="343"/>
        <v>195384</v>
      </c>
      <c r="F11130" s="69">
        <f t="shared" ref="F11130:F11176" si="347">+SUM(D10768:D11130)/B10767</f>
        <v>5.968684239179041E-2</v>
      </c>
      <c r="G11130" s="69">
        <f t="shared" ref="G11130:G11175" si="348">+SUM(D10768:D11130)/C10767</f>
        <v>8.5283153826049882E-2</v>
      </c>
    </row>
    <row r="11131" spans="1:7" x14ac:dyDescent="0.3">
      <c r="A11131" s="24">
        <v>46011</v>
      </c>
      <c r="B11131" s="66">
        <v>2164.9166</v>
      </c>
      <c r="C11131" s="72">
        <v>2050.64</v>
      </c>
      <c r="E11131" s="112">
        <f t="shared" si="343"/>
        <v>195384</v>
      </c>
      <c r="F11131" s="69">
        <f t="shared" si="347"/>
        <v>5.968684239179041E-2</v>
      </c>
      <c r="G11131" s="69">
        <f t="shared" si="348"/>
        <v>8.5907676959422474E-2</v>
      </c>
    </row>
    <row r="11132" spans="1:7" x14ac:dyDescent="0.3">
      <c r="A11132" s="24">
        <v>46012</v>
      </c>
      <c r="B11132" s="66">
        <v>2164.9166</v>
      </c>
      <c r="C11132" s="72">
        <v>2050.64</v>
      </c>
      <c r="E11132" s="112">
        <f t="shared" si="343"/>
        <v>195384</v>
      </c>
      <c r="F11132" s="69">
        <f t="shared" si="347"/>
        <v>5.968684239179041E-2</v>
      </c>
      <c r="G11132" s="69">
        <f t="shared" si="348"/>
        <v>8.5907676959422474E-2</v>
      </c>
    </row>
    <row r="11133" spans="1:7" x14ac:dyDescent="0.3">
      <c r="A11133" s="24">
        <v>46013</v>
      </c>
      <c r="B11133" s="66">
        <v>2164.9166</v>
      </c>
      <c r="C11133" s="72">
        <v>2104.4299999999998</v>
      </c>
      <c r="E11133" s="112">
        <f t="shared" si="343"/>
        <v>195384</v>
      </c>
      <c r="F11133" s="69">
        <f t="shared" si="347"/>
        <v>5.968684239179041E-2</v>
      </c>
      <c r="G11133" s="69">
        <f t="shared" si="348"/>
        <v>8.5907676959422474E-2</v>
      </c>
    </row>
    <row r="11134" spans="1:7" x14ac:dyDescent="0.3">
      <c r="A11134" s="24">
        <v>46014</v>
      </c>
      <c r="B11134" s="66">
        <v>2164.9166</v>
      </c>
      <c r="C11134" s="72">
        <v>2112.5300000000002</v>
      </c>
      <c r="E11134" s="112">
        <f t="shared" si="343"/>
        <v>195384</v>
      </c>
      <c r="F11134" s="69">
        <f t="shared" si="347"/>
        <v>5.968684239179041E-2</v>
      </c>
      <c r="G11134" s="69">
        <f t="shared" si="348"/>
        <v>8.6048367509801882E-2</v>
      </c>
    </row>
    <row r="11135" spans="1:7" x14ac:dyDescent="0.3">
      <c r="A11135" s="24">
        <v>46015</v>
      </c>
      <c r="B11135" s="66">
        <v>2164.9166</v>
      </c>
      <c r="C11135" s="72">
        <v>2087.3000000000002</v>
      </c>
      <c r="E11135" s="112">
        <f t="shared" si="343"/>
        <v>195384</v>
      </c>
      <c r="F11135" s="69">
        <f t="shared" si="347"/>
        <v>5.968684239179041E-2</v>
      </c>
      <c r="G11135" s="69">
        <f t="shared" si="348"/>
        <v>8.6432833324039476E-2</v>
      </c>
    </row>
    <row r="11136" spans="1:7" x14ac:dyDescent="0.3">
      <c r="A11136" s="24">
        <v>46016</v>
      </c>
      <c r="B11136" s="66">
        <v>2164.9166</v>
      </c>
      <c r="C11136" s="72">
        <v>2087.3000000000002</v>
      </c>
      <c r="E11136" s="112">
        <f t="shared" si="343"/>
        <v>195384</v>
      </c>
      <c r="F11136" s="69">
        <f t="shared" si="347"/>
        <v>5.968684239179041E-2</v>
      </c>
      <c r="G11136" s="69">
        <f t="shared" si="348"/>
        <v>8.6432833324039476E-2</v>
      </c>
    </row>
    <row r="11137" spans="1:7" x14ac:dyDescent="0.3">
      <c r="A11137" s="24">
        <v>46017</v>
      </c>
      <c r="B11137" s="66">
        <v>2164.9166</v>
      </c>
      <c r="C11137" s="72">
        <v>2109.65</v>
      </c>
      <c r="E11137" s="112">
        <f t="shared" si="343"/>
        <v>195384</v>
      </c>
      <c r="F11137" s="69">
        <f t="shared" si="347"/>
        <v>5.968684239179041E-2</v>
      </c>
      <c r="G11137" s="69">
        <f t="shared" si="348"/>
        <v>8.598094551304275E-2</v>
      </c>
    </row>
    <row r="11138" spans="1:7" x14ac:dyDescent="0.3">
      <c r="A11138" s="24">
        <v>46018</v>
      </c>
      <c r="B11138" s="66">
        <v>2164.9166</v>
      </c>
      <c r="C11138" s="72">
        <v>2109.65</v>
      </c>
      <c r="E11138" s="112">
        <f t="shared" si="343"/>
        <v>195384</v>
      </c>
      <c r="F11138" s="69">
        <f t="shared" si="347"/>
        <v>5.968684239179041E-2</v>
      </c>
      <c r="G11138" s="69">
        <f t="shared" si="348"/>
        <v>8.6916294001373837E-2</v>
      </c>
    </row>
    <row r="11139" spans="1:7" x14ac:dyDescent="0.3">
      <c r="A11139" s="24">
        <v>46019</v>
      </c>
      <c r="B11139" s="66">
        <v>2164.9166</v>
      </c>
      <c r="C11139" s="72">
        <v>2109.65</v>
      </c>
      <c r="E11139" s="112">
        <f t="shared" si="343"/>
        <v>195384</v>
      </c>
      <c r="F11139" s="69">
        <f t="shared" si="347"/>
        <v>5.968684239179041E-2</v>
      </c>
      <c r="G11139" s="69">
        <f t="shared" si="348"/>
        <v>8.6916294001373837E-2</v>
      </c>
    </row>
    <row r="11140" spans="1:7" x14ac:dyDescent="0.3">
      <c r="A11140" s="24">
        <v>46020</v>
      </c>
      <c r="B11140" s="66">
        <v>2164.9166</v>
      </c>
      <c r="C11140" s="72">
        <v>2106.83</v>
      </c>
      <c r="E11140" s="112">
        <f t="shared" si="343"/>
        <v>195384</v>
      </c>
      <c r="F11140" s="69">
        <f t="shared" si="347"/>
        <v>5.968684239179041E-2</v>
      </c>
      <c r="G11140" s="69">
        <f t="shared" si="348"/>
        <v>8.6916294001373837E-2</v>
      </c>
    </row>
    <row r="11141" spans="1:7" x14ac:dyDescent="0.3">
      <c r="A11141" s="24">
        <v>46021</v>
      </c>
      <c r="B11141" s="66">
        <v>2164.9166</v>
      </c>
      <c r="C11141" s="72">
        <v>2147.6799999999998</v>
      </c>
      <c r="E11141" s="112">
        <f t="shared" si="343"/>
        <v>195384</v>
      </c>
      <c r="F11141" s="69">
        <f t="shared" si="347"/>
        <v>5.968684239179041E-2</v>
      </c>
      <c r="G11141" s="69">
        <f t="shared" si="348"/>
        <v>8.716802339477274E-2</v>
      </c>
    </row>
    <row r="11142" spans="1:7" x14ac:dyDescent="0.3">
      <c r="A11142" s="24">
        <v>46022</v>
      </c>
      <c r="B11142" s="66">
        <v>2182.9092999999998</v>
      </c>
      <c r="C11142" s="72">
        <v>2147.6799999999998</v>
      </c>
      <c r="E11142" s="112">
        <f t="shared" si="343"/>
        <v>195384</v>
      </c>
      <c r="F11142" s="69">
        <f t="shared" si="347"/>
        <v>6.0551309910393827E-2</v>
      </c>
      <c r="G11142" s="69">
        <f t="shared" si="348"/>
        <v>8.716802339477274E-2</v>
      </c>
    </row>
    <row r="11143" spans="1:7" x14ac:dyDescent="0.3">
      <c r="A11143" s="24">
        <v>46023</v>
      </c>
      <c r="B11143" s="66">
        <f>+B11142</f>
        <v>2182.9092999999998</v>
      </c>
      <c r="C11143" s="72">
        <v>2147.6799999999998</v>
      </c>
      <c r="E11143" s="112">
        <f t="shared" si="343"/>
        <v>195384</v>
      </c>
      <c r="F11143" s="69">
        <f t="shared" si="347"/>
        <v>6.0551309910393827E-2</v>
      </c>
      <c r="G11143" s="69">
        <f t="shared" si="348"/>
        <v>8.716802339477274E-2</v>
      </c>
    </row>
    <row r="11144" spans="1:7" x14ac:dyDescent="0.3">
      <c r="A11144" s="24">
        <v>46024</v>
      </c>
      <c r="B11144" s="66">
        <f t="shared" ref="B11144:B11172" si="349">+B11143</f>
        <v>2182.9092999999998</v>
      </c>
      <c r="C11144" s="72">
        <v>2156.2399999999998</v>
      </c>
      <c r="E11144" s="112">
        <f t="shared" si="343"/>
        <v>195384</v>
      </c>
      <c r="F11144" s="69">
        <f t="shared" si="347"/>
        <v>6.0551309910393827E-2</v>
      </c>
      <c r="G11144" s="69">
        <f t="shared" si="348"/>
        <v>8.7359625762635437E-2</v>
      </c>
    </row>
    <row r="11145" spans="1:7" x14ac:dyDescent="0.3">
      <c r="A11145" s="24">
        <v>46025</v>
      </c>
      <c r="B11145" s="66">
        <f t="shared" si="349"/>
        <v>2182.9092999999998</v>
      </c>
      <c r="C11145" s="72">
        <v>2156.2399999999998</v>
      </c>
      <c r="E11145" s="112">
        <f t="shared" si="343"/>
        <v>195384</v>
      </c>
      <c r="F11145" s="69">
        <f t="shared" si="347"/>
        <v>6.0551309910393827E-2</v>
      </c>
      <c r="G11145" s="69">
        <f t="shared" si="348"/>
        <v>8.7231797397115729E-2</v>
      </c>
    </row>
    <row r="11146" spans="1:7" x14ac:dyDescent="0.3">
      <c r="A11146" s="24">
        <v>46026</v>
      </c>
      <c r="B11146" s="66">
        <f t="shared" si="349"/>
        <v>2182.9092999999998</v>
      </c>
      <c r="C11146" s="72">
        <v>2156.2399999999998</v>
      </c>
      <c r="E11146" s="112">
        <f t="shared" si="343"/>
        <v>195384</v>
      </c>
      <c r="F11146" s="69">
        <f t="shared" si="347"/>
        <v>6.0551309910393827E-2</v>
      </c>
      <c r="G11146" s="69">
        <f t="shared" si="348"/>
        <v>8.7561345902623308E-2</v>
      </c>
    </row>
    <row r="11147" spans="1:7" x14ac:dyDescent="0.3">
      <c r="A11147" s="24">
        <v>46027</v>
      </c>
      <c r="B11147" s="66">
        <f t="shared" si="349"/>
        <v>2182.9092999999998</v>
      </c>
      <c r="C11147" s="72">
        <v>2171.84</v>
      </c>
      <c r="E11147" s="112">
        <f t="shared" si="343"/>
        <v>195384</v>
      </c>
      <c r="F11147" s="69">
        <f t="shared" si="347"/>
        <v>6.0551309910393827E-2</v>
      </c>
      <c r="G11147" s="69">
        <f t="shared" si="348"/>
        <v>8.7936402124656948E-2</v>
      </c>
    </row>
    <row r="11148" spans="1:7" x14ac:dyDescent="0.3">
      <c r="A11148" s="24">
        <v>46028</v>
      </c>
      <c r="B11148" s="66">
        <f t="shared" si="349"/>
        <v>2182.9092999999998</v>
      </c>
      <c r="C11148" s="72">
        <v>2142.84</v>
      </c>
      <c r="E11148" s="112">
        <f t="shared" si="343"/>
        <v>195384</v>
      </c>
      <c r="F11148" s="69">
        <f t="shared" si="347"/>
        <v>6.0551309910393827E-2</v>
      </c>
      <c r="G11148" s="69">
        <f t="shared" si="348"/>
        <v>8.7642418930762495E-2</v>
      </c>
    </row>
    <row r="11149" spans="1:7" x14ac:dyDescent="0.3">
      <c r="A11149" s="24">
        <v>46029</v>
      </c>
      <c r="B11149" s="66">
        <f t="shared" si="349"/>
        <v>2182.9092999999998</v>
      </c>
      <c r="C11149" s="72">
        <v>2147.4</v>
      </c>
      <c r="E11149" s="112">
        <f t="shared" si="343"/>
        <v>195384</v>
      </c>
      <c r="F11149" s="69">
        <f t="shared" si="347"/>
        <v>6.0551309910393827E-2</v>
      </c>
      <c r="G11149" s="69">
        <f t="shared" si="348"/>
        <v>8.7325788572998025E-2</v>
      </c>
    </row>
    <row r="11150" spans="1:7" x14ac:dyDescent="0.3">
      <c r="A11150" s="24">
        <v>46030</v>
      </c>
      <c r="B11150" s="66">
        <f t="shared" si="349"/>
        <v>2182.9092999999998</v>
      </c>
      <c r="C11150" s="72">
        <v>2150.25</v>
      </c>
      <c r="E11150" s="112">
        <f t="shared" si="343"/>
        <v>195384</v>
      </c>
      <c r="F11150" s="69">
        <f t="shared" si="347"/>
        <v>6.0551309910393827E-2</v>
      </c>
      <c r="G11150" s="69">
        <f t="shared" si="348"/>
        <v>8.7324558623652279E-2</v>
      </c>
    </row>
    <row r="11151" spans="1:7" x14ac:dyDescent="0.3">
      <c r="A11151" s="24">
        <v>46031</v>
      </c>
      <c r="B11151" s="66">
        <f t="shared" si="349"/>
        <v>2182.9092999999998</v>
      </c>
      <c r="C11151" s="72">
        <v>2149.5700000000002</v>
      </c>
      <c r="E11151" s="112">
        <f t="shared" si="343"/>
        <v>195384</v>
      </c>
      <c r="F11151" s="69">
        <f t="shared" si="347"/>
        <v>6.0551309910393827E-2</v>
      </c>
      <c r="G11151" s="69">
        <f t="shared" si="348"/>
        <v>8.7324558623652279E-2</v>
      </c>
    </row>
    <row r="11152" spans="1:7" x14ac:dyDescent="0.3">
      <c r="A11152" s="24">
        <v>46032</v>
      </c>
      <c r="B11152" s="66">
        <f t="shared" si="349"/>
        <v>2182.9092999999998</v>
      </c>
      <c r="C11152" s="72">
        <v>2149.5700000000002</v>
      </c>
      <c r="E11152" s="112">
        <f t="shared" ref="E11152:E11215" si="350">+E11151</f>
        <v>195384</v>
      </c>
      <c r="F11152" s="69">
        <f t="shared" si="347"/>
        <v>6.0551309910393827E-2</v>
      </c>
      <c r="G11152" s="69">
        <f t="shared" si="348"/>
        <v>8.7324558623652279E-2</v>
      </c>
    </row>
    <row r="11153" spans="1:7" x14ac:dyDescent="0.3">
      <c r="A11153" s="24">
        <v>46033</v>
      </c>
      <c r="B11153" s="66">
        <f t="shared" si="349"/>
        <v>2182.9092999999998</v>
      </c>
      <c r="C11153" s="72">
        <v>2149.5700000000002</v>
      </c>
      <c r="E11153" s="112">
        <f t="shared" si="350"/>
        <v>195384</v>
      </c>
      <c r="F11153" s="69">
        <f t="shared" si="347"/>
        <v>6.0551309910393827E-2</v>
      </c>
      <c r="G11153" s="69">
        <f t="shared" si="348"/>
        <v>8.7535384767431196E-2</v>
      </c>
    </row>
    <row r="11154" spans="1:7" x14ac:dyDescent="0.3">
      <c r="A11154" s="24">
        <v>46034</v>
      </c>
      <c r="B11154" s="66">
        <f t="shared" si="349"/>
        <v>2182.9092999999998</v>
      </c>
      <c r="C11154" s="72">
        <v>2150</v>
      </c>
      <c r="E11154" s="112">
        <f t="shared" si="350"/>
        <v>195384</v>
      </c>
      <c r="F11154" s="69">
        <f t="shared" si="347"/>
        <v>6.0551309910393827E-2</v>
      </c>
      <c r="G11154" s="69">
        <f t="shared" si="348"/>
        <v>8.733870513326196E-2</v>
      </c>
    </row>
    <row r="11155" spans="1:7" x14ac:dyDescent="0.3">
      <c r="A11155" s="24">
        <v>46035</v>
      </c>
      <c r="B11155" s="66">
        <f t="shared" si="349"/>
        <v>2182.9092999999998</v>
      </c>
      <c r="C11155" s="72">
        <v>2106.27</v>
      </c>
      <c r="E11155" s="112">
        <f t="shared" si="350"/>
        <v>195384</v>
      </c>
      <c r="F11155" s="69">
        <f t="shared" si="347"/>
        <v>6.0551309910393827E-2</v>
      </c>
      <c r="G11155" s="69">
        <f t="shared" si="348"/>
        <v>8.7334399188635267E-2</v>
      </c>
    </row>
    <row r="11156" spans="1:7" x14ac:dyDescent="0.3">
      <c r="A11156" s="24">
        <v>46036</v>
      </c>
      <c r="B11156" s="66">
        <f t="shared" si="349"/>
        <v>2182.9092999999998</v>
      </c>
      <c r="C11156" s="72">
        <v>2114.7800000000002</v>
      </c>
      <c r="E11156" s="112">
        <f t="shared" si="350"/>
        <v>195384</v>
      </c>
      <c r="F11156" s="69">
        <f t="shared" si="347"/>
        <v>6.0551309910393827E-2</v>
      </c>
      <c r="G11156" s="69">
        <f t="shared" si="348"/>
        <v>8.7419366209594979E-2</v>
      </c>
    </row>
    <row r="11157" spans="1:7" x14ac:dyDescent="0.3">
      <c r="A11157" s="24">
        <v>46037</v>
      </c>
      <c r="B11157" s="66">
        <f t="shared" si="349"/>
        <v>2182.9092999999998</v>
      </c>
      <c r="C11157" s="72">
        <v>2114.35</v>
      </c>
      <c r="E11157" s="112">
        <f t="shared" si="350"/>
        <v>195384</v>
      </c>
      <c r="F11157" s="69">
        <f t="shared" si="347"/>
        <v>6.0551309910393827E-2</v>
      </c>
      <c r="G11157" s="69">
        <f t="shared" si="348"/>
        <v>8.7557017977432886E-2</v>
      </c>
    </row>
    <row r="11158" spans="1:7" x14ac:dyDescent="0.3">
      <c r="A11158" s="24">
        <v>46038</v>
      </c>
      <c r="B11158" s="66">
        <f t="shared" si="349"/>
        <v>2182.9092999999998</v>
      </c>
      <c r="C11158" s="72">
        <v>2134.92</v>
      </c>
      <c r="E11158" s="112">
        <f t="shared" si="350"/>
        <v>195384</v>
      </c>
      <c r="F11158" s="69">
        <f t="shared" si="347"/>
        <v>6.0551309910393827E-2</v>
      </c>
      <c r="G11158" s="69">
        <f t="shared" si="348"/>
        <v>8.7557017977432886E-2</v>
      </c>
    </row>
    <row r="11159" spans="1:7" x14ac:dyDescent="0.3">
      <c r="A11159" s="24">
        <v>46039</v>
      </c>
      <c r="B11159" s="66">
        <f t="shared" si="349"/>
        <v>2182.9092999999998</v>
      </c>
      <c r="C11159" s="72">
        <v>2134.92</v>
      </c>
      <c r="E11159" s="112">
        <f t="shared" si="350"/>
        <v>195384</v>
      </c>
      <c r="F11159" s="69">
        <f t="shared" si="347"/>
        <v>6.0551309910393827E-2</v>
      </c>
      <c r="G11159" s="69">
        <f t="shared" si="348"/>
        <v>8.7557017977432886E-2</v>
      </c>
    </row>
    <row r="11160" spans="1:7" x14ac:dyDescent="0.3">
      <c r="A11160" s="24">
        <v>46040</v>
      </c>
      <c r="B11160" s="66">
        <f t="shared" si="349"/>
        <v>2182.9092999999998</v>
      </c>
      <c r="C11160" s="72">
        <v>2134.92</v>
      </c>
      <c r="E11160" s="112">
        <f t="shared" si="350"/>
        <v>195384</v>
      </c>
      <c r="F11160" s="69">
        <f t="shared" si="347"/>
        <v>6.0551309910393827E-2</v>
      </c>
      <c r="G11160" s="69">
        <f t="shared" si="348"/>
        <v>8.7376862043209255E-2</v>
      </c>
    </row>
    <row r="11161" spans="1:7" x14ac:dyDescent="0.3">
      <c r="A11161" s="24">
        <v>46041</v>
      </c>
      <c r="B11161" s="66">
        <f t="shared" si="349"/>
        <v>2182.9092999999998</v>
      </c>
      <c r="C11161" s="72">
        <v>2119.06</v>
      </c>
      <c r="E11161" s="112">
        <f t="shared" si="350"/>
        <v>195384</v>
      </c>
      <c r="F11161" s="69">
        <f t="shared" si="347"/>
        <v>6.0551309910393827E-2</v>
      </c>
      <c r="G11161" s="69">
        <f t="shared" si="348"/>
        <v>8.8542336089570572E-2</v>
      </c>
    </row>
    <row r="11162" spans="1:7" x14ac:dyDescent="0.3">
      <c r="A11162" s="24">
        <v>46042</v>
      </c>
      <c r="B11162" s="66">
        <f t="shared" si="349"/>
        <v>2182.9092999999998</v>
      </c>
      <c r="C11162" s="72">
        <v>2097.41</v>
      </c>
      <c r="E11162" s="112">
        <f t="shared" si="350"/>
        <v>195384</v>
      </c>
      <c r="F11162" s="69">
        <f t="shared" si="347"/>
        <v>6.0551309910393827E-2</v>
      </c>
      <c r="G11162" s="69">
        <f t="shared" si="348"/>
        <v>8.8502523035636549E-2</v>
      </c>
    </row>
    <row r="11163" spans="1:7" x14ac:dyDescent="0.3">
      <c r="A11163" s="24">
        <v>46043</v>
      </c>
      <c r="B11163" s="66">
        <f t="shared" si="349"/>
        <v>2182.9092999999998</v>
      </c>
      <c r="C11163" s="72">
        <v>2107.91</v>
      </c>
      <c r="E11163" s="112">
        <f t="shared" si="350"/>
        <v>195384</v>
      </c>
      <c r="F11163" s="69">
        <f t="shared" si="347"/>
        <v>6.0551309910393827E-2</v>
      </c>
      <c r="G11163" s="69">
        <f t="shared" si="348"/>
        <v>8.7586085113897233E-2</v>
      </c>
    </row>
    <row r="11164" spans="1:7" x14ac:dyDescent="0.3">
      <c r="A11164" s="24">
        <v>46044</v>
      </c>
      <c r="B11164" s="66">
        <f t="shared" si="349"/>
        <v>2182.9092999999998</v>
      </c>
      <c r="C11164" s="72">
        <v>2099.9299999999998</v>
      </c>
      <c r="E11164" s="112">
        <f t="shared" si="350"/>
        <v>195384</v>
      </c>
      <c r="F11164" s="69">
        <f t="shared" si="347"/>
        <v>6.0551309910393827E-2</v>
      </c>
      <c r="G11164" s="69">
        <f t="shared" si="348"/>
        <v>8.7335014297587027E-2</v>
      </c>
    </row>
    <row r="11165" spans="1:7" x14ac:dyDescent="0.3">
      <c r="A11165" s="24">
        <v>46045</v>
      </c>
      <c r="B11165" s="66">
        <f t="shared" si="349"/>
        <v>2182.9092999999998</v>
      </c>
      <c r="C11165" s="72">
        <v>2104.31</v>
      </c>
      <c r="E11165" s="112">
        <f t="shared" si="350"/>
        <v>195384</v>
      </c>
      <c r="F11165" s="69">
        <f t="shared" si="347"/>
        <v>6.0551309910393827E-2</v>
      </c>
      <c r="G11165" s="69">
        <f t="shared" si="348"/>
        <v>8.7335014297587027E-2</v>
      </c>
    </row>
    <row r="11166" spans="1:7" x14ac:dyDescent="0.3">
      <c r="A11166" s="24">
        <v>46046</v>
      </c>
      <c r="B11166" s="66">
        <f t="shared" si="349"/>
        <v>2182.9092999999998</v>
      </c>
      <c r="C11166" s="72">
        <v>2104.31</v>
      </c>
      <c r="E11166" s="112">
        <f t="shared" si="350"/>
        <v>195384</v>
      </c>
      <c r="F11166" s="69">
        <f t="shared" si="347"/>
        <v>6.0551309910393827E-2</v>
      </c>
      <c r="G11166" s="69">
        <f t="shared" si="348"/>
        <v>8.7335014297587027E-2</v>
      </c>
    </row>
    <row r="11167" spans="1:7" x14ac:dyDescent="0.3">
      <c r="A11167" s="24">
        <v>46047</v>
      </c>
      <c r="B11167" s="66">
        <f t="shared" si="349"/>
        <v>2182.9092999999998</v>
      </c>
      <c r="C11167" s="72">
        <v>2104.31</v>
      </c>
      <c r="E11167" s="112">
        <f t="shared" si="350"/>
        <v>195384</v>
      </c>
      <c r="F11167" s="69">
        <f t="shared" si="347"/>
        <v>6.0551309910393827E-2</v>
      </c>
      <c r="G11167" s="69">
        <f t="shared" si="348"/>
        <v>8.7421215154890652E-2</v>
      </c>
    </row>
    <row r="11168" spans="1:7" x14ac:dyDescent="0.3">
      <c r="A11168" s="24">
        <v>46048</v>
      </c>
      <c r="B11168" s="66">
        <f t="shared" si="349"/>
        <v>2182.9092999999998</v>
      </c>
      <c r="C11168" s="72">
        <v>2080.0300000000002</v>
      </c>
      <c r="E11168" s="112">
        <f t="shared" si="350"/>
        <v>195384</v>
      </c>
      <c r="F11168" s="69">
        <f t="shared" si="347"/>
        <v>6.0551309910393827E-2</v>
      </c>
      <c r="G11168" s="69">
        <f t="shared" si="348"/>
        <v>8.7365165254028307E-2</v>
      </c>
    </row>
    <row r="11169" spans="1:7" x14ac:dyDescent="0.3">
      <c r="A11169" s="24">
        <v>46049</v>
      </c>
      <c r="B11169" s="66">
        <f t="shared" si="349"/>
        <v>2182.9092999999998</v>
      </c>
      <c r="C11169" s="72">
        <v>2036.26</v>
      </c>
      <c r="E11169" s="112">
        <f t="shared" si="350"/>
        <v>195384</v>
      </c>
      <c r="F11169" s="69">
        <f t="shared" si="347"/>
        <v>6.0551309910393827E-2</v>
      </c>
      <c r="G11169" s="69">
        <f t="shared" si="348"/>
        <v>8.7529205813633382E-2</v>
      </c>
    </row>
    <row r="11170" spans="1:7" x14ac:dyDescent="0.3">
      <c r="A11170" s="24">
        <v>46050</v>
      </c>
      <c r="B11170" s="66">
        <f t="shared" si="349"/>
        <v>2182.9092999999998</v>
      </c>
      <c r="C11170" s="72">
        <v>2082.59</v>
      </c>
      <c r="E11170" s="112">
        <f t="shared" si="350"/>
        <v>195384</v>
      </c>
      <c r="F11170" s="69">
        <f t="shared" si="347"/>
        <v>6.0551309910393827E-2</v>
      </c>
      <c r="G11170" s="69">
        <f t="shared" si="348"/>
        <v>8.6281276962899042E-2</v>
      </c>
    </row>
    <row r="11171" spans="1:7" x14ac:dyDescent="0.3">
      <c r="A11171" s="24">
        <v>46051</v>
      </c>
      <c r="B11171" s="66">
        <f t="shared" si="349"/>
        <v>2182.9092999999998</v>
      </c>
      <c r="C11171" s="72">
        <v>2077.61</v>
      </c>
      <c r="E11171" s="112">
        <f t="shared" si="350"/>
        <v>195384</v>
      </c>
      <c r="F11171" s="69">
        <f t="shared" si="347"/>
        <v>6.0457493555182436E-2</v>
      </c>
      <c r="G11171" s="69">
        <f t="shared" si="348"/>
        <v>8.5141444658060964E-2</v>
      </c>
    </row>
    <row r="11172" spans="1:7" x14ac:dyDescent="0.3">
      <c r="A11172" s="24">
        <v>46052</v>
      </c>
      <c r="B11172" s="66">
        <f t="shared" si="349"/>
        <v>2182.9092999999998</v>
      </c>
      <c r="C11172" s="72">
        <v>2099.98</v>
      </c>
      <c r="E11172" s="112">
        <f t="shared" si="350"/>
        <v>195384</v>
      </c>
      <c r="F11172" s="69">
        <f t="shared" si="347"/>
        <v>6.0457493555182436E-2</v>
      </c>
      <c r="G11172" s="69">
        <f t="shared" si="348"/>
        <v>8.5141444658060964E-2</v>
      </c>
    </row>
    <row r="11173" spans="1:7" x14ac:dyDescent="0.3">
      <c r="A11173" s="24">
        <v>46053</v>
      </c>
      <c r="B11173" s="66">
        <v>2185.4276</v>
      </c>
      <c r="C11173" s="72">
        <v>2099.98</v>
      </c>
      <c r="E11173" s="112">
        <f t="shared" si="350"/>
        <v>195384</v>
      </c>
      <c r="F11173" s="69">
        <f t="shared" si="347"/>
        <v>6.0457493555182436E-2</v>
      </c>
      <c r="G11173" s="69">
        <f t="shared" si="348"/>
        <v>8.5141444658060964E-2</v>
      </c>
    </row>
    <row r="11174" spans="1:7" x14ac:dyDescent="0.3">
      <c r="A11174" s="24">
        <v>46054</v>
      </c>
      <c r="B11174" s="66">
        <f>+B11173</f>
        <v>2185.4276</v>
      </c>
      <c r="C11174" s="72">
        <v>2099.98</v>
      </c>
      <c r="E11174" s="112">
        <f t="shared" si="350"/>
        <v>195384</v>
      </c>
      <c r="F11174" s="69">
        <f t="shared" si="347"/>
        <v>6.0457493555182436E-2</v>
      </c>
      <c r="G11174" s="69">
        <f t="shared" si="348"/>
        <v>8.402621075671024E-2</v>
      </c>
    </row>
    <row r="11175" spans="1:7" x14ac:dyDescent="0.3">
      <c r="A11175" s="24">
        <v>46055</v>
      </c>
      <c r="B11175" s="66">
        <f t="shared" ref="B11175:B11237" si="351">+B11174</f>
        <v>2185.4276</v>
      </c>
      <c r="C11175" s="72">
        <v>2110.5</v>
      </c>
      <c r="E11175" s="112">
        <f t="shared" si="350"/>
        <v>195384</v>
      </c>
      <c r="F11175" s="69">
        <f t="shared" si="347"/>
        <v>6.0457493555182436E-2</v>
      </c>
      <c r="G11175" s="69">
        <f t="shared" si="348"/>
        <v>8.3742478372154275E-2</v>
      </c>
    </row>
    <row r="11176" spans="1:7" x14ac:dyDescent="0.3">
      <c r="A11176" s="24">
        <v>46056</v>
      </c>
      <c r="B11176" s="66">
        <f t="shared" si="351"/>
        <v>2185.4276</v>
      </c>
      <c r="C11176" s="72">
        <v>2110.4</v>
      </c>
      <c r="E11176" s="112">
        <f t="shared" si="350"/>
        <v>195384</v>
      </c>
      <c r="F11176" s="69">
        <f t="shared" si="347"/>
        <v>6.0457493555182436E-2</v>
      </c>
      <c r="G11176" s="69">
        <f>+SUM(D10814:D11176)/C10813</f>
        <v>8.2138243963832666E-2</v>
      </c>
    </row>
    <row r="11177" spans="1:7" x14ac:dyDescent="0.3">
      <c r="A11177" s="24">
        <v>46057</v>
      </c>
      <c r="B11177" s="66">
        <f t="shared" si="351"/>
        <v>2185.4276</v>
      </c>
      <c r="C11177" s="72">
        <v>2125.9</v>
      </c>
      <c r="E11177" s="112">
        <f t="shared" si="350"/>
        <v>195384</v>
      </c>
      <c r="F11177" s="69">
        <f t="shared" ref="F11177:F11225" si="352">+SUM(D10815:D11177)/B10814</f>
        <v>6.0457493555182436E-2</v>
      </c>
      <c r="G11177" s="69">
        <f t="shared" ref="G11177:G11225" si="353">+SUM(D10815:D11177)/C10814</f>
        <v>8.2427626549672617E-2</v>
      </c>
    </row>
    <row r="11178" spans="1:7" x14ac:dyDescent="0.3">
      <c r="A11178" s="24">
        <v>46058</v>
      </c>
      <c r="B11178" s="66">
        <f t="shared" si="351"/>
        <v>2185.4276</v>
      </c>
      <c r="C11178" s="72">
        <v>2150.64</v>
      </c>
      <c r="E11178" s="112">
        <f t="shared" si="350"/>
        <v>195384</v>
      </c>
      <c r="F11178" s="69">
        <f t="shared" si="352"/>
        <v>6.0457493555182436E-2</v>
      </c>
      <c r="G11178" s="69">
        <f t="shared" si="353"/>
        <v>8.2634714577030213E-2</v>
      </c>
    </row>
    <row r="11179" spans="1:7" x14ac:dyDescent="0.3">
      <c r="A11179" s="24">
        <v>46059</v>
      </c>
      <c r="B11179" s="66">
        <f t="shared" si="351"/>
        <v>2185.4276</v>
      </c>
      <c r="C11179" s="72">
        <v>2151.63</v>
      </c>
      <c r="E11179" s="112">
        <f t="shared" si="350"/>
        <v>195384</v>
      </c>
      <c r="F11179" s="69">
        <f t="shared" si="352"/>
        <v>6.0457493555182436E-2</v>
      </c>
      <c r="G11179" s="69">
        <f t="shared" si="353"/>
        <v>8.2634714577030213E-2</v>
      </c>
    </row>
    <row r="11180" spans="1:7" x14ac:dyDescent="0.3">
      <c r="A11180" s="24">
        <v>46060</v>
      </c>
      <c r="B11180" s="66">
        <f t="shared" si="351"/>
        <v>2185.4276</v>
      </c>
      <c r="C11180" s="72">
        <v>2151.63</v>
      </c>
      <c r="E11180" s="112">
        <f t="shared" si="350"/>
        <v>195384</v>
      </c>
      <c r="F11180" s="69">
        <f t="shared" si="352"/>
        <v>6.0457493555182436E-2</v>
      </c>
      <c r="G11180" s="69">
        <f t="shared" si="353"/>
        <v>8.2634714577030213E-2</v>
      </c>
    </row>
    <row r="11181" spans="1:7" x14ac:dyDescent="0.3">
      <c r="A11181" s="24">
        <v>46061</v>
      </c>
      <c r="B11181" s="66">
        <f t="shared" si="351"/>
        <v>2185.4276</v>
      </c>
      <c r="C11181" s="72">
        <v>2151.63</v>
      </c>
      <c r="E11181" s="112">
        <f t="shared" si="350"/>
        <v>195384</v>
      </c>
      <c r="F11181" s="69">
        <f t="shared" si="352"/>
        <v>6.0457493555182436E-2</v>
      </c>
      <c r="G11181" s="69">
        <f t="shared" si="353"/>
        <v>8.3435384677495325E-2</v>
      </c>
    </row>
    <row r="11182" spans="1:7" x14ac:dyDescent="0.3">
      <c r="A11182" s="24">
        <v>46062</v>
      </c>
      <c r="B11182" s="66">
        <f t="shared" si="351"/>
        <v>2185.4276</v>
      </c>
      <c r="C11182" s="72">
        <v>2129.25</v>
      </c>
      <c r="E11182" s="112">
        <f t="shared" si="350"/>
        <v>195384</v>
      </c>
      <c r="F11182" s="69">
        <f t="shared" si="352"/>
        <v>6.0457493555182436E-2</v>
      </c>
      <c r="G11182" s="69">
        <f t="shared" si="353"/>
        <v>8.3151160763381304E-2</v>
      </c>
    </row>
    <row r="11183" spans="1:7" x14ac:dyDescent="0.3">
      <c r="A11183" s="24">
        <v>46063</v>
      </c>
      <c r="B11183" s="66">
        <f t="shared" si="351"/>
        <v>2185.4276</v>
      </c>
      <c r="C11183" s="72">
        <v>2122.3200000000002</v>
      </c>
      <c r="E11183" s="112">
        <f t="shared" si="350"/>
        <v>195384</v>
      </c>
      <c r="F11183" s="69">
        <f t="shared" si="352"/>
        <v>6.0457493555182436E-2</v>
      </c>
      <c r="G11183" s="69">
        <f t="shared" si="353"/>
        <v>8.394770870145081E-2</v>
      </c>
    </row>
    <row r="11184" spans="1:7" x14ac:dyDescent="0.3">
      <c r="A11184" s="24">
        <v>46064</v>
      </c>
      <c r="B11184" s="66">
        <f t="shared" si="351"/>
        <v>2185.4276</v>
      </c>
      <c r="C11184" s="72">
        <v>2094</v>
      </c>
      <c r="E11184" s="112">
        <f t="shared" si="350"/>
        <v>195384</v>
      </c>
      <c r="F11184" s="69">
        <f t="shared" si="352"/>
        <v>6.0457493555182436E-2</v>
      </c>
      <c r="G11184" s="69">
        <f t="shared" si="353"/>
        <v>8.3188536083027537E-2</v>
      </c>
    </row>
    <row r="11185" spans="1:7" x14ac:dyDescent="0.3">
      <c r="A11185" s="24">
        <v>46065</v>
      </c>
      <c r="B11185" s="66">
        <f t="shared" si="351"/>
        <v>2185.4276</v>
      </c>
      <c r="C11185" s="72">
        <v>2094.42</v>
      </c>
      <c r="E11185" s="112">
        <f t="shared" si="350"/>
        <v>195384</v>
      </c>
      <c r="F11185" s="69">
        <f t="shared" si="352"/>
        <v>6.0457493555182436E-2</v>
      </c>
      <c r="G11185" s="69">
        <f t="shared" si="353"/>
        <v>8.2714089411262445E-2</v>
      </c>
    </row>
    <row r="11186" spans="1:7" x14ac:dyDescent="0.3">
      <c r="A11186" s="24">
        <v>46066</v>
      </c>
      <c r="B11186" s="66">
        <f t="shared" si="351"/>
        <v>2185.4276</v>
      </c>
      <c r="C11186" s="72">
        <v>2088.6</v>
      </c>
      <c r="E11186" s="112">
        <f t="shared" si="350"/>
        <v>195384</v>
      </c>
      <c r="F11186" s="69">
        <f t="shared" si="352"/>
        <v>6.0457493555182436E-2</v>
      </c>
      <c r="G11186" s="69">
        <f t="shared" si="353"/>
        <v>8.2714089411262445E-2</v>
      </c>
    </row>
    <row r="11187" spans="1:7" x14ac:dyDescent="0.3">
      <c r="A11187" s="24">
        <v>46067</v>
      </c>
      <c r="B11187" s="66">
        <f t="shared" si="351"/>
        <v>2185.4276</v>
      </c>
      <c r="C11187" s="72">
        <v>2088.6</v>
      </c>
      <c r="E11187" s="112">
        <f t="shared" si="350"/>
        <v>195384</v>
      </c>
      <c r="F11187" s="69">
        <f t="shared" si="352"/>
        <v>6.0457493555182436E-2</v>
      </c>
      <c r="G11187" s="69">
        <f t="shared" si="353"/>
        <v>8.2714089411262445E-2</v>
      </c>
    </row>
    <row r="11188" spans="1:7" x14ac:dyDescent="0.3">
      <c r="A11188" s="24">
        <v>46068</v>
      </c>
      <c r="B11188" s="66">
        <f t="shared" si="351"/>
        <v>2185.4276</v>
      </c>
      <c r="C11188" s="72">
        <v>2088.6</v>
      </c>
      <c r="E11188" s="112">
        <f t="shared" si="350"/>
        <v>195384</v>
      </c>
      <c r="F11188" s="69">
        <f t="shared" si="352"/>
        <v>6.0457493555182436E-2</v>
      </c>
      <c r="G11188" s="69">
        <f t="shared" si="353"/>
        <v>8.3044241149760903E-2</v>
      </c>
    </row>
    <row r="11189" spans="1:7" x14ac:dyDescent="0.3">
      <c r="A11189" s="24">
        <v>46069</v>
      </c>
      <c r="B11189" s="66">
        <f t="shared" si="351"/>
        <v>2185.4276</v>
      </c>
      <c r="C11189" s="72">
        <v>2100</v>
      </c>
      <c r="E11189" s="112">
        <f t="shared" si="350"/>
        <v>195384</v>
      </c>
      <c r="F11189" s="69">
        <f t="shared" si="352"/>
        <v>6.0457493555182436E-2</v>
      </c>
      <c r="G11189" s="69">
        <f t="shared" si="353"/>
        <v>8.3363586247697422E-2</v>
      </c>
    </row>
    <row r="11190" spans="1:7" x14ac:dyDescent="0.3">
      <c r="A11190" s="24">
        <v>46070</v>
      </c>
      <c r="B11190" s="66">
        <f t="shared" si="351"/>
        <v>2185.4276</v>
      </c>
      <c r="C11190" s="72">
        <v>2112.79</v>
      </c>
      <c r="E11190" s="112">
        <f t="shared" si="350"/>
        <v>195384</v>
      </c>
      <c r="F11190" s="69">
        <f t="shared" si="352"/>
        <v>6.0457493555182436E-2</v>
      </c>
      <c r="G11190" s="69">
        <f t="shared" si="353"/>
        <v>8.3394421989225975E-2</v>
      </c>
    </row>
    <row r="11191" spans="1:7" x14ac:dyDescent="0.3">
      <c r="A11191" s="24">
        <v>46071</v>
      </c>
      <c r="B11191" s="66">
        <f t="shared" si="351"/>
        <v>2185.4276</v>
      </c>
      <c r="C11191" s="72">
        <v>2109.08</v>
      </c>
      <c r="E11191" s="112">
        <f t="shared" si="350"/>
        <v>195384</v>
      </c>
      <c r="F11191" s="69">
        <f t="shared" si="352"/>
        <v>6.0457493555182436E-2</v>
      </c>
      <c r="G11191" s="69">
        <f t="shared" si="353"/>
        <v>8.3682008368200833E-2</v>
      </c>
    </row>
    <row r="11192" spans="1:7" x14ac:dyDescent="0.3">
      <c r="A11192" s="24">
        <v>46072</v>
      </c>
      <c r="B11192" s="66">
        <f t="shared" si="351"/>
        <v>2185.4276</v>
      </c>
      <c r="C11192" s="72">
        <v>2109.21</v>
      </c>
      <c r="E11192" s="112">
        <f t="shared" si="350"/>
        <v>195384</v>
      </c>
      <c r="F11192" s="69">
        <f t="shared" si="352"/>
        <v>6.0457493555182436E-2</v>
      </c>
      <c r="G11192" s="69">
        <f t="shared" si="353"/>
        <v>8.3351258335125827E-2</v>
      </c>
    </row>
    <row r="11193" spans="1:7" x14ac:dyDescent="0.3">
      <c r="A11193" s="24">
        <v>46073</v>
      </c>
      <c r="B11193" s="66">
        <f t="shared" si="351"/>
        <v>2185.4276</v>
      </c>
      <c r="C11193" s="72">
        <v>2109.88</v>
      </c>
      <c r="E11193" s="112">
        <f t="shared" si="350"/>
        <v>195384</v>
      </c>
      <c r="F11193" s="69">
        <f t="shared" si="352"/>
        <v>6.0457493555182436E-2</v>
      </c>
      <c r="G11193" s="69">
        <f t="shared" si="353"/>
        <v>8.3351258335125827E-2</v>
      </c>
    </row>
    <row r="11194" spans="1:7" x14ac:dyDescent="0.3">
      <c r="A11194" s="24">
        <v>46074</v>
      </c>
      <c r="B11194" s="66">
        <f t="shared" si="351"/>
        <v>2185.4276</v>
      </c>
      <c r="C11194" s="72">
        <v>2109.88</v>
      </c>
      <c r="E11194" s="112">
        <f t="shared" si="350"/>
        <v>195384</v>
      </c>
      <c r="F11194" s="69">
        <f t="shared" si="352"/>
        <v>6.0457493555182436E-2</v>
      </c>
      <c r="G11194" s="69">
        <f t="shared" si="353"/>
        <v>8.3351258335125827E-2</v>
      </c>
    </row>
    <row r="11195" spans="1:7" x14ac:dyDescent="0.3">
      <c r="A11195" s="24">
        <v>46075</v>
      </c>
      <c r="B11195" s="66">
        <f t="shared" si="351"/>
        <v>2185.4276</v>
      </c>
      <c r="C11195" s="72">
        <v>2109.88</v>
      </c>
      <c r="E11195" s="112">
        <f t="shared" si="350"/>
        <v>195384</v>
      </c>
      <c r="F11195" s="69">
        <f t="shared" si="352"/>
        <v>6.0457493555182436E-2</v>
      </c>
      <c r="G11195" s="69">
        <f t="shared" si="353"/>
        <v>8.2792511283818065E-2</v>
      </c>
    </row>
    <row r="11196" spans="1:7" x14ac:dyDescent="0.3">
      <c r="A11196" s="24">
        <v>46076</v>
      </c>
      <c r="B11196" s="66">
        <f t="shared" si="351"/>
        <v>2185.4276</v>
      </c>
      <c r="C11196" s="72">
        <v>2083.2600000000002</v>
      </c>
      <c r="E11196" s="112">
        <f t="shared" si="350"/>
        <v>195384</v>
      </c>
      <c r="F11196" s="69">
        <f t="shared" si="352"/>
        <v>6.0457493555182436E-2</v>
      </c>
      <c r="G11196" s="69">
        <f t="shared" si="353"/>
        <v>8.3711949880845488E-2</v>
      </c>
    </row>
    <row r="11197" spans="1:7" x14ac:dyDescent="0.3">
      <c r="A11197" s="24">
        <v>46077</v>
      </c>
      <c r="B11197" s="66">
        <f t="shared" si="351"/>
        <v>2185.4276</v>
      </c>
      <c r="C11197" s="72">
        <v>2082.35</v>
      </c>
      <c r="E11197" s="112">
        <f t="shared" si="350"/>
        <v>195384</v>
      </c>
      <c r="F11197" s="69">
        <f t="shared" si="352"/>
        <v>6.0457493555182436E-2</v>
      </c>
      <c r="G11197" s="69">
        <f t="shared" si="353"/>
        <v>8.3776991054779343E-2</v>
      </c>
    </row>
    <row r="11198" spans="1:7" x14ac:dyDescent="0.3">
      <c r="A11198" s="24">
        <v>46078</v>
      </c>
      <c r="B11198" s="66">
        <f t="shared" si="351"/>
        <v>2185.4276</v>
      </c>
      <c r="C11198" s="72">
        <v>2083.65</v>
      </c>
      <c r="E11198" s="112">
        <f t="shared" si="350"/>
        <v>195384</v>
      </c>
      <c r="F11198" s="69">
        <f t="shared" si="352"/>
        <v>6.0457493555182436E-2</v>
      </c>
      <c r="G11198" s="69">
        <f t="shared" si="353"/>
        <v>8.2604437990047491E-2</v>
      </c>
    </row>
    <row r="11199" spans="1:7" x14ac:dyDescent="0.3">
      <c r="A11199" s="24">
        <v>46079</v>
      </c>
      <c r="B11199" s="66">
        <f t="shared" si="351"/>
        <v>2185.4276</v>
      </c>
      <c r="C11199" s="72">
        <v>2040</v>
      </c>
      <c r="E11199" s="112">
        <f t="shared" si="350"/>
        <v>195384</v>
      </c>
      <c r="F11199" s="69">
        <f t="shared" si="352"/>
        <v>6.0148094309495512E-2</v>
      </c>
      <c r="G11199" s="69">
        <f t="shared" si="353"/>
        <v>8.1969380470134065E-2</v>
      </c>
    </row>
    <row r="11200" spans="1:7" x14ac:dyDescent="0.3">
      <c r="A11200" s="24">
        <v>46080</v>
      </c>
      <c r="B11200" s="66">
        <f t="shared" si="351"/>
        <v>2185.4276</v>
      </c>
      <c r="C11200" s="72">
        <v>2096.84</v>
      </c>
      <c r="E11200" s="112">
        <f t="shared" si="350"/>
        <v>195384</v>
      </c>
      <c r="F11200" s="69">
        <f t="shared" si="352"/>
        <v>6.0148094309495512E-2</v>
      </c>
      <c r="G11200" s="69">
        <f t="shared" si="353"/>
        <v>8.1969380470134065E-2</v>
      </c>
    </row>
    <row r="11201" spans="1:7" x14ac:dyDescent="0.3">
      <c r="A11201" s="24">
        <v>46081</v>
      </c>
      <c r="B11201" s="66">
        <v>2190.3942000000002</v>
      </c>
      <c r="C11201" s="72">
        <v>2096.84</v>
      </c>
      <c r="E11201" s="112">
        <f t="shared" si="350"/>
        <v>195384</v>
      </c>
      <c r="F11201" s="69">
        <f t="shared" si="352"/>
        <v>6.0148094309495512E-2</v>
      </c>
      <c r="G11201" s="69">
        <f t="shared" si="353"/>
        <v>8.1969380470134065E-2</v>
      </c>
    </row>
    <row r="11202" spans="1:7" x14ac:dyDescent="0.3">
      <c r="A11202" s="24">
        <v>46082</v>
      </c>
      <c r="B11202" s="66">
        <f t="shared" si="351"/>
        <v>2190.3942000000002</v>
      </c>
      <c r="C11202" s="72">
        <v>2096.84</v>
      </c>
      <c r="E11202" s="112">
        <f t="shared" si="350"/>
        <v>195384</v>
      </c>
      <c r="F11202" s="69">
        <f t="shared" si="352"/>
        <v>6.0148094309495512E-2</v>
      </c>
      <c r="G11202" s="69">
        <f t="shared" si="353"/>
        <v>8.2548347368771424E-2</v>
      </c>
    </row>
    <row r="11203" spans="1:7" x14ac:dyDescent="0.3">
      <c r="A11203" s="24">
        <v>46083</v>
      </c>
      <c r="B11203" s="66">
        <f t="shared" si="351"/>
        <v>2190.3942000000002</v>
      </c>
      <c r="C11203" s="72">
        <v>2086.59</v>
      </c>
      <c r="E11203" s="112">
        <f t="shared" si="350"/>
        <v>195384</v>
      </c>
      <c r="F11203" s="69">
        <f t="shared" si="352"/>
        <v>6.0148094309495512E-2</v>
      </c>
      <c r="G11203" s="69">
        <f t="shared" si="353"/>
        <v>8.2794169687986169E-2</v>
      </c>
    </row>
    <row r="11204" spans="1:7" x14ac:dyDescent="0.3">
      <c r="A11204" s="24">
        <v>46084</v>
      </c>
      <c r="B11204" s="66">
        <f t="shared" si="351"/>
        <v>2190.3942000000002</v>
      </c>
      <c r="C11204" s="72">
        <v>2078.21</v>
      </c>
      <c r="E11204" s="112">
        <f t="shared" si="350"/>
        <v>195384</v>
      </c>
      <c r="F11204" s="69">
        <f t="shared" si="352"/>
        <v>6.0148094309495512E-2</v>
      </c>
      <c r="G11204" s="69">
        <f t="shared" si="353"/>
        <v>8.2666666666666666E-2</v>
      </c>
    </row>
    <row r="11205" spans="1:7" x14ac:dyDescent="0.3">
      <c r="A11205" s="24">
        <v>46085</v>
      </c>
      <c r="B11205" s="66">
        <f t="shared" si="351"/>
        <v>2190.3942000000002</v>
      </c>
      <c r="C11205" s="72">
        <v>2052.89</v>
      </c>
      <c r="E11205" s="112">
        <f t="shared" si="350"/>
        <v>195384</v>
      </c>
      <c r="F11205" s="69">
        <f t="shared" si="352"/>
        <v>6.0148094309495512E-2</v>
      </c>
      <c r="G11205" s="69">
        <f t="shared" si="353"/>
        <v>8.2736165045304719E-2</v>
      </c>
    </row>
    <row r="11206" spans="1:7" x14ac:dyDescent="0.3">
      <c r="A11206" s="24">
        <v>46086</v>
      </c>
      <c r="B11206" s="66">
        <f t="shared" si="351"/>
        <v>2190.3942000000002</v>
      </c>
      <c r="C11206" s="72">
        <v>2069.4</v>
      </c>
      <c r="E11206" s="112">
        <f t="shared" si="350"/>
        <v>195384</v>
      </c>
      <c r="F11206" s="69">
        <f t="shared" si="352"/>
        <v>6.0148094309495512E-2</v>
      </c>
      <c r="G11206" s="69">
        <f t="shared" si="353"/>
        <v>8.2662258012905984E-2</v>
      </c>
    </row>
    <row r="11207" spans="1:7" x14ac:dyDescent="0.3">
      <c r="A11207" s="24">
        <v>46087</v>
      </c>
      <c r="B11207" s="66">
        <f t="shared" si="351"/>
        <v>2190.3942000000002</v>
      </c>
      <c r="C11207" s="72">
        <v>2053.5100000000002</v>
      </c>
      <c r="E11207" s="112">
        <f t="shared" si="350"/>
        <v>195384</v>
      </c>
      <c r="F11207" s="69">
        <f t="shared" si="352"/>
        <v>6.0148094309495512E-2</v>
      </c>
      <c r="G11207" s="69">
        <f t="shared" si="353"/>
        <v>8.2662258012905984E-2</v>
      </c>
    </row>
    <row r="11208" spans="1:7" x14ac:dyDescent="0.3">
      <c r="A11208" s="24">
        <v>46088</v>
      </c>
      <c r="B11208" s="66">
        <f t="shared" si="351"/>
        <v>2190.3942000000002</v>
      </c>
      <c r="C11208" s="72">
        <v>2053.5100000000002</v>
      </c>
      <c r="E11208" s="112">
        <f t="shared" si="350"/>
        <v>195384</v>
      </c>
      <c r="F11208" s="69">
        <f t="shared" si="352"/>
        <v>6.0148094309495512E-2</v>
      </c>
      <c r="G11208" s="69">
        <f t="shared" si="353"/>
        <v>8.2662258012905984E-2</v>
      </c>
    </row>
    <row r="11209" spans="1:7" x14ac:dyDescent="0.3">
      <c r="A11209" s="24">
        <v>46089</v>
      </c>
      <c r="B11209" s="66">
        <f t="shared" si="351"/>
        <v>2190.3942000000002</v>
      </c>
      <c r="C11209" s="72">
        <v>2053.5100000000002</v>
      </c>
      <c r="E11209" s="112">
        <f t="shared" si="350"/>
        <v>195384</v>
      </c>
      <c r="F11209" s="69">
        <f t="shared" si="352"/>
        <v>6.0148094309495512E-2</v>
      </c>
      <c r="G11209" s="69">
        <f t="shared" si="353"/>
        <v>8.2633613221378119E-2</v>
      </c>
    </row>
    <row r="11210" spans="1:7" x14ac:dyDescent="0.3">
      <c r="A11210" s="24">
        <v>46090</v>
      </c>
      <c r="B11210" s="66">
        <f t="shared" si="351"/>
        <v>2190.3942000000002</v>
      </c>
      <c r="C11210" s="72">
        <v>2070.63</v>
      </c>
      <c r="E11210" s="112">
        <f t="shared" si="350"/>
        <v>195384</v>
      </c>
      <c r="F11210" s="69">
        <f t="shared" si="352"/>
        <v>6.0148094309495512E-2</v>
      </c>
      <c r="G11210" s="69">
        <f t="shared" si="353"/>
        <v>8.2781456953642377E-2</v>
      </c>
    </row>
    <row r="11211" spans="1:7" x14ac:dyDescent="0.3">
      <c r="A11211" s="24">
        <v>46091</v>
      </c>
      <c r="B11211" s="66">
        <f t="shared" si="351"/>
        <v>2190.3942000000002</v>
      </c>
      <c r="C11211" s="72">
        <v>2103.09</v>
      </c>
      <c r="E11211" s="112">
        <f t="shared" si="350"/>
        <v>195384</v>
      </c>
      <c r="F11211" s="69">
        <f t="shared" si="352"/>
        <v>6.0148094309495512E-2</v>
      </c>
      <c r="G11211" s="69">
        <f t="shared" si="353"/>
        <v>8.2886592425234953E-2</v>
      </c>
    </row>
    <row r="11212" spans="1:7" x14ac:dyDescent="0.3">
      <c r="A11212" s="24">
        <v>46092</v>
      </c>
      <c r="B11212" s="66">
        <f t="shared" si="351"/>
        <v>2190.3942000000002</v>
      </c>
      <c r="C11212" s="72">
        <v>2093.64</v>
      </c>
      <c r="E11212" s="112">
        <f t="shared" si="350"/>
        <v>195384</v>
      </c>
      <c r="F11212" s="69">
        <f t="shared" si="352"/>
        <v>6.0148094309495512E-2</v>
      </c>
      <c r="G11212" s="69">
        <f t="shared" si="353"/>
        <v>8.2886592425234953E-2</v>
      </c>
    </row>
    <row r="11213" spans="1:7" x14ac:dyDescent="0.3">
      <c r="A11213" s="24">
        <v>46093</v>
      </c>
      <c r="B11213" s="66">
        <f t="shared" si="351"/>
        <v>2190.3942000000002</v>
      </c>
      <c r="C11213" s="72">
        <v>2079.64</v>
      </c>
      <c r="E11213" s="112">
        <f t="shared" si="350"/>
        <v>195384</v>
      </c>
      <c r="F11213" s="69">
        <f t="shared" si="352"/>
        <v>6.0148094309495512E-2</v>
      </c>
      <c r="G11213" s="69">
        <f t="shared" si="353"/>
        <v>8.1848184818481842E-2</v>
      </c>
    </row>
    <row r="11214" spans="1:7" x14ac:dyDescent="0.3">
      <c r="A11214" s="24">
        <v>46094</v>
      </c>
      <c r="B11214" s="66">
        <f t="shared" si="351"/>
        <v>2190.3942000000002</v>
      </c>
      <c r="C11214" s="72">
        <v>2096.96</v>
      </c>
      <c r="E11214" s="112">
        <f t="shared" si="350"/>
        <v>195384</v>
      </c>
      <c r="F11214" s="69">
        <f t="shared" si="352"/>
        <v>6.0148094309495512E-2</v>
      </c>
      <c r="G11214" s="69">
        <f t="shared" si="353"/>
        <v>8.1848184818481842E-2</v>
      </c>
    </row>
    <row r="11215" spans="1:7" x14ac:dyDescent="0.3">
      <c r="A11215" s="24">
        <v>46095</v>
      </c>
      <c r="B11215" s="66">
        <f t="shared" si="351"/>
        <v>2190.3942000000002</v>
      </c>
      <c r="C11215" s="72">
        <v>2096.96</v>
      </c>
      <c r="E11215" s="112">
        <f t="shared" si="350"/>
        <v>195384</v>
      </c>
      <c r="F11215" s="69">
        <f t="shared" si="352"/>
        <v>6.0148094309495512E-2</v>
      </c>
      <c r="G11215" s="69">
        <f t="shared" si="353"/>
        <v>8.1848184818481842E-2</v>
      </c>
    </row>
    <row r="11216" spans="1:7" x14ac:dyDescent="0.3">
      <c r="A11216" s="24">
        <v>46096</v>
      </c>
      <c r="B11216" s="66">
        <f t="shared" si="351"/>
        <v>2190.3942000000002</v>
      </c>
      <c r="C11216" s="72">
        <v>2096.96</v>
      </c>
      <c r="E11216" s="112">
        <f t="shared" ref="E11216:E11279" si="354">+E11215</f>
        <v>195384</v>
      </c>
      <c r="F11216" s="69">
        <f t="shared" si="352"/>
        <v>6.0148094309495512E-2</v>
      </c>
      <c r="G11216" s="69">
        <f t="shared" si="353"/>
        <v>8.2893795666793682E-2</v>
      </c>
    </row>
    <row r="11217" spans="1:7" x14ac:dyDescent="0.3">
      <c r="A11217" s="24">
        <v>46097</v>
      </c>
      <c r="B11217" s="66">
        <f t="shared" si="351"/>
        <v>2190.3942000000002</v>
      </c>
      <c r="C11217" s="72">
        <v>2108.92</v>
      </c>
      <c r="E11217" s="112">
        <f t="shared" si="354"/>
        <v>195384</v>
      </c>
      <c r="F11217" s="69">
        <f t="shared" si="352"/>
        <v>6.0148094309495512E-2</v>
      </c>
      <c r="G11217" s="69">
        <f t="shared" si="353"/>
        <v>8.3736823268032126E-2</v>
      </c>
    </row>
    <row r="11218" spans="1:7" x14ac:dyDescent="0.3">
      <c r="A11218" s="24">
        <v>46098</v>
      </c>
      <c r="B11218" s="66">
        <f t="shared" si="351"/>
        <v>2190.3942000000002</v>
      </c>
      <c r="C11218" s="72">
        <v>2099.46</v>
      </c>
      <c r="E11218" s="112">
        <f t="shared" si="354"/>
        <v>195384</v>
      </c>
      <c r="F11218" s="69">
        <f t="shared" si="352"/>
        <v>6.0148094309495512E-2</v>
      </c>
      <c r="G11218" s="69">
        <f t="shared" si="353"/>
        <v>8.2698643475477174E-2</v>
      </c>
    </row>
    <row r="11219" spans="1:7" x14ac:dyDescent="0.3">
      <c r="A11219" s="24">
        <v>46099</v>
      </c>
      <c r="B11219" s="66">
        <f t="shared" si="351"/>
        <v>2190.3942000000002</v>
      </c>
      <c r="C11219" s="72">
        <v>2120.4699999999998</v>
      </c>
      <c r="E11219" s="112">
        <f t="shared" si="354"/>
        <v>195384</v>
      </c>
      <c r="F11219" s="69">
        <f t="shared" si="352"/>
        <v>6.0148094309495512E-2</v>
      </c>
      <c r="G11219" s="69">
        <f t="shared" si="353"/>
        <v>8.259288369056976E-2</v>
      </c>
    </row>
    <row r="11220" spans="1:7" x14ac:dyDescent="0.3">
      <c r="A11220" s="24">
        <v>46100</v>
      </c>
      <c r="B11220" s="66">
        <f t="shared" si="351"/>
        <v>2190.3942000000002</v>
      </c>
      <c r="C11220" s="72">
        <v>2076.92</v>
      </c>
      <c r="E11220" s="112">
        <f t="shared" si="354"/>
        <v>195384</v>
      </c>
      <c r="F11220" s="69">
        <f t="shared" si="352"/>
        <v>6.0148094309495512E-2</v>
      </c>
      <c r="G11220" s="69">
        <f t="shared" si="353"/>
        <v>8.1696655049050937E-2</v>
      </c>
    </row>
    <row r="11221" spans="1:7" x14ac:dyDescent="0.3">
      <c r="A11221" s="24">
        <v>46101</v>
      </c>
      <c r="B11221" s="66">
        <f t="shared" si="351"/>
        <v>2190.3942000000002</v>
      </c>
      <c r="C11221" s="72">
        <v>2099.08</v>
      </c>
      <c r="E11221" s="112">
        <f t="shared" si="354"/>
        <v>195384</v>
      </c>
      <c r="F11221" s="69">
        <f t="shared" si="352"/>
        <v>6.0148094309495512E-2</v>
      </c>
      <c r="G11221" s="69">
        <f t="shared" si="353"/>
        <v>8.1696655049050937E-2</v>
      </c>
    </row>
    <row r="11222" spans="1:7" x14ac:dyDescent="0.3">
      <c r="A11222" s="24">
        <v>46102</v>
      </c>
      <c r="B11222" s="66">
        <f t="shared" si="351"/>
        <v>2190.3942000000002</v>
      </c>
      <c r="C11222" s="72">
        <v>2099.08</v>
      </c>
      <c r="E11222" s="112">
        <f t="shared" si="354"/>
        <v>195384</v>
      </c>
      <c r="F11222" s="69">
        <f t="shared" si="352"/>
        <v>6.0148094309495512E-2</v>
      </c>
      <c r="G11222" s="69">
        <f t="shared" si="353"/>
        <v>8.1696655049050937E-2</v>
      </c>
    </row>
    <row r="11223" spans="1:7" x14ac:dyDescent="0.3">
      <c r="A11223" s="24">
        <v>46103</v>
      </c>
      <c r="B11223" s="66">
        <f t="shared" si="351"/>
        <v>2190.3942000000002</v>
      </c>
      <c r="C11223" s="72">
        <v>2099.08</v>
      </c>
      <c r="E11223" s="112">
        <f t="shared" si="354"/>
        <v>195384</v>
      </c>
      <c r="F11223" s="69">
        <f t="shared" si="352"/>
        <v>6.0148094309495512E-2</v>
      </c>
      <c r="G11223" s="69">
        <f t="shared" si="353"/>
        <v>8.2256481014673491E-2</v>
      </c>
    </row>
    <row r="11224" spans="1:7" x14ac:dyDescent="0.3">
      <c r="A11224" s="24">
        <v>46104</v>
      </c>
      <c r="B11224" s="66">
        <f t="shared" si="351"/>
        <v>2190.3942000000002</v>
      </c>
      <c r="C11224" s="72">
        <v>2099.41</v>
      </c>
      <c r="E11224" s="112">
        <f t="shared" si="354"/>
        <v>195384</v>
      </c>
      <c r="F11224" s="69">
        <f t="shared" si="352"/>
        <v>6.0148094309495512E-2</v>
      </c>
      <c r="G11224" s="69">
        <f t="shared" si="353"/>
        <v>8.2160557631655667E-2</v>
      </c>
    </row>
    <row r="11225" spans="1:7" x14ac:dyDescent="0.3">
      <c r="A11225" s="24">
        <v>46105</v>
      </c>
      <c r="B11225" s="66">
        <f t="shared" si="351"/>
        <v>2190.3942000000002</v>
      </c>
      <c r="C11225" s="72">
        <v>2089</v>
      </c>
      <c r="E11225" s="112">
        <f t="shared" si="354"/>
        <v>195384</v>
      </c>
      <c r="F11225" s="69">
        <f t="shared" si="352"/>
        <v>6.0148094309495512E-2</v>
      </c>
      <c r="G11225" s="69">
        <f t="shared" si="353"/>
        <v>8.2284318865007269E-2</v>
      </c>
    </row>
    <row r="11226" spans="1:7" x14ac:dyDescent="0.3">
      <c r="A11226" s="24">
        <v>46106</v>
      </c>
      <c r="B11226" s="66">
        <f t="shared" si="351"/>
        <v>2190.3942000000002</v>
      </c>
      <c r="C11226" s="120">
        <v>2102.9699999999998</v>
      </c>
      <c r="E11226" s="112">
        <f t="shared" si="354"/>
        <v>195384</v>
      </c>
      <c r="F11226" s="69">
        <f t="shared" ref="F11226" si="355">+SUM(D10864:D11226)/B10863</f>
        <v>6.0148094309495512E-2</v>
      </c>
      <c r="G11226" s="69">
        <f t="shared" ref="G11226" si="356">+SUM(D10864:D11226)/C10863</f>
        <v>8.2277767087566109E-2</v>
      </c>
    </row>
    <row r="11227" spans="1:7" x14ac:dyDescent="0.3">
      <c r="A11227" s="24">
        <v>46107</v>
      </c>
      <c r="B11227" s="66">
        <f>+B11226</f>
        <v>2190.3942000000002</v>
      </c>
      <c r="C11227" s="72">
        <v>2122.44</v>
      </c>
      <c r="E11227" s="112">
        <f t="shared" si="354"/>
        <v>195384</v>
      </c>
      <c r="F11227" s="69">
        <f t="shared" ref="F11227:F11287" si="357">+SUM(D10865:D11227)/B10864</f>
        <v>6.0148094309495512E-2</v>
      </c>
      <c r="G11227" s="69">
        <f t="shared" ref="G11227:G11287" si="358">+SUM(D10865:D11227)/C10864</f>
        <v>8.1077016627326873E-2</v>
      </c>
    </row>
    <row r="11228" spans="1:7" x14ac:dyDescent="0.3">
      <c r="A11228" s="24">
        <v>46108</v>
      </c>
      <c r="B11228" s="66">
        <f t="shared" si="351"/>
        <v>2190.3942000000002</v>
      </c>
      <c r="C11228" s="72">
        <v>2135.62</v>
      </c>
      <c r="E11228" s="112">
        <f t="shared" si="354"/>
        <v>195384</v>
      </c>
      <c r="F11228" s="69">
        <f t="shared" si="357"/>
        <v>6.0148094309495512E-2</v>
      </c>
      <c r="G11228" s="69">
        <f t="shared" si="358"/>
        <v>8.1077016627326873E-2</v>
      </c>
    </row>
    <row r="11229" spans="1:7" x14ac:dyDescent="0.3">
      <c r="A11229" s="24">
        <v>46109</v>
      </c>
      <c r="B11229" s="66">
        <f t="shared" si="351"/>
        <v>2190.3942000000002</v>
      </c>
      <c r="C11229" s="72">
        <v>2135.62</v>
      </c>
      <c r="E11229" s="112">
        <f t="shared" si="354"/>
        <v>195384</v>
      </c>
      <c r="F11229" s="69">
        <f t="shared" si="357"/>
        <v>5.3842245712532273E-2</v>
      </c>
      <c r="G11229" s="69">
        <f t="shared" si="358"/>
        <v>7.2577006819623244E-2</v>
      </c>
    </row>
    <row r="11230" spans="1:7" x14ac:dyDescent="0.3">
      <c r="A11230" s="24">
        <v>46110</v>
      </c>
      <c r="B11230" s="66">
        <f t="shared" si="351"/>
        <v>2190.3942000000002</v>
      </c>
      <c r="C11230" s="72">
        <v>2135.62</v>
      </c>
      <c r="E11230" s="112">
        <f t="shared" si="354"/>
        <v>195384</v>
      </c>
      <c r="F11230" s="69">
        <f t="shared" si="357"/>
        <v>5.4772179068708148E-2</v>
      </c>
      <c r="G11230" s="69">
        <f t="shared" si="358"/>
        <v>7.3466146005691971E-2</v>
      </c>
    </row>
    <row r="11231" spans="1:7" x14ac:dyDescent="0.3">
      <c r="A11231" s="24">
        <v>46111</v>
      </c>
      <c r="B11231" s="66">
        <f t="shared" si="351"/>
        <v>2190.3942000000002</v>
      </c>
      <c r="C11231" s="72">
        <v>2140</v>
      </c>
      <c r="D11231" s="71">
        <v>14</v>
      </c>
      <c r="E11231" s="112">
        <f t="shared" si="354"/>
        <v>195384</v>
      </c>
      <c r="F11231" s="69">
        <f t="shared" si="357"/>
        <v>6.1680381834130799E-2</v>
      </c>
      <c r="G11231" s="69">
        <f t="shared" si="358"/>
        <v>8.2844001431544356E-2</v>
      </c>
    </row>
    <row r="11232" spans="1:7" x14ac:dyDescent="0.3">
      <c r="A11232" s="24">
        <v>46112</v>
      </c>
      <c r="B11232" s="66">
        <v>2130.9692</v>
      </c>
      <c r="C11232" s="72">
        <v>2170.0500000000002</v>
      </c>
      <c r="E11232" s="112">
        <f t="shared" si="354"/>
        <v>195384</v>
      </c>
      <c r="F11232" s="69">
        <f t="shared" si="357"/>
        <v>6.1680381834130799E-2</v>
      </c>
      <c r="G11232" s="69">
        <f t="shared" si="358"/>
        <v>8.3318336032847426E-2</v>
      </c>
    </row>
    <row r="11233" spans="1:7" x14ac:dyDescent="0.3">
      <c r="A11233" s="24">
        <v>46113</v>
      </c>
      <c r="B11233" s="66">
        <f t="shared" si="351"/>
        <v>2130.9692</v>
      </c>
      <c r="C11233" s="72">
        <v>2180.04</v>
      </c>
      <c r="E11233" s="112">
        <f t="shared" si="354"/>
        <v>195384</v>
      </c>
      <c r="F11233" s="69">
        <f t="shared" si="357"/>
        <v>6.1680381834130799E-2</v>
      </c>
      <c r="G11233" s="69">
        <f t="shared" si="358"/>
        <v>8.3316669999333473E-2</v>
      </c>
    </row>
    <row r="11234" spans="1:7" x14ac:dyDescent="0.3">
      <c r="A11234" s="24">
        <v>46114</v>
      </c>
      <c r="B11234" s="66">
        <f t="shared" si="351"/>
        <v>2130.9692</v>
      </c>
      <c r="C11234" s="72">
        <v>2184.7600000000002</v>
      </c>
      <c r="E11234" s="112">
        <f t="shared" si="354"/>
        <v>195384</v>
      </c>
      <c r="F11234" s="69">
        <f t="shared" si="357"/>
        <v>6.1680381834130799E-2</v>
      </c>
      <c r="G11234" s="69">
        <f t="shared" si="358"/>
        <v>8.3508701606707425E-2</v>
      </c>
    </row>
    <row r="11235" spans="1:7" x14ac:dyDescent="0.3">
      <c r="A11235" s="24">
        <v>46115</v>
      </c>
      <c r="B11235" s="66">
        <f t="shared" si="351"/>
        <v>2130.9692</v>
      </c>
      <c r="C11235" s="72">
        <v>2184.7600000000002</v>
      </c>
      <c r="E11235" s="112">
        <f t="shared" si="354"/>
        <v>195384</v>
      </c>
      <c r="F11235" s="69">
        <f t="shared" si="357"/>
        <v>6.1680381834130799E-2</v>
      </c>
      <c r="G11235" s="69">
        <f t="shared" si="358"/>
        <v>8.3508701606707425E-2</v>
      </c>
    </row>
    <row r="11236" spans="1:7" x14ac:dyDescent="0.3">
      <c r="A11236" s="24">
        <v>46116</v>
      </c>
      <c r="B11236" s="66">
        <f t="shared" si="351"/>
        <v>2130.9692</v>
      </c>
      <c r="C11236" s="72">
        <v>2184.7600000000002</v>
      </c>
      <c r="E11236" s="112">
        <f t="shared" si="354"/>
        <v>195384</v>
      </c>
      <c r="F11236" s="69">
        <f t="shared" si="357"/>
        <v>6.1680381834130799E-2</v>
      </c>
      <c r="G11236" s="69">
        <f t="shared" si="358"/>
        <v>8.3508701606707425E-2</v>
      </c>
    </row>
    <row r="11237" spans="1:7" x14ac:dyDescent="0.3">
      <c r="A11237" s="24">
        <v>46117</v>
      </c>
      <c r="B11237" s="66">
        <f t="shared" si="351"/>
        <v>2130.9692</v>
      </c>
      <c r="C11237" s="72">
        <v>2184.7600000000002</v>
      </c>
      <c r="E11237" s="112">
        <f t="shared" si="354"/>
        <v>195384</v>
      </c>
      <c r="F11237" s="69">
        <f t="shared" si="357"/>
        <v>6.1680381834130799E-2</v>
      </c>
      <c r="G11237" s="69">
        <f t="shared" si="358"/>
        <v>8.3320002132992052E-2</v>
      </c>
    </row>
    <row r="11238" spans="1:7" x14ac:dyDescent="0.3">
      <c r="A11238" s="24">
        <v>46118</v>
      </c>
      <c r="B11238" s="66">
        <f t="shared" ref="B11238:B11287" si="359">+B11237</f>
        <v>2130.9692</v>
      </c>
      <c r="C11238" s="72">
        <v>2172.64</v>
      </c>
      <c r="E11238" s="112">
        <f t="shared" si="354"/>
        <v>195384</v>
      </c>
      <c r="F11238" s="69">
        <f t="shared" si="357"/>
        <v>6.1680381834130799E-2</v>
      </c>
      <c r="G11238" s="69">
        <f t="shared" si="358"/>
        <v>8.3205751181521667E-2</v>
      </c>
    </row>
    <row r="11239" spans="1:7" x14ac:dyDescent="0.3">
      <c r="A11239" s="24">
        <v>46119</v>
      </c>
      <c r="B11239" s="66">
        <f t="shared" si="359"/>
        <v>2130.9692</v>
      </c>
      <c r="C11239" s="72">
        <v>2167.35</v>
      </c>
      <c r="E11239" s="112">
        <f t="shared" si="354"/>
        <v>195384</v>
      </c>
      <c r="F11239" s="69">
        <f t="shared" si="357"/>
        <v>6.1680381834130799E-2</v>
      </c>
      <c r="G11239" s="69">
        <f t="shared" si="358"/>
        <v>8.3390594875147606E-2</v>
      </c>
    </row>
    <row r="11240" spans="1:7" x14ac:dyDescent="0.3">
      <c r="A11240" s="24">
        <v>46120</v>
      </c>
      <c r="B11240" s="66">
        <f t="shared" si="359"/>
        <v>2130.9692</v>
      </c>
      <c r="C11240" s="72">
        <v>2168.1999999999998</v>
      </c>
      <c r="E11240" s="112">
        <f t="shared" si="354"/>
        <v>195384</v>
      </c>
      <c r="F11240" s="69">
        <f t="shared" si="357"/>
        <v>6.1680381834130799E-2</v>
      </c>
      <c r="G11240" s="69">
        <f t="shared" si="358"/>
        <v>8.3376133081648582E-2</v>
      </c>
    </row>
    <row r="11241" spans="1:7" x14ac:dyDescent="0.3">
      <c r="A11241" s="24">
        <v>46121</v>
      </c>
      <c r="B11241" s="66">
        <f t="shared" si="359"/>
        <v>2130.9692</v>
      </c>
      <c r="C11241" s="72">
        <v>2170</v>
      </c>
      <c r="E11241" s="112">
        <f t="shared" si="354"/>
        <v>195384</v>
      </c>
      <c r="F11241" s="69">
        <f t="shared" si="357"/>
        <v>6.1680381834130799E-2</v>
      </c>
      <c r="G11241" s="69">
        <f t="shared" si="358"/>
        <v>8.3437351898700371E-2</v>
      </c>
    </row>
    <row r="11242" spans="1:7" x14ac:dyDescent="0.3">
      <c r="A11242" s="24">
        <v>46122</v>
      </c>
      <c r="B11242" s="66">
        <f t="shared" si="359"/>
        <v>2130.9692</v>
      </c>
      <c r="C11242" s="72">
        <v>2189.076</v>
      </c>
      <c r="E11242" s="112">
        <f t="shared" si="354"/>
        <v>195384</v>
      </c>
      <c r="F11242" s="69">
        <f t="shared" si="357"/>
        <v>6.1680381834130799E-2</v>
      </c>
      <c r="G11242" s="69">
        <f t="shared" si="358"/>
        <v>8.3437351898700371E-2</v>
      </c>
    </row>
    <row r="11243" spans="1:7" x14ac:dyDescent="0.3">
      <c r="A11243" s="24">
        <v>46123</v>
      </c>
      <c r="B11243" s="66">
        <f t="shared" si="359"/>
        <v>2130.9692</v>
      </c>
      <c r="C11243" s="72">
        <v>2189.076</v>
      </c>
      <c r="E11243" s="112">
        <f t="shared" si="354"/>
        <v>195384</v>
      </c>
      <c r="F11243" s="69">
        <f t="shared" si="357"/>
        <v>6.1680381834130799E-2</v>
      </c>
      <c r="G11243" s="69">
        <f t="shared" si="358"/>
        <v>8.3437351898700371E-2</v>
      </c>
    </row>
    <row r="11244" spans="1:7" x14ac:dyDescent="0.3">
      <c r="A11244" s="24">
        <v>46124</v>
      </c>
      <c r="B11244" s="66">
        <f t="shared" si="359"/>
        <v>2130.9692</v>
      </c>
      <c r="C11244" s="72">
        <v>2189.076</v>
      </c>
      <c r="E11244" s="112">
        <f t="shared" si="354"/>
        <v>195384</v>
      </c>
      <c r="F11244" s="69">
        <f t="shared" si="357"/>
        <v>6.1680381834130799E-2</v>
      </c>
      <c r="G11244" s="69">
        <f t="shared" si="358"/>
        <v>8.3386144558220215E-2</v>
      </c>
    </row>
    <row r="11245" spans="1:7" x14ac:dyDescent="0.3">
      <c r="A11245" s="24">
        <v>46125</v>
      </c>
      <c r="B11245" s="66">
        <f t="shared" si="359"/>
        <v>2130.9692</v>
      </c>
      <c r="C11245" s="72">
        <v>2182.38</v>
      </c>
      <c r="E11245" s="112">
        <f t="shared" si="354"/>
        <v>195384</v>
      </c>
      <c r="F11245" s="69">
        <f t="shared" si="357"/>
        <v>6.1680381834130799E-2</v>
      </c>
      <c r="G11245" s="69">
        <f t="shared" si="358"/>
        <v>8.3411740369280465E-2</v>
      </c>
    </row>
    <row r="11246" spans="1:7" x14ac:dyDescent="0.3">
      <c r="A11246" s="24">
        <v>46126</v>
      </c>
      <c r="B11246" s="66">
        <f t="shared" si="359"/>
        <v>2130.9692</v>
      </c>
      <c r="C11246" s="72">
        <v>2180.65</v>
      </c>
      <c r="E11246" s="112">
        <f t="shared" si="354"/>
        <v>195384</v>
      </c>
      <c r="F11246" s="69">
        <f t="shared" si="357"/>
        <v>6.1680381834130799E-2</v>
      </c>
      <c r="G11246" s="69">
        <f t="shared" si="358"/>
        <v>8.3347780281915529E-2</v>
      </c>
    </row>
    <row r="11247" spans="1:7" x14ac:dyDescent="0.3">
      <c r="A11247" s="24">
        <v>46127</v>
      </c>
      <c r="B11247" s="66">
        <f t="shared" si="359"/>
        <v>2130.9692</v>
      </c>
      <c r="C11247" s="72">
        <v>2184</v>
      </c>
      <c r="E11247" s="112">
        <f t="shared" si="354"/>
        <v>195384</v>
      </c>
      <c r="F11247" s="69">
        <f t="shared" si="357"/>
        <v>6.1680381834130799E-2</v>
      </c>
      <c r="G11247" s="69">
        <f t="shared" si="358"/>
        <v>8.3388925950633755E-2</v>
      </c>
    </row>
    <row r="11248" spans="1:7" x14ac:dyDescent="0.3">
      <c r="A11248" s="24">
        <v>46128</v>
      </c>
      <c r="B11248" s="66">
        <f t="shared" si="359"/>
        <v>2130.9692</v>
      </c>
      <c r="C11248" s="72">
        <v>2180.84</v>
      </c>
      <c r="E11248" s="112">
        <f t="shared" si="354"/>
        <v>195384</v>
      </c>
      <c r="F11248" s="69">
        <f t="shared" si="357"/>
        <v>6.1680381834130799E-2</v>
      </c>
      <c r="G11248" s="69">
        <f t="shared" si="358"/>
        <v>8.3388925950633755E-2</v>
      </c>
    </row>
    <row r="11249" spans="1:7" x14ac:dyDescent="0.3">
      <c r="A11249" s="24">
        <v>46129</v>
      </c>
      <c r="B11249" s="66">
        <f t="shared" si="359"/>
        <v>2130.9692</v>
      </c>
      <c r="C11249" s="72">
        <v>2184.33</v>
      </c>
      <c r="E11249" s="112">
        <f t="shared" si="354"/>
        <v>195384</v>
      </c>
      <c r="F11249" s="69">
        <f t="shared" si="357"/>
        <v>6.1680381834130799E-2</v>
      </c>
      <c r="G11249" s="69">
        <f t="shared" si="358"/>
        <v>8.3388925950633755E-2</v>
      </c>
    </row>
    <row r="11250" spans="1:7" x14ac:dyDescent="0.3">
      <c r="A11250" s="24">
        <v>46130</v>
      </c>
      <c r="B11250" s="66">
        <f t="shared" si="359"/>
        <v>2130.9692</v>
      </c>
      <c r="C11250" s="72">
        <v>2184.33</v>
      </c>
      <c r="E11250" s="112">
        <f t="shared" si="354"/>
        <v>195384</v>
      </c>
      <c r="F11250" s="69">
        <f t="shared" si="357"/>
        <v>6.1680381834130799E-2</v>
      </c>
      <c r="G11250" s="69">
        <f t="shared" si="358"/>
        <v>8.3388925950633755E-2</v>
      </c>
    </row>
    <row r="11251" spans="1:7" x14ac:dyDescent="0.3">
      <c r="A11251" s="24">
        <v>46131</v>
      </c>
      <c r="B11251" s="66">
        <f t="shared" si="359"/>
        <v>2130.9692</v>
      </c>
      <c r="C11251" s="72">
        <v>2184.33</v>
      </c>
      <c r="E11251" s="112">
        <f t="shared" si="354"/>
        <v>195384</v>
      </c>
      <c r="F11251" s="69">
        <f t="shared" si="357"/>
        <v>6.1680381834130799E-2</v>
      </c>
      <c r="G11251" s="69">
        <f t="shared" si="358"/>
        <v>8.3188585195093881E-2</v>
      </c>
    </row>
    <row r="11252" spans="1:7" x14ac:dyDescent="0.3">
      <c r="A11252" s="24">
        <v>46132</v>
      </c>
      <c r="B11252" s="66">
        <f t="shared" si="359"/>
        <v>2130.9692</v>
      </c>
      <c r="C11252" s="72">
        <v>2186</v>
      </c>
      <c r="E11252" s="112">
        <f t="shared" si="354"/>
        <v>195384</v>
      </c>
      <c r="F11252" s="69">
        <f t="shared" si="357"/>
        <v>6.1680381834130799E-2</v>
      </c>
      <c r="G11252" s="69">
        <f t="shared" si="358"/>
        <v>8.211313218900472E-2</v>
      </c>
    </row>
    <row r="11253" spans="1:7" x14ac:dyDescent="0.3">
      <c r="A11253" s="24">
        <v>46133</v>
      </c>
      <c r="B11253" s="66">
        <f t="shared" si="359"/>
        <v>2130.9692</v>
      </c>
      <c r="C11253" s="72">
        <v>2179.37</v>
      </c>
      <c r="E11253" s="112">
        <f t="shared" si="354"/>
        <v>195384</v>
      </c>
      <c r="F11253" s="69">
        <f t="shared" si="357"/>
        <v>6.1680381834130799E-2</v>
      </c>
      <c r="G11253" s="69">
        <f t="shared" si="358"/>
        <v>8.0900388969070175E-2</v>
      </c>
    </row>
    <row r="11254" spans="1:7" x14ac:dyDescent="0.3">
      <c r="A11254" s="24">
        <v>46134</v>
      </c>
      <c r="B11254" s="66">
        <f t="shared" si="359"/>
        <v>2130.9692</v>
      </c>
      <c r="C11254" s="72">
        <v>2180.27</v>
      </c>
      <c r="E11254" s="112">
        <f t="shared" si="354"/>
        <v>195384</v>
      </c>
      <c r="F11254" s="69">
        <f t="shared" si="357"/>
        <v>6.1680381834130799E-2</v>
      </c>
      <c r="G11254" s="69">
        <f t="shared" si="358"/>
        <v>7.8919621943443041E-2</v>
      </c>
    </row>
    <row r="11255" spans="1:7" x14ac:dyDescent="0.3">
      <c r="A11255" s="24">
        <v>46135</v>
      </c>
      <c r="B11255" s="66">
        <f t="shared" si="359"/>
        <v>2130.9692</v>
      </c>
      <c r="C11255" s="72">
        <v>2242.42</v>
      </c>
      <c r="E11255" s="112">
        <f t="shared" si="354"/>
        <v>195384</v>
      </c>
      <c r="F11255" s="69">
        <f t="shared" si="357"/>
        <v>6.1680381834130799E-2</v>
      </c>
      <c r="G11255" s="69">
        <f t="shared" si="358"/>
        <v>8.318083513558476E-2</v>
      </c>
    </row>
    <row r="11256" spans="1:7" x14ac:dyDescent="0.3">
      <c r="A11256" s="24">
        <v>46136</v>
      </c>
      <c r="B11256" s="66">
        <f t="shared" si="359"/>
        <v>2130.9692</v>
      </c>
      <c r="C11256" s="72">
        <v>2312.42</v>
      </c>
      <c r="E11256" s="112">
        <f t="shared" si="354"/>
        <v>195384</v>
      </c>
      <c r="F11256" s="69">
        <f t="shared" si="357"/>
        <v>6.1680381834130799E-2</v>
      </c>
      <c r="G11256" s="69">
        <f t="shared" si="358"/>
        <v>8.318083513558476E-2</v>
      </c>
    </row>
    <row r="11257" spans="1:7" x14ac:dyDescent="0.3">
      <c r="A11257" s="24">
        <v>46137</v>
      </c>
      <c r="B11257" s="66">
        <f t="shared" si="359"/>
        <v>2130.9692</v>
      </c>
      <c r="C11257" s="72">
        <v>2312.42</v>
      </c>
      <c r="D11257" s="71">
        <v>74</v>
      </c>
      <c r="E11257" s="112">
        <f t="shared" si="354"/>
        <v>195384</v>
      </c>
      <c r="F11257" s="69">
        <f t="shared" si="357"/>
        <v>6.6614812380861255E-2</v>
      </c>
      <c r="G11257" s="69">
        <f t="shared" si="358"/>
        <v>8.9835301946431537E-2</v>
      </c>
    </row>
    <row r="11258" spans="1:7" x14ac:dyDescent="0.3">
      <c r="A11258" s="24">
        <v>46138</v>
      </c>
      <c r="B11258" s="66">
        <f t="shared" si="359"/>
        <v>2130.9692</v>
      </c>
      <c r="C11258" s="72">
        <v>2312.42</v>
      </c>
      <c r="E11258" s="112">
        <f t="shared" si="354"/>
        <v>195384</v>
      </c>
      <c r="F11258" s="69">
        <f t="shared" si="357"/>
        <v>6.6614812380861255E-2</v>
      </c>
      <c r="G11258" s="69">
        <f t="shared" si="358"/>
        <v>8.9700996677740868E-2</v>
      </c>
    </row>
    <row r="11259" spans="1:7" x14ac:dyDescent="0.3">
      <c r="A11259" s="24">
        <v>46139</v>
      </c>
      <c r="B11259" s="66">
        <f t="shared" si="359"/>
        <v>2130.9692</v>
      </c>
      <c r="C11259" s="72">
        <v>2316.5700000000002</v>
      </c>
      <c r="E11259" s="112">
        <f t="shared" si="354"/>
        <v>195384</v>
      </c>
      <c r="F11259" s="69">
        <f t="shared" si="357"/>
        <v>6.6614812380861255E-2</v>
      </c>
      <c r="G11259" s="69">
        <f t="shared" si="358"/>
        <v>8.8682182764125109E-2</v>
      </c>
    </row>
    <row r="11260" spans="1:7" x14ac:dyDescent="0.3">
      <c r="A11260" s="24">
        <v>46140</v>
      </c>
      <c r="B11260" s="66">
        <f t="shared" si="359"/>
        <v>2130.9692</v>
      </c>
      <c r="C11260" s="72">
        <v>2316.34</v>
      </c>
      <c r="E11260" s="112">
        <f t="shared" si="354"/>
        <v>195384</v>
      </c>
      <c r="F11260" s="69">
        <f t="shared" si="357"/>
        <v>6.5930601156198088E-2</v>
      </c>
      <c r="G11260" s="69">
        <f t="shared" si="358"/>
        <v>8.7118132187245914E-2</v>
      </c>
    </row>
    <row r="11261" spans="1:7" x14ac:dyDescent="0.3">
      <c r="A11261" s="24">
        <v>46141</v>
      </c>
      <c r="B11261" s="66">
        <f t="shared" si="359"/>
        <v>2130.9692</v>
      </c>
      <c r="C11261" s="72">
        <v>2319</v>
      </c>
      <c r="E11261" s="112">
        <f t="shared" si="354"/>
        <v>195384</v>
      </c>
      <c r="F11261" s="69">
        <f t="shared" si="357"/>
        <v>6.5930601156198088E-2</v>
      </c>
      <c r="G11261" s="69">
        <f t="shared" si="358"/>
        <v>8.7118132187245914E-2</v>
      </c>
    </row>
    <row r="11262" spans="1:7" x14ac:dyDescent="0.3">
      <c r="A11262" s="24">
        <v>46142</v>
      </c>
      <c r="B11262" s="66">
        <f t="shared" si="359"/>
        <v>2130.9692</v>
      </c>
      <c r="C11262" s="72">
        <v>2303.7399999999998</v>
      </c>
      <c r="E11262" s="112">
        <f t="shared" si="354"/>
        <v>195384</v>
      </c>
      <c r="F11262" s="69">
        <f t="shared" si="357"/>
        <v>6.5930601156198088E-2</v>
      </c>
      <c r="G11262" s="69">
        <f t="shared" si="358"/>
        <v>8.5274108885562139E-2</v>
      </c>
    </row>
    <row r="11263" spans="1:7" x14ac:dyDescent="0.3">
      <c r="A11263" s="24">
        <v>46143</v>
      </c>
      <c r="B11263" s="66">
        <f t="shared" si="359"/>
        <v>2130.9692</v>
      </c>
      <c r="C11263" s="72">
        <v>2303.7399999999998</v>
      </c>
      <c r="E11263" s="112">
        <f t="shared" si="354"/>
        <v>195384</v>
      </c>
      <c r="F11263" s="69">
        <f t="shared" si="357"/>
        <v>6.5930601156198088E-2</v>
      </c>
      <c r="G11263" s="69">
        <f t="shared" si="358"/>
        <v>8.5274108885562139E-2</v>
      </c>
    </row>
    <row r="11264" spans="1:7" x14ac:dyDescent="0.3">
      <c r="A11264" s="24">
        <v>46144</v>
      </c>
      <c r="B11264" s="66">
        <f t="shared" si="359"/>
        <v>2130.9692</v>
      </c>
      <c r="C11264" s="72">
        <v>2303.7399999999998</v>
      </c>
      <c r="E11264" s="112">
        <f t="shared" si="354"/>
        <v>195384</v>
      </c>
      <c r="F11264" s="69">
        <f t="shared" si="357"/>
        <v>6.5930601156198088E-2</v>
      </c>
      <c r="G11264" s="69">
        <f t="shared" si="358"/>
        <v>8.5274108885562139E-2</v>
      </c>
    </row>
    <row r="11265" spans="1:7" x14ac:dyDescent="0.3">
      <c r="A11265" s="24">
        <v>46145</v>
      </c>
      <c r="B11265" s="66">
        <f t="shared" si="359"/>
        <v>2130.9692</v>
      </c>
      <c r="C11265" s="72">
        <v>2303.7399999999998</v>
      </c>
      <c r="E11265" s="112">
        <f t="shared" si="354"/>
        <v>195384</v>
      </c>
      <c r="F11265" s="69">
        <f t="shared" si="357"/>
        <v>6.5930601156198088E-2</v>
      </c>
      <c r="G11265" s="69">
        <f t="shared" si="358"/>
        <v>8.483043338925858E-2</v>
      </c>
    </row>
    <row r="11266" spans="1:7" x14ac:dyDescent="0.3">
      <c r="A11266" s="24">
        <v>46146</v>
      </c>
      <c r="B11266" s="66">
        <f t="shared" si="359"/>
        <v>2130.9692</v>
      </c>
      <c r="C11266" s="72">
        <v>2300.62</v>
      </c>
      <c r="E11266" s="112">
        <f t="shared" si="354"/>
        <v>195384</v>
      </c>
      <c r="F11266" s="69">
        <f t="shared" si="357"/>
        <v>6.5930601156198088E-2</v>
      </c>
      <c r="G11266" s="69">
        <f t="shared" si="358"/>
        <v>8.1898094504334523E-2</v>
      </c>
    </row>
    <row r="11267" spans="1:7" x14ac:dyDescent="0.3">
      <c r="A11267" s="24">
        <v>46147</v>
      </c>
      <c r="B11267" s="66">
        <f t="shared" si="359"/>
        <v>2130.9692</v>
      </c>
      <c r="C11267" s="72">
        <v>2300</v>
      </c>
      <c r="E11267" s="112">
        <f t="shared" si="354"/>
        <v>195384</v>
      </c>
      <c r="F11267" s="69">
        <f t="shared" si="357"/>
        <v>6.5930601156198088E-2</v>
      </c>
      <c r="G11267" s="69">
        <f t="shared" si="358"/>
        <v>8.0409792125796645E-2</v>
      </c>
    </row>
    <row r="11268" spans="1:7" x14ac:dyDescent="0.3">
      <c r="A11268" s="24">
        <v>46148</v>
      </c>
      <c r="B11268" s="66">
        <f t="shared" si="359"/>
        <v>2130.9692</v>
      </c>
      <c r="C11268" s="72">
        <v>2301.3200000000002</v>
      </c>
      <c r="E11268" s="112">
        <f t="shared" si="354"/>
        <v>195384</v>
      </c>
      <c r="F11268" s="69">
        <f t="shared" si="357"/>
        <v>6.5930601156198088E-2</v>
      </c>
      <c r="G11268" s="69">
        <f t="shared" si="358"/>
        <v>8.0672630465570716E-2</v>
      </c>
    </row>
    <row r="11269" spans="1:7" x14ac:dyDescent="0.3">
      <c r="A11269" s="24">
        <v>46149</v>
      </c>
      <c r="B11269" s="66">
        <f t="shared" si="359"/>
        <v>2130.9692</v>
      </c>
      <c r="C11269" s="72">
        <v>2289</v>
      </c>
      <c r="E11269" s="112">
        <f t="shared" si="354"/>
        <v>195384</v>
      </c>
      <c r="F11269" s="69">
        <f t="shared" si="357"/>
        <v>6.5930601156198088E-2</v>
      </c>
      <c r="G11269" s="69">
        <f t="shared" si="358"/>
        <v>8.0010430989521597E-2</v>
      </c>
    </row>
    <row r="11270" spans="1:7" x14ac:dyDescent="0.3">
      <c r="A11270" s="24">
        <v>46150</v>
      </c>
      <c r="B11270" s="66">
        <f t="shared" si="359"/>
        <v>2130.9692</v>
      </c>
      <c r="C11270" s="72">
        <v>2289</v>
      </c>
      <c r="E11270" s="112">
        <f t="shared" si="354"/>
        <v>195384</v>
      </c>
      <c r="F11270" s="69">
        <f t="shared" si="357"/>
        <v>6.5930601156198088E-2</v>
      </c>
      <c r="G11270" s="69">
        <f t="shared" si="358"/>
        <v>8.0010430989521597E-2</v>
      </c>
    </row>
    <row r="11271" spans="1:7" x14ac:dyDescent="0.3">
      <c r="A11271" s="24">
        <v>46151</v>
      </c>
      <c r="B11271" s="66">
        <f t="shared" si="359"/>
        <v>2130.9692</v>
      </c>
      <c r="C11271" s="72">
        <v>2289</v>
      </c>
      <c r="E11271" s="112">
        <f t="shared" si="354"/>
        <v>195384</v>
      </c>
      <c r="F11271" s="69">
        <f t="shared" si="357"/>
        <v>6.5930601156198088E-2</v>
      </c>
      <c r="G11271" s="69">
        <f t="shared" si="358"/>
        <v>8.0010430989521597E-2</v>
      </c>
    </row>
    <row r="11272" spans="1:7" x14ac:dyDescent="0.3">
      <c r="A11272" s="24">
        <v>46152</v>
      </c>
      <c r="B11272" s="66">
        <f t="shared" si="359"/>
        <v>2130.9692</v>
      </c>
      <c r="C11272" s="72">
        <v>2289</v>
      </c>
      <c r="E11272" s="112">
        <f t="shared" si="354"/>
        <v>195384</v>
      </c>
      <c r="F11272" s="69">
        <f t="shared" si="357"/>
        <v>6.5930601156198088E-2</v>
      </c>
      <c r="G11272" s="69">
        <f t="shared" si="358"/>
        <v>7.9366945724767185E-2</v>
      </c>
    </row>
    <row r="11273" spans="1:7" x14ac:dyDescent="0.3">
      <c r="A11273" s="24">
        <v>46153</v>
      </c>
      <c r="B11273" s="66">
        <f t="shared" si="359"/>
        <v>2130.9692</v>
      </c>
      <c r="C11273" s="72">
        <v>2285.58</v>
      </c>
      <c r="E11273" s="112">
        <f t="shared" si="354"/>
        <v>195384</v>
      </c>
      <c r="F11273" s="69">
        <f t="shared" si="357"/>
        <v>6.5930601156198088E-2</v>
      </c>
      <c r="G11273" s="69">
        <f t="shared" si="358"/>
        <v>7.8687836609078826E-2</v>
      </c>
    </row>
    <row r="11274" spans="1:7" x14ac:dyDescent="0.3">
      <c r="A11274" s="24">
        <v>46154</v>
      </c>
      <c r="B11274" s="66">
        <f t="shared" si="359"/>
        <v>2130.9692</v>
      </c>
      <c r="C11274" s="72">
        <v>2275.87</v>
      </c>
      <c r="E11274" s="112">
        <f t="shared" si="354"/>
        <v>195384</v>
      </c>
      <c r="F11274" s="69">
        <f t="shared" si="357"/>
        <v>6.5930601156198088E-2</v>
      </c>
      <c r="G11274" s="69">
        <f t="shared" si="358"/>
        <v>7.7617878559642153E-2</v>
      </c>
    </row>
    <row r="11275" spans="1:7" x14ac:dyDescent="0.3">
      <c r="A11275" s="24">
        <v>46155</v>
      </c>
      <c r="B11275" s="66">
        <f t="shared" si="359"/>
        <v>2130.9692</v>
      </c>
      <c r="C11275" s="72">
        <v>2279.38</v>
      </c>
      <c r="E11275" s="112">
        <f t="shared" si="354"/>
        <v>195384</v>
      </c>
      <c r="F11275" s="69">
        <f t="shared" si="357"/>
        <v>6.5930601156198088E-2</v>
      </c>
      <c r="G11275" s="69">
        <f t="shared" si="358"/>
        <v>7.8031975769626491E-2</v>
      </c>
    </row>
    <row r="11276" spans="1:7" x14ac:dyDescent="0.3">
      <c r="A11276" s="24">
        <v>46156</v>
      </c>
      <c r="B11276" s="66">
        <f t="shared" si="359"/>
        <v>2130.9692</v>
      </c>
      <c r="C11276" s="72">
        <v>2268.4899999999998</v>
      </c>
      <c r="E11276" s="112">
        <f t="shared" si="354"/>
        <v>195384</v>
      </c>
      <c r="F11276" s="69">
        <f t="shared" si="357"/>
        <v>6.5930601156198088E-2</v>
      </c>
      <c r="G11276" s="69">
        <f t="shared" si="358"/>
        <v>7.9801854949783937E-2</v>
      </c>
    </row>
    <row r="11277" spans="1:7" x14ac:dyDescent="0.3">
      <c r="A11277" s="24">
        <v>46157</v>
      </c>
      <c r="B11277" s="66">
        <f t="shared" si="359"/>
        <v>2130.9692</v>
      </c>
      <c r="C11277" s="72">
        <v>2270.69</v>
      </c>
      <c r="E11277" s="112">
        <f t="shared" si="354"/>
        <v>195384</v>
      </c>
      <c r="F11277" s="69">
        <f t="shared" si="357"/>
        <v>6.5930601156198088E-2</v>
      </c>
      <c r="G11277" s="69">
        <f t="shared" si="358"/>
        <v>7.9801854949783937E-2</v>
      </c>
    </row>
    <row r="11278" spans="1:7" x14ac:dyDescent="0.3">
      <c r="A11278" s="24">
        <v>46158</v>
      </c>
      <c r="B11278" s="66">
        <f t="shared" si="359"/>
        <v>2130.9692</v>
      </c>
      <c r="C11278" s="72">
        <v>2270.69</v>
      </c>
      <c r="E11278" s="112">
        <f t="shared" si="354"/>
        <v>195384</v>
      </c>
      <c r="F11278" s="69">
        <f t="shared" si="357"/>
        <v>6.5930601156198088E-2</v>
      </c>
      <c r="G11278" s="69">
        <f t="shared" si="358"/>
        <v>7.9801854949783937E-2</v>
      </c>
    </row>
    <row r="11279" spans="1:7" x14ac:dyDescent="0.3">
      <c r="A11279" s="24">
        <v>46159</v>
      </c>
      <c r="B11279" s="66">
        <f t="shared" si="359"/>
        <v>2130.9692</v>
      </c>
      <c r="C11279" s="72">
        <v>2270.69</v>
      </c>
      <c r="E11279" s="112">
        <f t="shared" si="354"/>
        <v>195384</v>
      </c>
      <c r="F11279" s="69">
        <f t="shared" si="357"/>
        <v>6.5930601156198088E-2</v>
      </c>
      <c r="G11279" s="69">
        <f t="shared" si="358"/>
        <v>8.0214856979880927E-2</v>
      </c>
    </row>
    <row r="11280" spans="1:7" x14ac:dyDescent="0.3">
      <c r="A11280" s="24">
        <v>46160</v>
      </c>
      <c r="B11280" s="66">
        <f t="shared" si="359"/>
        <v>2130.9692</v>
      </c>
      <c r="C11280" s="72">
        <v>2262.4899999999998</v>
      </c>
      <c r="E11280" s="112">
        <f t="shared" ref="E11280:E11287" si="360">+E11279</f>
        <v>195384</v>
      </c>
      <c r="F11280" s="69">
        <f t="shared" si="357"/>
        <v>6.5930601156198088E-2</v>
      </c>
      <c r="G11280" s="69">
        <f t="shared" si="358"/>
        <v>8.0119645337036638E-2</v>
      </c>
    </row>
    <row r="11281" spans="1:7" x14ac:dyDescent="0.3">
      <c r="A11281" s="24">
        <v>46161</v>
      </c>
      <c r="B11281" s="66">
        <f t="shared" si="359"/>
        <v>2130.9692</v>
      </c>
      <c r="C11281" s="72">
        <v>2234.6</v>
      </c>
      <c r="E11281" s="112">
        <f t="shared" si="360"/>
        <v>195384</v>
      </c>
      <c r="F11281" s="69">
        <f t="shared" si="357"/>
        <v>6.5930601156198088E-2</v>
      </c>
      <c r="G11281" s="69">
        <f t="shared" si="358"/>
        <v>8.0119645337036638E-2</v>
      </c>
    </row>
    <row r="11282" spans="1:7" x14ac:dyDescent="0.3">
      <c r="A11282" s="24">
        <v>46162</v>
      </c>
      <c r="B11282" s="66">
        <f t="shared" si="359"/>
        <v>2130.9692</v>
      </c>
      <c r="C11282" s="72">
        <v>2254.9699999999998</v>
      </c>
      <c r="E11282" s="112">
        <f t="shared" si="360"/>
        <v>195384</v>
      </c>
      <c r="F11282" s="69">
        <f t="shared" si="357"/>
        <v>6.5930601156198088E-2</v>
      </c>
      <c r="G11282" s="69">
        <f t="shared" si="358"/>
        <v>7.7932873818018084E-2</v>
      </c>
    </row>
    <row r="11283" spans="1:7" x14ac:dyDescent="0.3">
      <c r="A11283" s="24">
        <v>46163</v>
      </c>
      <c r="B11283" s="66">
        <f t="shared" si="359"/>
        <v>2130.9692</v>
      </c>
      <c r="C11283" s="72">
        <v>2254.9699999999998</v>
      </c>
      <c r="E11283" s="112">
        <f t="shared" si="360"/>
        <v>195384</v>
      </c>
      <c r="F11283" s="69">
        <f t="shared" si="357"/>
        <v>6.5930601156198088E-2</v>
      </c>
      <c r="G11283" s="69">
        <f t="shared" si="358"/>
        <v>7.8830275497214664E-2</v>
      </c>
    </row>
    <row r="11284" spans="1:7" x14ac:dyDescent="0.3">
      <c r="A11284" s="24">
        <v>46164</v>
      </c>
      <c r="B11284" s="66">
        <f t="shared" si="359"/>
        <v>2130.9692</v>
      </c>
      <c r="C11284" s="72">
        <v>2260</v>
      </c>
      <c r="E11284" s="112">
        <f t="shared" si="360"/>
        <v>195384</v>
      </c>
      <c r="F11284" s="69">
        <f t="shared" si="357"/>
        <v>6.5930601156198088E-2</v>
      </c>
      <c r="G11284" s="69">
        <f t="shared" si="358"/>
        <v>7.8830275497214664E-2</v>
      </c>
    </row>
    <row r="11285" spans="1:7" x14ac:dyDescent="0.3">
      <c r="A11285" s="24">
        <v>46165</v>
      </c>
      <c r="B11285" s="66">
        <f t="shared" si="359"/>
        <v>2130.9692</v>
      </c>
      <c r="C11285" s="72">
        <v>2260</v>
      </c>
      <c r="E11285" s="112">
        <f t="shared" si="360"/>
        <v>195384</v>
      </c>
      <c r="F11285" s="69">
        <f t="shared" si="357"/>
        <v>6.5930601156198088E-2</v>
      </c>
      <c r="G11285" s="69">
        <f t="shared" si="358"/>
        <v>7.8830275497214664E-2</v>
      </c>
    </row>
    <row r="11286" spans="1:7" x14ac:dyDescent="0.3">
      <c r="A11286" s="24">
        <v>46166</v>
      </c>
      <c r="B11286" s="66">
        <f t="shared" si="359"/>
        <v>2130.9692</v>
      </c>
      <c r="C11286" s="72">
        <v>2260</v>
      </c>
      <c r="E11286" s="112">
        <f t="shared" si="360"/>
        <v>195384</v>
      </c>
      <c r="F11286" s="69">
        <f t="shared" si="357"/>
        <v>6.5930601156198088E-2</v>
      </c>
      <c r="G11286" s="69">
        <f t="shared" si="358"/>
        <v>7.6704545454545456E-2</v>
      </c>
    </row>
    <row r="11287" spans="1:7" x14ac:dyDescent="0.3">
      <c r="A11287" s="24">
        <v>46167</v>
      </c>
      <c r="B11287" s="66">
        <f t="shared" si="359"/>
        <v>2130.9692</v>
      </c>
      <c r="C11287" s="72">
        <v>2244.6799999999998</v>
      </c>
      <c r="E11287" s="112">
        <f t="shared" si="360"/>
        <v>195384</v>
      </c>
      <c r="F11287" s="69">
        <f t="shared" si="357"/>
        <v>6.5930601156198088E-2</v>
      </c>
      <c r="G11287" s="69">
        <f t="shared" si="358"/>
        <v>7.7608954348688405E-2</v>
      </c>
    </row>
    <row r="11288" spans="1:7" x14ac:dyDescent="0.3">
      <c r="A11288" s="24"/>
    </row>
    <row r="11289" spans="1:7" x14ac:dyDescent="0.3">
      <c r="A11289" s="24"/>
    </row>
    <row r="11290" spans="1:7" x14ac:dyDescent="0.3">
      <c r="A11290" s="24"/>
    </row>
    <row r="11291" spans="1:7" x14ac:dyDescent="0.3">
      <c r="A11291" s="24"/>
    </row>
    <row r="11292" spans="1:7" x14ac:dyDescent="0.3">
      <c r="A11292" s="24"/>
    </row>
    <row r="11293" spans="1:7" x14ac:dyDescent="0.3">
      <c r="A11293" s="24"/>
    </row>
    <row r="11294" spans="1:7" x14ac:dyDescent="0.3">
      <c r="A11294" s="24"/>
    </row>
    <row r="11295" spans="1:7" x14ac:dyDescent="0.3">
      <c r="A11295" s="24"/>
    </row>
    <row r="11296" spans="1:7" x14ac:dyDescent="0.3">
      <c r="A11296" s="24"/>
    </row>
    <row r="11297" spans="1:1" x14ac:dyDescent="0.3">
      <c r="A11297" s="24"/>
    </row>
    <row r="11298" spans="1:1" x14ac:dyDescent="0.3">
      <c r="A11298" s="24"/>
    </row>
    <row r="11299" spans="1:1" x14ac:dyDescent="0.3">
      <c r="A11299" s="24"/>
    </row>
    <row r="11300" spans="1:1" x14ac:dyDescent="0.3">
      <c r="A11300" s="24"/>
    </row>
    <row r="11301" spans="1:1" x14ac:dyDescent="0.3">
      <c r="A11301" s="24"/>
    </row>
    <row r="11302" spans="1:1" x14ac:dyDescent="0.3">
      <c r="A11302" s="24"/>
    </row>
    <row r="11303" spans="1:1" x14ac:dyDescent="0.3">
      <c r="A11303" s="24"/>
    </row>
    <row r="11304" spans="1:1" x14ac:dyDescent="0.3">
      <c r="A11304" s="24"/>
    </row>
    <row r="11305" spans="1:1" x14ac:dyDescent="0.3">
      <c r="A11305" s="24"/>
    </row>
    <row r="11306" spans="1:1" x14ac:dyDescent="0.3">
      <c r="A11306" s="24"/>
    </row>
    <row r="11307" spans="1:1" x14ac:dyDescent="0.3">
      <c r="A11307" s="24"/>
    </row>
    <row r="11308" spans="1:1" x14ac:dyDescent="0.3">
      <c r="A11308" s="24"/>
    </row>
    <row r="11309" spans="1:1" x14ac:dyDescent="0.3">
      <c r="A11309" s="24"/>
    </row>
    <row r="11310" spans="1:1" x14ac:dyDescent="0.3">
      <c r="A11310" s="24"/>
    </row>
    <row r="11311" spans="1:1" x14ac:dyDescent="0.3">
      <c r="A11311" s="24"/>
    </row>
    <row r="11312" spans="1:1" x14ac:dyDescent="0.3">
      <c r="A11312" s="24"/>
    </row>
    <row r="11313" spans="1:1" x14ac:dyDescent="0.3">
      <c r="A11313" s="24"/>
    </row>
    <row r="11314" spans="1:1" x14ac:dyDescent="0.3">
      <c r="A11314" s="24"/>
    </row>
    <row r="11315" spans="1:1" x14ac:dyDescent="0.3">
      <c r="A11315" s="24"/>
    </row>
    <row r="11316" spans="1:1" x14ac:dyDescent="0.3">
      <c r="A11316" s="24"/>
    </row>
    <row r="11317" spans="1:1" x14ac:dyDescent="0.3">
      <c r="A11317" s="24"/>
    </row>
    <row r="11318" spans="1:1" x14ac:dyDescent="0.3">
      <c r="A11318" s="24"/>
    </row>
    <row r="11319" spans="1:1" x14ac:dyDescent="0.3">
      <c r="A11319" s="24"/>
    </row>
    <row r="11320" spans="1:1" x14ac:dyDescent="0.3">
      <c r="A11320" s="24"/>
    </row>
    <row r="11321" spans="1:1" x14ac:dyDescent="0.3">
      <c r="A11321" s="24"/>
    </row>
    <row r="11322" spans="1:1" x14ac:dyDescent="0.3">
      <c r="A11322" s="24"/>
    </row>
    <row r="11323" spans="1:1" x14ac:dyDescent="0.3">
      <c r="A11323" s="24"/>
    </row>
    <row r="11324" spans="1:1" x14ac:dyDescent="0.3">
      <c r="A11324" s="24"/>
    </row>
    <row r="11325" spans="1:1" x14ac:dyDescent="0.3">
      <c r="A11325" s="24"/>
    </row>
    <row r="11326" spans="1:1" x14ac:dyDescent="0.3">
      <c r="A11326" s="24"/>
    </row>
    <row r="11327" spans="1:1" x14ac:dyDescent="0.3">
      <c r="A11327" s="24"/>
    </row>
    <row r="11328" spans="1:1" x14ac:dyDescent="0.3">
      <c r="A11328" s="24"/>
    </row>
    <row r="11329" spans="1:1" x14ac:dyDescent="0.3">
      <c r="A11329" s="24"/>
    </row>
    <row r="11330" spans="1:1" x14ac:dyDescent="0.3">
      <c r="A11330" s="24"/>
    </row>
    <row r="11331" spans="1:1" x14ac:dyDescent="0.3">
      <c r="A11331" s="24"/>
    </row>
    <row r="11332" spans="1:1" x14ac:dyDescent="0.3">
      <c r="A11332" s="24"/>
    </row>
    <row r="11333" spans="1:1" x14ac:dyDescent="0.3">
      <c r="A11333" s="24"/>
    </row>
    <row r="11334" spans="1:1" x14ac:dyDescent="0.3">
      <c r="A11334" s="24"/>
    </row>
    <row r="11335" spans="1:1" x14ac:dyDescent="0.3">
      <c r="A11335" s="24"/>
    </row>
    <row r="11336" spans="1:1" x14ac:dyDescent="0.3">
      <c r="A11336" s="24"/>
    </row>
    <row r="11337" spans="1:1" x14ac:dyDescent="0.3">
      <c r="A11337" s="24"/>
    </row>
    <row r="11338" spans="1:1" x14ac:dyDescent="0.3">
      <c r="A11338" s="24"/>
    </row>
    <row r="11339" spans="1:1" x14ac:dyDescent="0.3">
      <c r="A11339" s="24"/>
    </row>
    <row r="11340" spans="1:1" x14ac:dyDescent="0.3">
      <c r="A11340" s="24"/>
    </row>
    <row r="11341" spans="1:1" x14ac:dyDescent="0.3">
      <c r="A11341" s="24"/>
    </row>
    <row r="11342" spans="1:1" x14ac:dyDescent="0.3">
      <c r="A11342" s="24"/>
    </row>
    <row r="11343" spans="1:1" x14ac:dyDescent="0.3">
      <c r="A11343" s="24"/>
    </row>
    <row r="11344" spans="1:1" x14ac:dyDescent="0.3">
      <c r="A11344" s="24"/>
    </row>
    <row r="11345" spans="1:1" x14ac:dyDescent="0.3">
      <c r="A11345" s="24"/>
    </row>
    <row r="11346" spans="1:1" x14ac:dyDescent="0.3">
      <c r="A11346" s="24"/>
    </row>
    <row r="11347" spans="1:1" x14ac:dyDescent="0.3">
      <c r="A11347" s="24"/>
    </row>
    <row r="11348" spans="1:1" x14ac:dyDescent="0.3">
      <c r="A11348" s="24"/>
    </row>
    <row r="11349" spans="1:1" x14ac:dyDescent="0.3">
      <c r="A11349" s="24"/>
    </row>
    <row r="11350" spans="1:1" x14ac:dyDescent="0.3">
      <c r="A11350" s="24"/>
    </row>
    <row r="11351" spans="1:1" x14ac:dyDescent="0.3">
      <c r="A11351" s="24"/>
    </row>
    <row r="11352" spans="1:1" x14ac:dyDescent="0.3">
      <c r="A11352" s="24"/>
    </row>
    <row r="11353" spans="1:1" x14ac:dyDescent="0.3">
      <c r="A11353" s="24"/>
    </row>
    <row r="11354" spans="1:1" x14ac:dyDescent="0.3">
      <c r="A11354" s="24"/>
    </row>
    <row r="11355" spans="1:1" x14ac:dyDescent="0.3">
      <c r="A11355" s="24"/>
    </row>
    <row r="11356" spans="1:1" x14ac:dyDescent="0.3">
      <c r="A11356" s="24"/>
    </row>
    <row r="11357" spans="1:1" x14ac:dyDescent="0.3">
      <c r="A11357" s="24"/>
    </row>
    <row r="11358" spans="1:1" x14ac:dyDescent="0.3">
      <c r="A11358" s="24"/>
    </row>
    <row r="11359" spans="1:1" x14ac:dyDescent="0.3">
      <c r="A11359" s="24"/>
    </row>
    <row r="11360" spans="1:1" x14ac:dyDescent="0.3">
      <c r="A11360" s="24"/>
    </row>
    <row r="11361" spans="1:1" x14ac:dyDescent="0.3">
      <c r="A11361" s="24"/>
    </row>
    <row r="11362" spans="1:1" x14ac:dyDescent="0.3">
      <c r="A11362" s="24"/>
    </row>
    <row r="11363" spans="1:1" x14ac:dyDescent="0.3">
      <c r="A11363" s="24"/>
    </row>
    <row r="11364" spans="1:1" x14ac:dyDescent="0.3">
      <c r="A11364" s="24"/>
    </row>
    <row r="11365" spans="1:1" x14ac:dyDescent="0.3">
      <c r="A11365" s="24"/>
    </row>
    <row r="11366" spans="1:1" x14ac:dyDescent="0.3">
      <c r="A11366" s="24"/>
    </row>
    <row r="11367" spans="1:1" x14ac:dyDescent="0.3">
      <c r="A11367" s="24"/>
    </row>
    <row r="11368" spans="1:1" x14ac:dyDescent="0.3">
      <c r="A11368" s="24"/>
    </row>
    <row r="11369" spans="1:1" x14ac:dyDescent="0.3">
      <c r="A11369" s="24"/>
    </row>
    <row r="11370" spans="1:1" x14ac:dyDescent="0.3">
      <c r="A11370" s="24"/>
    </row>
    <row r="11371" spans="1:1" x14ac:dyDescent="0.3">
      <c r="A11371" s="24"/>
    </row>
    <row r="11372" spans="1:1" x14ac:dyDescent="0.3">
      <c r="A11372" s="24"/>
    </row>
    <row r="11373" spans="1:1" x14ac:dyDescent="0.3">
      <c r="A11373" s="24"/>
    </row>
    <row r="11374" spans="1:1" x14ac:dyDescent="0.3">
      <c r="A11374" s="24"/>
    </row>
    <row r="11375" spans="1:1" x14ac:dyDescent="0.3">
      <c r="A11375" s="24"/>
    </row>
    <row r="11376" spans="1:1" x14ac:dyDescent="0.3">
      <c r="A11376" s="24"/>
    </row>
    <row r="11377" spans="1:1" x14ac:dyDescent="0.3">
      <c r="A11377" s="24"/>
    </row>
    <row r="11378" spans="1:1" x14ac:dyDescent="0.3">
      <c r="A11378" s="24"/>
    </row>
    <row r="11379" spans="1:1" x14ac:dyDescent="0.3">
      <c r="A11379" s="24"/>
    </row>
    <row r="11380" spans="1:1" x14ac:dyDescent="0.3">
      <c r="A11380" s="24"/>
    </row>
    <row r="11381" spans="1:1" x14ac:dyDescent="0.3">
      <c r="A11381" s="24"/>
    </row>
    <row r="11382" spans="1:1" x14ac:dyDescent="0.3">
      <c r="A11382" s="24"/>
    </row>
    <row r="11383" spans="1:1" x14ac:dyDescent="0.3">
      <c r="A11383" s="24"/>
    </row>
    <row r="11384" spans="1:1" x14ac:dyDescent="0.3">
      <c r="A11384" s="24"/>
    </row>
    <row r="11385" spans="1:1" x14ac:dyDescent="0.3">
      <c r="A11385" s="24"/>
    </row>
    <row r="11386" spans="1:1" x14ac:dyDescent="0.3">
      <c r="A11386" s="24"/>
    </row>
    <row r="11387" spans="1:1" x14ac:dyDescent="0.3">
      <c r="A11387" s="24"/>
    </row>
    <row r="11388" spans="1:1" x14ac:dyDescent="0.3">
      <c r="A11388" s="24"/>
    </row>
    <row r="11389" spans="1:1" x14ac:dyDescent="0.3">
      <c r="A11389" s="24"/>
    </row>
    <row r="11390" spans="1:1" x14ac:dyDescent="0.3">
      <c r="A11390" s="24"/>
    </row>
    <row r="11391" spans="1:1" x14ac:dyDescent="0.3">
      <c r="A11391" s="24"/>
    </row>
    <row r="11392" spans="1:1" x14ac:dyDescent="0.3">
      <c r="A11392" s="24"/>
    </row>
    <row r="11393" spans="1:1" x14ac:dyDescent="0.3">
      <c r="A11393" s="24"/>
    </row>
    <row r="11394" spans="1:1" x14ac:dyDescent="0.3">
      <c r="A11394" s="24"/>
    </row>
    <row r="11395" spans="1:1" x14ac:dyDescent="0.3">
      <c r="A11395" s="24"/>
    </row>
    <row r="11396" spans="1:1" x14ac:dyDescent="0.3">
      <c r="A11396" s="24"/>
    </row>
    <row r="11397" spans="1:1" x14ac:dyDescent="0.3">
      <c r="A11397" s="24"/>
    </row>
    <row r="11398" spans="1:1" x14ac:dyDescent="0.3">
      <c r="A11398" s="24"/>
    </row>
    <row r="11399" spans="1:1" x14ac:dyDescent="0.3">
      <c r="A11399" s="24"/>
    </row>
    <row r="11400" spans="1:1" x14ac:dyDescent="0.3">
      <c r="A11400" s="24"/>
    </row>
    <row r="11401" spans="1:1" x14ac:dyDescent="0.3">
      <c r="A11401" s="24"/>
    </row>
    <row r="11402" spans="1:1" x14ac:dyDescent="0.3">
      <c r="A11402" s="24"/>
    </row>
    <row r="11403" spans="1:1" x14ac:dyDescent="0.3">
      <c r="A11403" s="24"/>
    </row>
    <row r="11404" spans="1:1" x14ac:dyDescent="0.3">
      <c r="A11404" s="24"/>
    </row>
    <row r="11405" spans="1:1" x14ac:dyDescent="0.3">
      <c r="A11405" s="24"/>
    </row>
    <row r="11406" spans="1:1" x14ac:dyDescent="0.3">
      <c r="A11406" s="24"/>
    </row>
    <row r="11407" spans="1:1" x14ac:dyDescent="0.3">
      <c r="A11407" s="24"/>
    </row>
    <row r="11408" spans="1:1" x14ac:dyDescent="0.3">
      <c r="A11408" s="24"/>
    </row>
    <row r="11409" spans="1:1" x14ac:dyDescent="0.3">
      <c r="A11409" s="24"/>
    </row>
    <row r="11410" spans="1:1" x14ac:dyDescent="0.3">
      <c r="A11410" s="24"/>
    </row>
    <row r="11411" spans="1:1" x14ac:dyDescent="0.3">
      <c r="A11411" s="24"/>
    </row>
    <row r="11412" spans="1:1" x14ac:dyDescent="0.3">
      <c r="A11412" s="24"/>
    </row>
    <row r="11413" spans="1:1" x14ac:dyDescent="0.3">
      <c r="A11413" s="24"/>
    </row>
    <row r="11414" spans="1:1" x14ac:dyDescent="0.3">
      <c r="A11414" s="24"/>
    </row>
    <row r="11415" spans="1:1" x14ac:dyDescent="0.3">
      <c r="A11415" s="24"/>
    </row>
    <row r="11416" spans="1:1" x14ac:dyDescent="0.3">
      <c r="A11416" s="24"/>
    </row>
    <row r="11417" spans="1:1" x14ac:dyDescent="0.3">
      <c r="A11417" s="24"/>
    </row>
    <row r="11418" spans="1:1" x14ac:dyDescent="0.3">
      <c r="A11418" s="24"/>
    </row>
    <row r="11419" spans="1:1" x14ac:dyDescent="0.3">
      <c r="A11419" s="24"/>
    </row>
    <row r="11420" spans="1:1" x14ac:dyDescent="0.3">
      <c r="A11420" s="24"/>
    </row>
    <row r="11421" spans="1:1" x14ac:dyDescent="0.3">
      <c r="A11421" s="24"/>
    </row>
    <row r="11422" spans="1:1" x14ac:dyDescent="0.3">
      <c r="A11422" s="24"/>
    </row>
    <row r="11423" spans="1:1" x14ac:dyDescent="0.3">
      <c r="A11423" s="24"/>
    </row>
    <row r="11424" spans="1:1" x14ac:dyDescent="0.3">
      <c r="A11424" s="24"/>
    </row>
    <row r="11425" spans="1:1" x14ac:dyDescent="0.3">
      <c r="A11425" s="24"/>
    </row>
    <row r="11426" spans="1:1" x14ac:dyDescent="0.3">
      <c r="A11426" s="24"/>
    </row>
    <row r="11427" spans="1:1" x14ac:dyDescent="0.3">
      <c r="A11427" s="24"/>
    </row>
    <row r="11428" spans="1:1" x14ac:dyDescent="0.3">
      <c r="A11428" s="24"/>
    </row>
    <row r="11429" spans="1:1" x14ac:dyDescent="0.3">
      <c r="A11429" s="24"/>
    </row>
    <row r="11430" spans="1:1" x14ac:dyDescent="0.3">
      <c r="A11430" s="24"/>
    </row>
    <row r="11431" spans="1:1" x14ac:dyDescent="0.3">
      <c r="A11431" s="24"/>
    </row>
    <row r="11432" spans="1:1" x14ac:dyDescent="0.3">
      <c r="A11432" s="24"/>
    </row>
    <row r="11433" spans="1:1" x14ac:dyDescent="0.3">
      <c r="A11433" s="24"/>
    </row>
    <row r="11434" spans="1:1" x14ac:dyDescent="0.3">
      <c r="A11434" s="24"/>
    </row>
    <row r="11435" spans="1:1" x14ac:dyDescent="0.3">
      <c r="A11435" s="24"/>
    </row>
    <row r="11436" spans="1:1" x14ac:dyDescent="0.3">
      <c r="A11436" s="24"/>
    </row>
    <row r="11437" spans="1:1" x14ac:dyDescent="0.3">
      <c r="A11437" s="24"/>
    </row>
    <row r="11438" spans="1:1" x14ac:dyDescent="0.3">
      <c r="A11438" s="24"/>
    </row>
    <row r="11439" spans="1:1" x14ac:dyDescent="0.3">
      <c r="A11439" s="24"/>
    </row>
    <row r="11440" spans="1:1" x14ac:dyDescent="0.3">
      <c r="A11440" s="24"/>
    </row>
    <row r="11441" spans="1:1" x14ac:dyDescent="0.3">
      <c r="A11441" s="24"/>
    </row>
    <row r="11442" spans="1:1" x14ac:dyDescent="0.3">
      <c r="A11442" s="24"/>
    </row>
    <row r="11443" spans="1:1" x14ac:dyDescent="0.3">
      <c r="A11443" s="24"/>
    </row>
    <row r="11444" spans="1:1" x14ac:dyDescent="0.3">
      <c r="A11444" s="24"/>
    </row>
    <row r="11445" spans="1:1" x14ac:dyDescent="0.3">
      <c r="A11445" s="24"/>
    </row>
    <row r="11446" spans="1:1" x14ac:dyDescent="0.3">
      <c r="A11446" s="24"/>
    </row>
    <row r="11447" spans="1:1" x14ac:dyDescent="0.3">
      <c r="A11447" s="24"/>
    </row>
    <row r="11448" spans="1:1" x14ac:dyDescent="0.3">
      <c r="A11448" s="24"/>
    </row>
    <row r="11449" spans="1:1" x14ac:dyDescent="0.3">
      <c r="A11449" s="24"/>
    </row>
    <row r="11450" spans="1:1" x14ac:dyDescent="0.3">
      <c r="A11450" s="24"/>
    </row>
    <row r="11451" spans="1:1" x14ac:dyDescent="0.3">
      <c r="A11451" s="24"/>
    </row>
    <row r="11452" spans="1:1" x14ac:dyDescent="0.3">
      <c r="A11452" s="24"/>
    </row>
    <row r="11453" spans="1:1" x14ac:dyDescent="0.3">
      <c r="A11453" s="24"/>
    </row>
    <row r="11454" spans="1:1" x14ac:dyDescent="0.3">
      <c r="A11454" s="24"/>
    </row>
    <row r="11455" spans="1:1" x14ac:dyDescent="0.3">
      <c r="A11455" s="24"/>
    </row>
    <row r="11456" spans="1:1" x14ac:dyDescent="0.3">
      <c r="A11456" s="24"/>
    </row>
    <row r="11457" spans="1:1" x14ac:dyDescent="0.3">
      <c r="A11457" s="24"/>
    </row>
    <row r="11458" spans="1:1" x14ac:dyDescent="0.3">
      <c r="A11458" s="24"/>
    </row>
    <row r="11459" spans="1:1" x14ac:dyDescent="0.3">
      <c r="A11459" s="24"/>
    </row>
    <row r="11460" spans="1:1" x14ac:dyDescent="0.3">
      <c r="A11460" s="24"/>
    </row>
    <row r="11461" spans="1:1" x14ac:dyDescent="0.3">
      <c r="A11461" s="24"/>
    </row>
    <row r="11462" spans="1:1" x14ac:dyDescent="0.3">
      <c r="A11462" s="24"/>
    </row>
    <row r="11463" spans="1:1" x14ac:dyDescent="0.3">
      <c r="A11463" s="24"/>
    </row>
    <row r="11464" spans="1:1" x14ac:dyDescent="0.3">
      <c r="A11464" s="24"/>
    </row>
    <row r="11465" spans="1:1" x14ac:dyDescent="0.3">
      <c r="A11465" s="24"/>
    </row>
    <row r="11466" spans="1:1" x14ac:dyDescent="0.3">
      <c r="A11466" s="24"/>
    </row>
    <row r="11467" spans="1:1" x14ac:dyDescent="0.3">
      <c r="A11467" s="24"/>
    </row>
    <row r="11468" spans="1:1" x14ac:dyDescent="0.3">
      <c r="A11468" s="24"/>
    </row>
    <row r="11469" spans="1:1" x14ac:dyDescent="0.3">
      <c r="A11469" s="24"/>
    </row>
    <row r="11470" spans="1:1" x14ac:dyDescent="0.3">
      <c r="A11470" s="24"/>
    </row>
    <row r="11471" spans="1:1" x14ac:dyDescent="0.3">
      <c r="A11471" s="24"/>
    </row>
    <row r="11472" spans="1:1" x14ac:dyDescent="0.3">
      <c r="A11472" s="24"/>
    </row>
    <row r="11473" spans="1:1" x14ac:dyDescent="0.3">
      <c r="A11473" s="24"/>
    </row>
    <row r="11474" spans="1:1" x14ac:dyDescent="0.3">
      <c r="A11474" s="24"/>
    </row>
    <row r="11475" spans="1:1" x14ac:dyDescent="0.3">
      <c r="A11475" s="24"/>
    </row>
    <row r="11476" spans="1:1" x14ac:dyDescent="0.3">
      <c r="A11476" s="24"/>
    </row>
    <row r="11477" spans="1:1" x14ac:dyDescent="0.3">
      <c r="A11477" s="24"/>
    </row>
    <row r="11478" spans="1:1" x14ac:dyDescent="0.3">
      <c r="A11478" s="24"/>
    </row>
    <row r="11479" spans="1:1" x14ac:dyDescent="0.3">
      <c r="A11479" s="24"/>
    </row>
    <row r="11480" spans="1:1" x14ac:dyDescent="0.3">
      <c r="A11480" s="24"/>
    </row>
    <row r="11481" spans="1:1" x14ac:dyDescent="0.3">
      <c r="A11481" s="24"/>
    </row>
    <row r="11482" spans="1:1" x14ac:dyDescent="0.3">
      <c r="A11482" s="24"/>
    </row>
    <row r="11483" spans="1:1" x14ac:dyDescent="0.3">
      <c r="A11483" s="24"/>
    </row>
    <row r="11484" spans="1:1" x14ac:dyDescent="0.3">
      <c r="A11484" s="24"/>
    </row>
    <row r="11485" spans="1:1" x14ac:dyDescent="0.3">
      <c r="A11485" s="24"/>
    </row>
    <row r="11486" spans="1:1" x14ac:dyDescent="0.3">
      <c r="A11486" s="24"/>
    </row>
    <row r="11487" spans="1:1" x14ac:dyDescent="0.3">
      <c r="A11487" s="24"/>
    </row>
    <row r="11488" spans="1:1" x14ac:dyDescent="0.3">
      <c r="A11488" s="24"/>
    </row>
    <row r="11489" spans="1:1" x14ac:dyDescent="0.3">
      <c r="A11489" s="24"/>
    </row>
    <row r="11490" spans="1:1" x14ac:dyDescent="0.3">
      <c r="A11490" s="24"/>
    </row>
    <row r="11491" spans="1:1" x14ac:dyDescent="0.3">
      <c r="A11491" s="24"/>
    </row>
    <row r="11492" spans="1:1" x14ac:dyDescent="0.3">
      <c r="A11492" s="24"/>
    </row>
    <row r="11493" spans="1:1" x14ac:dyDescent="0.3">
      <c r="A11493" s="24"/>
    </row>
    <row r="11494" spans="1:1" x14ac:dyDescent="0.3">
      <c r="A11494" s="24"/>
    </row>
    <row r="11495" spans="1:1" x14ac:dyDescent="0.3">
      <c r="A11495" s="24"/>
    </row>
    <row r="11496" spans="1:1" x14ac:dyDescent="0.3">
      <c r="A11496" s="24"/>
    </row>
    <row r="11497" spans="1:1" x14ac:dyDescent="0.3">
      <c r="A11497" s="24"/>
    </row>
    <row r="11498" spans="1:1" x14ac:dyDescent="0.3">
      <c r="A11498" s="24"/>
    </row>
    <row r="11499" spans="1:1" x14ac:dyDescent="0.3">
      <c r="A11499" s="24"/>
    </row>
    <row r="11500" spans="1:1" x14ac:dyDescent="0.3">
      <c r="A11500" s="24"/>
    </row>
    <row r="11501" spans="1:1" x14ac:dyDescent="0.3">
      <c r="A11501" s="24"/>
    </row>
    <row r="11502" spans="1:1" x14ac:dyDescent="0.3">
      <c r="A11502" s="24"/>
    </row>
    <row r="11503" spans="1:1" x14ac:dyDescent="0.3">
      <c r="A11503" s="24"/>
    </row>
    <row r="11504" spans="1:1" x14ac:dyDescent="0.3">
      <c r="A11504" s="24"/>
    </row>
    <row r="11505" spans="1:1" x14ac:dyDescent="0.3">
      <c r="A11505" s="24"/>
    </row>
    <row r="11506" spans="1:1" x14ac:dyDescent="0.3">
      <c r="A11506" s="24"/>
    </row>
    <row r="11507" spans="1:1" x14ac:dyDescent="0.3">
      <c r="A11507" s="24"/>
    </row>
    <row r="11508" spans="1:1" x14ac:dyDescent="0.3">
      <c r="A11508" s="24"/>
    </row>
    <row r="11509" spans="1:1" x14ac:dyDescent="0.3">
      <c r="A11509" s="24"/>
    </row>
    <row r="11510" spans="1:1" x14ac:dyDescent="0.3">
      <c r="A11510" s="24"/>
    </row>
    <row r="11511" spans="1:1" x14ac:dyDescent="0.3">
      <c r="A11511" s="24"/>
    </row>
    <row r="11512" spans="1:1" x14ac:dyDescent="0.3">
      <c r="A11512" s="24"/>
    </row>
    <row r="11513" spans="1:1" x14ac:dyDescent="0.3">
      <c r="A11513" s="24"/>
    </row>
    <row r="11514" spans="1:1" x14ac:dyDescent="0.3">
      <c r="A11514" s="24"/>
    </row>
    <row r="11515" spans="1:1" x14ac:dyDescent="0.3">
      <c r="A11515" s="24"/>
    </row>
    <row r="11516" spans="1:1" x14ac:dyDescent="0.3">
      <c r="A11516" s="24"/>
    </row>
    <row r="11517" spans="1:1" x14ac:dyDescent="0.3">
      <c r="A11517" s="24"/>
    </row>
    <row r="11518" spans="1:1" x14ac:dyDescent="0.3">
      <c r="A11518" s="24"/>
    </row>
    <row r="11519" spans="1:1" x14ac:dyDescent="0.3">
      <c r="A11519" s="24"/>
    </row>
    <row r="11520" spans="1:1" x14ac:dyDescent="0.3">
      <c r="A11520" s="24"/>
    </row>
    <row r="11521" spans="1:9" x14ac:dyDescent="0.3">
      <c r="A11521" s="24"/>
    </row>
    <row r="11522" spans="1:9" x14ac:dyDescent="0.3">
      <c r="A11522" s="24"/>
      <c r="I11522" s="24"/>
    </row>
    <row r="11523" spans="1:9" x14ac:dyDescent="0.3">
      <c r="A11523" s="24"/>
      <c r="I11523" s="24"/>
    </row>
    <row r="11524" spans="1:9" x14ac:dyDescent="0.3">
      <c r="A11524" s="24"/>
      <c r="I11524" s="24"/>
    </row>
    <row r="11525" spans="1:9" x14ac:dyDescent="0.3">
      <c r="A11525" s="24"/>
      <c r="I11525" s="24"/>
    </row>
    <row r="11526" spans="1:9" x14ac:dyDescent="0.3">
      <c r="A11526" s="24"/>
      <c r="I11526" s="24"/>
    </row>
    <row r="11527" spans="1:9" x14ac:dyDescent="0.3">
      <c r="A11527" s="24"/>
      <c r="I11527" s="24"/>
    </row>
    <row r="11528" spans="1:9" x14ac:dyDescent="0.3">
      <c r="A11528" s="24"/>
      <c r="I11528" s="24"/>
    </row>
    <row r="11529" spans="1:9" x14ac:dyDescent="0.3">
      <c r="A11529" s="24"/>
      <c r="I11529" s="24"/>
    </row>
    <row r="11530" spans="1:9" x14ac:dyDescent="0.3">
      <c r="A11530" s="24"/>
      <c r="I11530" s="24"/>
    </row>
    <row r="11531" spans="1:9" x14ac:dyDescent="0.3">
      <c r="A11531" s="24"/>
      <c r="I11531" s="24"/>
    </row>
    <row r="11532" spans="1:9" x14ac:dyDescent="0.3">
      <c r="A11532" s="24"/>
      <c r="I11532" s="24"/>
    </row>
    <row r="11533" spans="1:9" x14ac:dyDescent="0.3">
      <c r="A11533" s="24"/>
      <c r="I11533" s="24"/>
    </row>
    <row r="11534" spans="1:9" x14ac:dyDescent="0.3">
      <c r="A11534" s="24"/>
      <c r="I11534" s="24"/>
    </row>
    <row r="11535" spans="1:9" x14ac:dyDescent="0.3">
      <c r="A11535" s="24"/>
      <c r="I11535" s="24"/>
    </row>
    <row r="11536" spans="1:9" x14ac:dyDescent="0.3">
      <c r="A11536" s="24"/>
      <c r="I11536" s="24"/>
    </row>
    <row r="11537" spans="1:9" x14ac:dyDescent="0.3">
      <c r="A11537" s="24"/>
      <c r="I11537" s="24"/>
    </row>
    <row r="11538" spans="1:9" x14ac:dyDescent="0.3">
      <c r="A11538" s="24"/>
      <c r="I11538" s="24"/>
    </row>
    <row r="11539" spans="1:9" x14ac:dyDescent="0.3">
      <c r="A11539" s="24"/>
      <c r="I11539" s="24"/>
    </row>
    <row r="11540" spans="1:9" x14ac:dyDescent="0.3">
      <c r="A11540" s="24"/>
      <c r="I11540" s="24"/>
    </row>
    <row r="11541" spans="1:9" x14ac:dyDescent="0.3">
      <c r="A11541" s="24"/>
      <c r="I11541" s="24"/>
    </row>
    <row r="11542" spans="1:9" x14ac:dyDescent="0.3">
      <c r="A11542" s="24"/>
      <c r="I11542" s="24"/>
    </row>
    <row r="11543" spans="1:9" x14ac:dyDescent="0.3">
      <c r="A11543" s="24"/>
      <c r="I11543" s="24"/>
    </row>
    <row r="11544" spans="1:9" x14ac:dyDescent="0.3">
      <c r="A11544" s="24"/>
      <c r="I11544" s="24"/>
    </row>
    <row r="11545" spans="1:9" x14ac:dyDescent="0.3">
      <c r="A11545" s="24"/>
      <c r="I11545" s="24"/>
    </row>
    <row r="11546" spans="1:9" x14ac:dyDescent="0.3">
      <c r="A11546" s="24"/>
      <c r="I11546" s="24"/>
    </row>
    <row r="11547" spans="1:9" x14ac:dyDescent="0.3">
      <c r="A11547" s="24"/>
      <c r="I11547" s="24"/>
    </row>
    <row r="11548" spans="1:9" x14ac:dyDescent="0.3">
      <c r="A11548" s="24"/>
      <c r="I11548" s="24"/>
    </row>
    <row r="11549" spans="1:9" x14ac:dyDescent="0.3">
      <c r="A11549" s="24"/>
      <c r="I11549" s="24"/>
    </row>
    <row r="11550" spans="1:9" x14ac:dyDescent="0.3">
      <c r="A11550" s="24"/>
      <c r="I11550" s="24"/>
    </row>
    <row r="11551" spans="1:9" x14ac:dyDescent="0.3">
      <c r="A11551" s="24"/>
      <c r="I11551" s="24"/>
    </row>
    <row r="11552" spans="1:9" x14ac:dyDescent="0.3">
      <c r="A11552" s="24"/>
      <c r="I11552" s="24"/>
    </row>
    <row r="11553" spans="1:9" x14ac:dyDescent="0.3">
      <c r="A11553" s="24"/>
      <c r="I11553" s="24"/>
    </row>
    <row r="11554" spans="1:9" x14ac:dyDescent="0.3">
      <c r="A11554" s="24"/>
      <c r="I11554" s="24"/>
    </row>
    <row r="11555" spans="1:9" x14ac:dyDescent="0.3">
      <c r="A11555" s="24"/>
      <c r="I11555" s="24"/>
    </row>
    <row r="11556" spans="1:9" x14ac:dyDescent="0.3">
      <c r="A11556" s="24"/>
      <c r="I11556" s="24"/>
    </row>
    <row r="11557" spans="1:9" x14ac:dyDescent="0.3">
      <c r="A11557" s="24"/>
      <c r="I11557" s="24"/>
    </row>
    <row r="11558" spans="1:9" x14ac:dyDescent="0.3">
      <c r="A11558" s="24"/>
      <c r="I11558" s="24"/>
    </row>
    <row r="11559" spans="1:9" x14ac:dyDescent="0.3">
      <c r="A11559" s="24"/>
      <c r="I11559" s="24"/>
    </row>
    <row r="11560" spans="1:9" x14ac:dyDescent="0.3">
      <c r="A11560" s="24"/>
      <c r="I11560" s="24"/>
    </row>
    <row r="11561" spans="1:9" x14ac:dyDescent="0.3">
      <c r="A11561" s="24"/>
      <c r="I11561" s="24"/>
    </row>
    <row r="11562" spans="1:9" x14ac:dyDescent="0.3">
      <c r="A11562" s="24"/>
      <c r="I11562" s="24"/>
    </row>
    <row r="11563" spans="1:9" x14ac:dyDescent="0.3">
      <c r="A11563" s="24"/>
      <c r="I11563" s="24"/>
    </row>
    <row r="11564" spans="1:9" x14ac:dyDescent="0.3">
      <c r="A11564" s="24"/>
      <c r="I11564" s="24"/>
    </row>
    <row r="11565" spans="1:9" x14ac:dyDescent="0.3">
      <c r="A11565" s="24"/>
      <c r="I11565" s="24"/>
    </row>
    <row r="11566" spans="1:9" x14ac:dyDescent="0.3">
      <c r="A11566" s="24"/>
      <c r="I11566" s="24"/>
    </row>
    <row r="11567" spans="1:9" x14ac:dyDescent="0.3">
      <c r="A11567" s="24"/>
      <c r="I11567" s="24"/>
    </row>
    <row r="11568" spans="1:9" x14ac:dyDescent="0.3">
      <c r="A11568" s="24"/>
      <c r="I11568" s="24"/>
    </row>
    <row r="11569" spans="1:9" x14ac:dyDescent="0.3">
      <c r="A11569" s="24"/>
      <c r="I11569" s="24"/>
    </row>
    <row r="11570" spans="1:9" x14ac:dyDescent="0.3">
      <c r="A11570" s="24"/>
      <c r="I11570" s="24"/>
    </row>
    <row r="11571" spans="1:9" x14ac:dyDescent="0.3">
      <c r="A11571" s="24"/>
      <c r="I11571" s="24"/>
    </row>
    <row r="11572" spans="1:9" x14ac:dyDescent="0.3">
      <c r="A11572" s="24"/>
      <c r="I11572" s="24"/>
    </row>
    <row r="11573" spans="1:9" x14ac:dyDescent="0.3">
      <c r="A11573" s="24"/>
      <c r="I11573" s="24"/>
    </row>
    <row r="11574" spans="1:9" x14ac:dyDescent="0.3">
      <c r="A11574" s="24"/>
      <c r="I11574" s="24"/>
    </row>
    <row r="11575" spans="1:9" x14ac:dyDescent="0.3">
      <c r="A11575" s="24"/>
      <c r="I11575" s="24"/>
    </row>
    <row r="11576" spans="1:9" x14ac:dyDescent="0.3">
      <c r="A11576" s="24"/>
      <c r="I11576" s="24"/>
    </row>
    <row r="11577" spans="1:9" x14ac:dyDescent="0.3">
      <c r="A11577" s="24"/>
      <c r="I11577" s="24"/>
    </row>
    <row r="11578" spans="1:9" x14ac:dyDescent="0.3">
      <c r="A11578" s="24"/>
      <c r="I11578" s="24"/>
    </row>
    <row r="11579" spans="1:9" x14ac:dyDescent="0.3">
      <c r="A11579" s="24"/>
      <c r="I11579" s="24"/>
    </row>
    <row r="11580" spans="1:9" x14ac:dyDescent="0.3">
      <c r="A11580" s="24"/>
      <c r="I11580" s="24"/>
    </row>
    <row r="11581" spans="1:9" x14ac:dyDescent="0.3">
      <c r="A11581" s="24"/>
      <c r="I11581" s="24"/>
    </row>
    <row r="11582" spans="1:9" x14ac:dyDescent="0.3">
      <c r="A11582" s="24"/>
      <c r="I11582" s="24"/>
    </row>
    <row r="11583" spans="1:9" x14ac:dyDescent="0.3">
      <c r="A11583" s="24"/>
      <c r="I11583" s="24"/>
    </row>
    <row r="11584" spans="1:9" x14ac:dyDescent="0.3">
      <c r="A11584" s="24"/>
      <c r="I11584" s="24"/>
    </row>
    <row r="11585" spans="1:9" x14ac:dyDescent="0.3">
      <c r="A11585" s="24"/>
      <c r="I11585" s="24"/>
    </row>
    <row r="11586" spans="1:9" x14ac:dyDescent="0.3">
      <c r="A11586" s="24"/>
      <c r="I11586" s="24"/>
    </row>
    <row r="11587" spans="1:9" x14ac:dyDescent="0.3">
      <c r="A11587" s="24"/>
      <c r="I11587" s="24"/>
    </row>
    <row r="11588" spans="1:9" x14ac:dyDescent="0.3">
      <c r="A11588" s="24"/>
      <c r="I11588" s="24"/>
    </row>
    <row r="11589" spans="1:9" x14ac:dyDescent="0.3">
      <c r="A11589" s="24"/>
      <c r="I11589" s="24"/>
    </row>
    <row r="11590" spans="1:9" x14ac:dyDescent="0.3">
      <c r="A11590" s="24"/>
      <c r="I11590" s="24"/>
    </row>
    <row r="11591" spans="1:9" x14ac:dyDescent="0.3">
      <c r="A11591" s="24"/>
      <c r="I11591" s="24"/>
    </row>
    <row r="11592" spans="1:9" x14ac:dyDescent="0.3">
      <c r="A11592" s="24"/>
      <c r="I11592" s="24"/>
    </row>
    <row r="11593" spans="1:9" x14ac:dyDescent="0.3">
      <c r="A11593" s="24"/>
      <c r="I11593" s="24"/>
    </row>
    <row r="11594" spans="1:9" x14ac:dyDescent="0.3">
      <c r="A11594" s="24"/>
      <c r="I11594" s="24"/>
    </row>
    <row r="11595" spans="1:9" x14ac:dyDescent="0.3">
      <c r="A11595" s="24"/>
      <c r="I11595" s="24"/>
    </row>
    <row r="11596" spans="1:9" x14ac:dyDescent="0.3">
      <c r="A11596" s="24"/>
      <c r="I11596" s="24"/>
    </row>
    <row r="11597" spans="1:9" x14ac:dyDescent="0.3">
      <c r="A11597" s="24"/>
      <c r="I11597" s="24"/>
    </row>
    <row r="11598" spans="1:9" x14ac:dyDescent="0.3">
      <c r="A11598" s="24"/>
      <c r="I11598" s="24"/>
    </row>
    <row r="11599" spans="1:9" x14ac:dyDescent="0.3">
      <c r="A11599" s="24"/>
      <c r="I11599" s="24"/>
    </row>
    <row r="11600" spans="1:9" x14ac:dyDescent="0.3">
      <c r="A11600" s="24"/>
      <c r="I11600" s="24"/>
    </row>
    <row r="11601" spans="1:9" x14ac:dyDescent="0.3">
      <c r="A11601" s="24"/>
      <c r="I11601" s="24"/>
    </row>
    <row r="11602" spans="1:9" x14ac:dyDescent="0.3">
      <c r="A11602" s="24"/>
      <c r="I11602" s="24"/>
    </row>
    <row r="11603" spans="1:9" x14ac:dyDescent="0.3">
      <c r="A11603" s="24"/>
      <c r="I11603" s="24"/>
    </row>
    <row r="11604" spans="1:9" x14ac:dyDescent="0.3">
      <c r="A11604" s="24"/>
      <c r="I11604" s="24"/>
    </row>
    <row r="11605" spans="1:9" x14ac:dyDescent="0.3">
      <c r="A11605" s="24"/>
      <c r="I11605" s="24"/>
    </row>
    <row r="11606" spans="1:9" x14ac:dyDescent="0.3">
      <c r="A11606" s="24"/>
      <c r="I11606" s="24"/>
    </row>
    <row r="11607" spans="1:9" x14ac:dyDescent="0.3">
      <c r="A11607" s="24"/>
      <c r="I11607" s="24"/>
    </row>
    <row r="11608" spans="1:9" x14ac:dyDescent="0.3">
      <c r="A11608" s="24"/>
      <c r="I11608" s="24"/>
    </row>
    <row r="11609" spans="1:9" x14ac:dyDescent="0.3">
      <c r="A11609" s="24"/>
      <c r="I11609" s="24"/>
    </row>
    <row r="11610" spans="1:9" x14ac:dyDescent="0.3">
      <c r="A11610" s="24"/>
      <c r="I11610" s="24"/>
    </row>
    <row r="11611" spans="1:9" x14ac:dyDescent="0.3">
      <c r="A11611" s="24"/>
      <c r="I11611" s="24"/>
    </row>
    <row r="11612" spans="1:9" x14ac:dyDescent="0.3">
      <c r="A11612" s="24"/>
      <c r="I11612" s="24"/>
    </row>
    <row r="11613" spans="1:9" x14ac:dyDescent="0.3">
      <c r="A11613" s="24"/>
      <c r="I11613" s="24"/>
    </row>
    <row r="11614" spans="1:9" x14ac:dyDescent="0.3">
      <c r="A11614" s="24"/>
      <c r="I11614" s="24"/>
    </row>
    <row r="11615" spans="1:9" x14ac:dyDescent="0.3">
      <c r="A11615" s="24"/>
      <c r="I11615" s="24"/>
    </row>
    <row r="11616" spans="1:9" x14ac:dyDescent="0.3">
      <c r="A11616" s="24"/>
      <c r="I11616" s="24"/>
    </row>
    <row r="11617" spans="1:9" x14ac:dyDescent="0.3">
      <c r="A11617" s="24"/>
      <c r="I11617" s="24"/>
    </row>
    <row r="11618" spans="1:9" x14ac:dyDescent="0.3">
      <c r="A11618" s="24"/>
      <c r="I11618" s="24"/>
    </row>
    <row r="11619" spans="1:9" x14ac:dyDescent="0.3">
      <c r="A11619" s="24"/>
      <c r="I11619" s="24"/>
    </row>
    <row r="11620" spans="1:9" x14ac:dyDescent="0.3">
      <c r="A11620" s="24"/>
      <c r="I11620" s="24"/>
    </row>
    <row r="11621" spans="1:9" x14ac:dyDescent="0.3">
      <c r="A11621" s="24"/>
      <c r="I11621" s="24"/>
    </row>
    <row r="11622" spans="1:9" x14ac:dyDescent="0.3">
      <c r="A11622" s="24"/>
      <c r="I11622" s="24"/>
    </row>
    <row r="11623" spans="1:9" x14ac:dyDescent="0.3">
      <c r="A11623" s="24"/>
      <c r="I11623" s="24"/>
    </row>
    <row r="11624" spans="1:9" x14ac:dyDescent="0.3">
      <c r="A11624" s="24"/>
      <c r="I11624" s="24"/>
    </row>
    <row r="11625" spans="1:9" x14ac:dyDescent="0.3">
      <c r="A11625" s="24"/>
      <c r="I11625" s="24"/>
    </row>
    <row r="11626" spans="1:9" x14ac:dyDescent="0.3">
      <c r="A11626" s="24"/>
      <c r="I11626" s="24"/>
    </row>
    <row r="11627" spans="1:9" x14ac:dyDescent="0.3">
      <c r="A11627" s="24"/>
      <c r="I11627" s="24"/>
    </row>
    <row r="11628" spans="1:9" x14ac:dyDescent="0.3">
      <c r="A11628" s="24"/>
      <c r="I11628" s="24"/>
    </row>
    <row r="11629" spans="1:9" x14ac:dyDescent="0.3">
      <c r="A11629" s="24"/>
      <c r="I11629" s="24"/>
    </row>
    <row r="11630" spans="1:9" x14ac:dyDescent="0.3">
      <c r="A11630" s="24"/>
      <c r="I11630" s="24"/>
    </row>
    <row r="11631" spans="1:9" x14ac:dyDescent="0.3">
      <c r="A11631" s="24"/>
      <c r="I11631" s="24"/>
    </row>
    <row r="11632" spans="1:9" x14ac:dyDescent="0.3">
      <c r="A11632" s="24"/>
      <c r="I11632" s="24"/>
    </row>
    <row r="11633" spans="1:9" x14ac:dyDescent="0.3">
      <c r="A11633" s="24"/>
      <c r="I11633" s="24"/>
    </row>
    <row r="11634" spans="1:9" x14ac:dyDescent="0.3">
      <c r="A11634" s="24"/>
      <c r="I11634" s="24"/>
    </row>
    <row r="11635" spans="1:9" x14ac:dyDescent="0.3">
      <c r="A11635" s="24"/>
      <c r="I11635" s="24"/>
    </row>
    <row r="11636" spans="1:9" x14ac:dyDescent="0.3">
      <c r="A11636" s="24"/>
      <c r="I11636" s="24"/>
    </row>
    <row r="11637" spans="1:9" x14ac:dyDescent="0.3">
      <c r="A11637" s="24"/>
      <c r="I11637" s="24"/>
    </row>
    <row r="11638" spans="1:9" x14ac:dyDescent="0.3">
      <c r="A11638" s="24"/>
      <c r="I11638" s="24"/>
    </row>
    <row r="11639" spans="1:9" x14ac:dyDescent="0.3">
      <c r="A11639" s="24"/>
      <c r="I11639" s="24"/>
    </row>
    <row r="11640" spans="1:9" x14ac:dyDescent="0.3">
      <c r="A11640" s="24"/>
      <c r="I11640" s="24"/>
    </row>
    <row r="11641" spans="1:9" x14ac:dyDescent="0.3">
      <c r="A11641" s="24"/>
      <c r="I11641" s="24"/>
    </row>
    <row r="11642" spans="1:9" x14ac:dyDescent="0.3">
      <c r="A11642" s="24"/>
      <c r="I11642" s="24"/>
    </row>
    <row r="11643" spans="1:9" x14ac:dyDescent="0.3">
      <c r="A11643" s="24"/>
      <c r="I11643" s="24"/>
    </row>
    <row r="11644" spans="1:9" x14ac:dyDescent="0.3">
      <c r="A11644" s="24"/>
      <c r="I11644" s="24"/>
    </row>
    <row r="11645" spans="1:9" x14ac:dyDescent="0.3">
      <c r="A11645" s="24"/>
      <c r="I11645" s="24"/>
    </row>
    <row r="11646" spans="1:9" x14ac:dyDescent="0.3">
      <c r="A11646" s="24"/>
      <c r="I11646" s="24"/>
    </row>
    <row r="11647" spans="1:9" x14ac:dyDescent="0.3">
      <c r="A11647" s="24"/>
      <c r="I11647" s="24"/>
    </row>
    <row r="11648" spans="1:9" x14ac:dyDescent="0.3">
      <c r="A11648" s="24"/>
      <c r="I11648" s="24"/>
    </row>
    <row r="11649" spans="1:9" x14ac:dyDescent="0.3">
      <c r="A11649" s="24"/>
      <c r="I11649" s="24"/>
    </row>
    <row r="11650" spans="1:9" x14ac:dyDescent="0.3">
      <c r="A11650" s="24"/>
      <c r="I11650" s="24"/>
    </row>
    <row r="11651" spans="1:9" x14ac:dyDescent="0.3">
      <c r="A11651" s="24"/>
      <c r="I11651" s="24"/>
    </row>
    <row r="11652" spans="1:9" x14ac:dyDescent="0.3">
      <c r="A11652" s="24"/>
      <c r="I11652" s="24"/>
    </row>
    <row r="11653" spans="1:9" x14ac:dyDescent="0.3">
      <c r="A11653" s="24"/>
      <c r="I11653" s="24"/>
    </row>
    <row r="11654" spans="1:9" x14ac:dyDescent="0.3">
      <c r="A11654" s="24"/>
      <c r="I11654" s="24"/>
    </row>
    <row r="11655" spans="1:9" x14ac:dyDescent="0.3">
      <c r="A11655" s="24"/>
      <c r="I11655" s="24"/>
    </row>
    <row r="11656" spans="1:9" x14ac:dyDescent="0.3">
      <c r="A11656" s="24"/>
      <c r="I11656" s="24"/>
    </row>
    <row r="11657" spans="1:9" x14ac:dyDescent="0.3">
      <c r="A11657" s="24"/>
      <c r="I11657" s="24"/>
    </row>
    <row r="11658" spans="1:9" x14ac:dyDescent="0.3">
      <c r="A11658" s="24"/>
      <c r="I11658" s="24"/>
    </row>
    <row r="11659" spans="1:9" x14ac:dyDescent="0.3">
      <c r="A11659" s="24"/>
      <c r="I11659" s="24"/>
    </row>
    <row r="11660" spans="1:9" x14ac:dyDescent="0.3">
      <c r="A11660" s="24"/>
      <c r="I11660" s="24"/>
    </row>
    <row r="11661" spans="1:9" x14ac:dyDescent="0.3">
      <c r="A11661" s="24"/>
      <c r="I11661" s="24"/>
    </row>
    <row r="11662" spans="1:9" x14ac:dyDescent="0.3">
      <c r="A11662" s="24"/>
      <c r="I11662" s="24"/>
    </row>
    <row r="11663" spans="1:9" x14ac:dyDescent="0.3">
      <c r="A11663" s="24"/>
      <c r="I11663" s="24"/>
    </row>
    <row r="11664" spans="1:9" x14ac:dyDescent="0.3">
      <c r="A11664" s="24"/>
      <c r="I11664" s="24"/>
    </row>
    <row r="11665" spans="1:9" x14ac:dyDescent="0.3">
      <c r="A11665" s="24"/>
      <c r="I11665" s="24"/>
    </row>
    <row r="11666" spans="1:9" x14ac:dyDescent="0.3">
      <c r="A11666" s="24"/>
      <c r="I11666" s="24"/>
    </row>
    <row r="11667" spans="1:9" x14ac:dyDescent="0.3">
      <c r="A11667" s="24"/>
      <c r="I11667" s="24"/>
    </row>
    <row r="11668" spans="1:9" x14ac:dyDescent="0.3">
      <c r="A11668" s="24"/>
      <c r="I11668" s="24"/>
    </row>
    <row r="11669" spans="1:9" x14ac:dyDescent="0.3">
      <c r="A11669" s="24"/>
      <c r="I11669" s="24"/>
    </row>
    <row r="11670" spans="1:9" x14ac:dyDescent="0.3">
      <c r="A11670" s="24"/>
      <c r="I11670" s="24"/>
    </row>
    <row r="11671" spans="1:9" x14ac:dyDescent="0.3">
      <c r="A11671" s="24"/>
      <c r="I11671" s="24"/>
    </row>
    <row r="11672" spans="1:9" x14ac:dyDescent="0.3">
      <c r="A11672" s="24"/>
      <c r="I11672" s="24"/>
    </row>
    <row r="11673" spans="1:9" x14ac:dyDescent="0.3">
      <c r="A11673" s="24"/>
      <c r="I11673" s="24"/>
    </row>
    <row r="11674" spans="1:9" x14ac:dyDescent="0.3">
      <c r="A11674" s="24"/>
      <c r="I11674" s="24"/>
    </row>
    <row r="11675" spans="1:9" x14ac:dyDescent="0.3">
      <c r="A11675" s="24"/>
      <c r="I11675" s="24"/>
    </row>
    <row r="11676" spans="1:9" x14ac:dyDescent="0.3">
      <c r="A11676" s="24"/>
      <c r="I11676" s="24"/>
    </row>
    <row r="11677" spans="1:9" x14ac:dyDescent="0.3">
      <c r="A11677" s="24"/>
      <c r="I11677" s="24"/>
    </row>
    <row r="11678" spans="1:9" x14ac:dyDescent="0.3">
      <c r="A11678" s="24"/>
      <c r="I11678" s="24"/>
    </row>
    <row r="11679" spans="1:9" x14ac:dyDescent="0.3">
      <c r="A11679" s="24"/>
      <c r="I11679" s="24"/>
    </row>
    <row r="11680" spans="1:9" x14ac:dyDescent="0.3">
      <c r="A11680" s="24"/>
      <c r="I11680" s="24"/>
    </row>
    <row r="11681" spans="1:9" x14ac:dyDescent="0.3">
      <c r="A11681" s="24"/>
      <c r="I11681" s="24"/>
    </row>
    <row r="11682" spans="1:9" x14ac:dyDescent="0.3">
      <c r="A11682" s="24"/>
      <c r="I11682" s="24"/>
    </row>
    <row r="11683" spans="1:9" x14ac:dyDescent="0.3">
      <c r="A11683" s="24"/>
      <c r="I11683" s="24"/>
    </row>
    <row r="11684" spans="1:9" x14ac:dyDescent="0.3">
      <c r="A11684" s="24"/>
      <c r="I11684" s="24"/>
    </row>
    <row r="11685" spans="1:9" x14ac:dyDescent="0.3">
      <c r="A11685" s="24"/>
      <c r="I11685" s="24"/>
    </row>
    <row r="11686" spans="1:9" x14ac:dyDescent="0.3">
      <c r="A11686" s="24"/>
      <c r="I11686" s="24"/>
    </row>
    <row r="11687" spans="1:9" x14ac:dyDescent="0.3">
      <c r="A11687" s="24"/>
      <c r="I11687" s="24"/>
    </row>
    <row r="11688" spans="1:9" x14ac:dyDescent="0.3">
      <c r="A11688" s="24"/>
      <c r="I11688" s="24"/>
    </row>
    <row r="11689" spans="1:9" x14ac:dyDescent="0.3">
      <c r="A11689" s="24"/>
      <c r="I11689" s="24"/>
    </row>
    <row r="11690" spans="1:9" x14ac:dyDescent="0.3">
      <c r="A11690" s="24"/>
      <c r="I11690" s="24"/>
    </row>
    <row r="11691" spans="1:9" x14ac:dyDescent="0.3">
      <c r="A11691" s="24"/>
      <c r="I11691" s="24"/>
    </row>
    <row r="11692" spans="1:9" x14ac:dyDescent="0.3">
      <c r="A11692" s="24"/>
      <c r="I11692" s="24"/>
    </row>
    <row r="11693" spans="1:9" x14ac:dyDescent="0.3">
      <c r="A11693" s="24"/>
      <c r="I11693" s="24"/>
    </row>
    <row r="11694" spans="1:9" x14ac:dyDescent="0.3">
      <c r="A11694" s="24"/>
      <c r="I11694" s="24"/>
    </row>
    <row r="11695" spans="1:9" x14ac:dyDescent="0.3">
      <c r="A11695" s="24"/>
      <c r="I11695" s="24"/>
    </row>
    <row r="11696" spans="1:9" x14ac:dyDescent="0.3">
      <c r="A11696" s="24"/>
      <c r="I11696" s="24"/>
    </row>
    <row r="11697" spans="1:9" x14ac:dyDescent="0.3">
      <c r="A11697" s="24"/>
      <c r="I11697" s="24"/>
    </row>
    <row r="11698" spans="1:9" x14ac:dyDescent="0.3">
      <c r="A11698" s="24"/>
      <c r="I11698" s="24"/>
    </row>
    <row r="11699" spans="1:9" x14ac:dyDescent="0.3">
      <c r="A11699" s="24"/>
      <c r="I11699" s="24"/>
    </row>
    <row r="11700" spans="1:9" x14ac:dyDescent="0.3">
      <c r="A11700" s="24"/>
      <c r="I11700" s="24"/>
    </row>
    <row r="11701" spans="1:9" x14ac:dyDescent="0.3">
      <c r="A11701" s="24"/>
      <c r="I11701" s="24"/>
    </row>
    <row r="11702" spans="1:9" x14ac:dyDescent="0.3">
      <c r="A11702" s="24"/>
      <c r="I11702" s="24"/>
    </row>
    <row r="11703" spans="1:9" x14ac:dyDescent="0.3">
      <c r="A11703" s="24"/>
      <c r="I11703" s="24"/>
    </row>
    <row r="11704" spans="1:9" x14ac:dyDescent="0.3">
      <c r="A11704" s="24"/>
      <c r="I11704" s="24"/>
    </row>
    <row r="11705" spans="1:9" x14ac:dyDescent="0.3">
      <c r="A11705" s="24"/>
      <c r="I11705" s="24"/>
    </row>
    <row r="11706" spans="1:9" x14ac:dyDescent="0.3">
      <c r="A11706" s="24"/>
      <c r="I11706" s="24"/>
    </row>
    <row r="11707" spans="1:9" x14ac:dyDescent="0.3">
      <c r="A11707" s="24"/>
      <c r="I11707" s="24"/>
    </row>
    <row r="11708" spans="1:9" x14ac:dyDescent="0.3">
      <c r="A11708" s="24"/>
      <c r="I11708" s="24"/>
    </row>
    <row r="11709" spans="1:9" x14ac:dyDescent="0.3">
      <c r="A11709" s="24"/>
      <c r="I11709" s="24"/>
    </row>
    <row r="11710" spans="1:9" x14ac:dyDescent="0.3">
      <c r="A11710" s="24"/>
      <c r="I11710" s="24"/>
    </row>
    <row r="11711" spans="1:9" x14ac:dyDescent="0.3">
      <c r="A11711" s="24"/>
      <c r="I11711" s="24"/>
    </row>
    <row r="11712" spans="1:9" x14ac:dyDescent="0.3">
      <c r="A11712" s="24"/>
      <c r="I11712" s="24"/>
    </row>
    <row r="11713" spans="1:9" x14ac:dyDescent="0.3">
      <c r="A11713" s="24"/>
      <c r="I11713" s="24"/>
    </row>
    <row r="11714" spans="1:9" x14ac:dyDescent="0.3">
      <c r="A11714" s="24"/>
      <c r="I11714" s="24"/>
    </row>
    <row r="11715" spans="1:9" x14ac:dyDescent="0.3">
      <c r="A11715" s="24"/>
      <c r="I11715" s="24"/>
    </row>
    <row r="11716" spans="1:9" x14ac:dyDescent="0.3">
      <c r="A11716" s="24"/>
      <c r="I11716" s="24"/>
    </row>
    <row r="11717" spans="1:9" x14ac:dyDescent="0.3">
      <c r="A11717" s="24"/>
      <c r="I11717" s="24"/>
    </row>
    <row r="11718" spans="1:9" x14ac:dyDescent="0.3">
      <c r="A11718" s="24"/>
      <c r="I11718" s="24"/>
    </row>
    <row r="11719" spans="1:9" x14ac:dyDescent="0.3">
      <c r="A11719" s="24"/>
      <c r="I11719" s="24"/>
    </row>
    <row r="11720" spans="1:9" x14ac:dyDescent="0.3">
      <c r="A11720" s="24"/>
      <c r="I11720" s="24"/>
    </row>
    <row r="11721" spans="1:9" x14ac:dyDescent="0.3">
      <c r="A11721" s="24"/>
      <c r="I11721" s="24"/>
    </row>
    <row r="11722" spans="1:9" x14ac:dyDescent="0.3">
      <c r="A11722" s="24"/>
      <c r="I11722" s="24"/>
    </row>
    <row r="11723" spans="1:9" x14ac:dyDescent="0.3">
      <c r="A11723" s="24"/>
      <c r="I11723" s="24"/>
    </row>
    <row r="11724" spans="1:9" x14ac:dyDescent="0.3">
      <c r="A11724" s="24"/>
      <c r="I11724" s="24"/>
    </row>
    <row r="11725" spans="1:9" x14ac:dyDescent="0.3">
      <c r="A11725" s="24"/>
      <c r="I11725" s="24"/>
    </row>
    <row r="11726" spans="1:9" x14ac:dyDescent="0.3">
      <c r="A11726" s="24"/>
      <c r="I11726" s="24"/>
    </row>
    <row r="11727" spans="1:9" x14ac:dyDescent="0.3">
      <c r="A11727" s="24"/>
      <c r="I11727" s="24"/>
    </row>
    <row r="11728" spans="1:9" x14ac:dyDescent="0.3">
      <c r="A11728" s="24"/>
      <c r="I11728" s="24"/>
    </row>
    <row r="11729" spans="1:9" x14ac:dyDescent="0.3">
      <c r="A11729" s="24"/>
      <c r="I11729" s="24"/>
    </row>
    <row r="11730" spans="1:9" x14ac:dyDescent="0.3">
      <c r="A11730" s="24"/>
      <c r="I11730" s="24"/>
    </row>
    <row r="11731" spans="1:9" x14ac:dyDescent="0.3">
      <c r="A11731" s="24"/>
      <c r="I11731" s="24"/>
    </row>
    <row r="11732" spans="1:9" x14ac:dyDescent="0.3">
      <c r="A11732" s="24"/>
      <c r="I11732" s="24"/>
    </row>
    <row r="11733" spans="1:9" x14ac:dyDescent="0.3">
      <c r="A11733" s="24"/>
      <c r="I11733" s="24"/>
    </row>
    <row r="11734" spans="1:9" x14ac:dyDescent="0.3">
      <c r="A11734" s="24"/>
      <c r="I11734" s="24"/>
    </row>
    <row r="11735" spans="1:9" x14ac:dyDescent="0.3">
      <c r="A11735" s="24"/>
      <c r="I11735" s="24"/>
    </row>
    <row r="11736" spans="1:9" x14ac:dyDescent="0.3">
      <c r="A11736" s="24"/>
      <c r="I11736" s="24"/>
    </row>
    <row r="11737" spans="1:9" x14ac:dyDescent="0.3">
      <c r="A11737" s="24"/>
      <c r="I11737" s="24"/>
    </row>
    <row r="11738" spans="1:9" x14ac:dyDescent="0.3">
      <c r="A11738" s="24"/>
      <c r="I11738" s="24"/>
    </row>
    <row r="11739" spans="1:9" x14ac:dyDescent="0.3">
      <c r="A11739" s="24"/>
      <c r="I11739" s="24"/>
    </row>
    <row r="11740" spans="1:9" x14ac:dyDescent="0.3">
      <c r="A11740" s="24"/>
      <c r="I11740" s="24"/>
    </row>
    <row r="11741" spans="1:9" x14ac:dyDescent="0.3">
      <c r="A11741" s="24"/>
      <c r="I11741" s="24"/>
    </row>
    <row r="11742" spans="1:9" x14ac:dyDescent="0.3">
      <c r="A11742" s="24"/>
      <c r="I11742" s="24"/>
    </row>
    <row r="11743" spans="1:9" x14ac:dyDescent="0.3">
      <c r="A11743" s="24"/>
      <c r="I11743" s="24"/>
    </row>
    <row r="11744" spans="1:9" x14ac:dyDescent="0.3">
      <c r="A11744" s="24"/>
      <c r="I11744" s="24"/>
    </row>
    <row r="11745" spans="1:9" x14ac:dyDescent="0.3">
      <c r="A11745" s="24"/>
      <c r="I11745" s="24"/>
    </row>
    <row r="11746" spans="1:9" x14ac:dyDescent="0.3">
      <c r="A11746" s="24"/>
      <c r="I11746" s="24"/>
    </row>
    <row r="11747" spans="1:9" x14ac:dyDescent="0.3">
      <c r="A11747" s="24"/>
      <c r="I11747" s="24"/>
    </row>
    <row r="11748" spans="1:9" x14ac:dyDescent="0.3">
      <c r="A11748" s="24"/>
      <c r="I11748" s="24"/>
    </row>
    <row r="11749" spans="1:9" x14ac:dyDescent="0.3">
      <c r="A11749" s="24"/>
      <c r="I11749" s="24"/>
    </row>
    <row r="11750" spans="1:9" x14ac:dyDescent="0.3">
      <c r="A11750" s="24"/>
      <c r="I11750" s="24"/>
    </row>
    <row r="11751" spans="1:9" x14ac:dyDescent="0.3">
      <c r="A11751" s="24"/>
      <c r="I11751" s="24"/>
    </row>
    <row r="11752" spans="1:9" x14ac:dyDescent="0.3">
      <c r="A11752" s="24"/>
      <c r="I11752" s="24"/>
    </row>
    <row r="11753" spans="1:9" x14ac:dyDescent="0.3">
      <c r="A11753" s="24"/>
      <c r="I11753" s="24"/>
    </row>
    <row r="11754" spans="1:9" x14ac:dyDescent="0.3">
      <c r="A11754" s="24"/>
      <c r="I11754" s="24"/>
    </row>
    <row r="11755" spans="1:9" x14ac:dyDescent="0.3">
      <c r="A11755" s="24"/>
      <c r="I11755" s="24"/>
    </row>
    <row r="11756" spans="1:9" x14ac:dyDescent="0.3">
      <c r="A11756" s="24"/>
      <c r="I11756" s="24"/>
    </row>
    <row r="11757" spans="1:9" x14ac:dyDescent="0.3">
      <c r="A11757" s="24"/>
      <c r="I11757" s="24"/>
    </row>
    <row r="11758" spans="1:9" x14ac:dyDescent="0.3">
      <c r="A11758" s="24"/>
      <c r="I11758" s="24"/>
    </row>
    <row r="11759" spans="1:9" x14ac:dyDescent="0.3">
      <c r="A11759" s="24"/>
      <c r="I11759" s="24"/>
    </row>
    <row r="11760" spans="1:9" x14ac:dyDescent="0.3">
      <c r="A11760" s="24"/>
      <c r="I11760" s="24"/>
    </row>
    <row r="11761" spans="1:9" x14ac:dyDescent="0.3">
      <c r="A11761" s="24"/>
      <c r="I11761" s="24"/>
    </row>
    <row r="11762" spans="1:9" x14ac:dyDescent="0.3">
      <c r="A11762" s="24"/>
      <c r="I11762" s="24"/>
    </row>
    <row r="11763" spans="1:9" x14ac:dyDescent="0.3">
      <c r="A11763" s="24"/>
      <c r="I11763" s="24"/>
    </row>
    <row r="11764" spans="1:9" x14ac:dyDescent="0.3">
      <c r="A11764" s="24"/>
      <c r="I11764" s="24"/>
    </row>
    <row r="11765" spans="1:9" x14ac:dyDescent="0.3">
      <c r="A11765" s="24"/>
      <c r="I11765" s="24"/>
    </row>
    <row r="11766" spans="1:9" x14ac:dyDescent="0.3">
      <c r="A11766" s="24"/>
      <c r="I11766" s="24"/>
    </row>
    <row r="11767" spans="1:9" x14ac:dyDescent="0.3">
      <c r="A11767" s="24"/>
      <c r="I11767" s="24"/>
    </row>
    <row r="11768" spans="1:9" x14ac:dyDescent="0.3">
      <c r="A11768" s="24"/>
      <c r="I11768" s="24"/>
    </row>
    <row r="11769" spans="1:9" x14ac:dyDescent="0.3">
      <c r="A11769" s="24"/>
      <c r="I11769" s="24"/>
    </row>
    <row r="11770" spans="1:9" x14ac:dyDescent="0.3">
      <c r="A11770" s="24"/>
      <c r="I11770" s="24"/>
    </row>
    <row r="11771" spans="1:9" x14ac:dyDescent="0.3">
      <c r="A11771" s="24"/>
      <c r="I11771" s="24"/>
    </row>
    <row r="11772" spans="1:9" x14ac:dyDescent="0.3">
      <c r="A11772" s="24"/>
      <c r="I11772" s="24"/>
    </row>
    <row r="11773" spans="1:9" x14ac:dyDescent="0.3">
      <c r="A11773" s="24"/>
      <c r="I11773" s="24"/>
    </row>
    <row r="11774" spans="1:9" x14ac:dyDescent="0.3">
      <c r="A11774" s="24"/>
      <c r="I11774" s="24"/>
    </row>
    <row r="11775" spans="1:9" x14ac:dyDescent="0.3">
      <c r="A11775" s="24"/>
      <c r="I11775" s="24"/>
    </row>
    <row r="11776" spans="1:9" x14ac:dyDescent="0.3">
      <c r="A11776" s="24"/>
      <c r="I11776" s="24"/>
    </row>
    <row r="11777" spans="1:9" x14ac:dyDescent="0.3">
      <c r="A11777" s="24"/>
      <c r="I11777" s="24"/>
    </row>
    <row r="11778" spans="1:9" x14ac:dyDescent="0.3">
      <c r="A11778" s="24"/>
      <c r="I11778" s="24"/>
    </row>
    <row r="11779" spans="1:9" x14ac:dyDescent="0.3">
      <c r="A11779" s="24"/>
      <c r="I11779" s="24"/>
    </row>
    <row r="11780" spans="1:9" x14ac:dyDescent="0.3">
      <c r="A11780" s="24"/>
      <c r="I11780" s="24"/>
    </row>
    <row r="11781" spans="1:9" x14ac:dyDescent="0.3">
      <c r="A11781" s="24"/>
      <c r="I11781" s="24"/>
    </row>
    <row r="11782" spans="1:9" x14ac:dyDescent="0.3">
      <c r="A11782" s="24"/>
      <c r="I11782" s="24"/>
    </row>
    <row r="11783" spans="1:9" x14ac:dyDescent="0.3">
      <c r="A11783" s="24"/>
      <c r="I11783" s="24"/>
    </row>
    <row r="11784" spans="1:9" x14ac:dyDescent="0.3">
      <c r="A11784" s="24"/>
      <c r="I11784" s="24"/>
    </row>
    <row r="11785" spans="1:9" x14ac:dyDescent="0.3">
      <c r="A11785" s="24"/>
      <c r="I11785" s="24"/>
    </row>
    <row r="11786" spans="1:9" x14ac:dyDescent="0.3">
      <c r="A11786" s="24"/>
      <c r="I11786" s="24"/>
    </row>
    <row r="11787" spans="1:9" x14ac:dyDescent="0.3">
      <c r="A11787" s="24"/>
      <c r="I11787" s="24"/>
    </row>
    <row r="11788" spans="1:9" x14ac:dyDescent="0.3">
      <c r="A11788" s="24"/>
      <c r="I11788" s="24"/>
    </row>
    <row r="11789" spans="1:9" x14ac:dyDescent="0.3">
      <c r="A11789" s="24"/>
      <c r="I11789" s="24"/>
    </row>
    <row r="11790" spans="1:9" x14ac:dyDescent="0.3">
      <c r="A11790" s="24"/>
      <c r="I11790" s="24"/>
    </row>
    <row r="11791" spans="1:9" x14ac:dyDescent="0.3">
      <c r="A11791" s="24"/>
      <c r="I11791" s="24"/>
    </row>
    <row r="11792" spans="1:9" x14ac:dyDescent="0.3">
      <c r="A11792" s="24"/>
      <c r="I11792" s="24"/>
    </row>
    <row r="11793" spans="1:9" x14ac:dyDescent="0.3">
      <c r="A11793" s="24"/>
      <c r="I11793" s="24"/>
    </row>
    <row r="11794" spans="1:9" x14ac:dyDescent="0.3">
      <c r="A11794" s="24"/>
      <c r="I11794" s="24"/>
    </row>
    <row r="11795" spans="1:9" x14ac:dyDescent="0.3">
      <c r="A11795" s="24"/>
      <c r="I11795" s="24"/>
    </row>
    <row r="11796" spans="1:9" x14ac:dyDescent="0.3">
      <c r="A11796" s="24"/>
      <c r="I11796" s="24"/>
    </row>
    <row r="11797" spans="1:9" x14ac:dyDescent="0.3">
      <c r="A11797" s="24"/>
      <c r="I11797" s="24"/>
    </row>
    <row r="11798" spans="1:9" x14ac:dyDescent="0.3">
      <c r="A11798" s="24"/>
      <c r="I11798" s="24"/>
    </row>
    <row r="11799" spans="1:9" x14ac:dyDescent="0.3">
      <c r="A11799" s="24"/>
      <c r="I11799" s="24"/>
    </row>
    <row r="11800" spans="1:9" x14ac:dyDescent="0.3">
      <c r="A11800" s="24"/>
      <c r="I11800" s="24"/>
    </row>
    <row r="11801" spans="1:9" x14ac:dyDescent="0.3">
      <c r="A11801" s="24"/>
      <c r="I11801" s="24"/>
    </row>
    <row r="11802" spans="1:9" x14ac:dyDescent="0.3">
      <c r="A11802" s="24"/>
      <c r="I11802" s="24"/>
    </row>
    <row r="11803" spans="1:9" x14ac:dyDescent="0.3">
      <c r="A11803" s="24"/>
      <c r="I11803" s="24"/>
    </row>
    <row r="11804" spans="1:9" x14ac:dyDescent="0.3">
      <c r="A11804" s="24"/>
      <c r="I11804" s="24"/>
    </row>
    <row r="11805" spans="1:9" x14ac:dyDescent="0.3">
      <c r="A11805" s="24"/>
      <c r="I11805" s="24"/>
    </row>
    <row r="11806" spans="1:9" x14ac:dyDescent="0.3">
      <c r="A11806" s="24"/>
      <c r="I11806" s="24"/>
    </row>
    <row r="11807" spans="1:9" x14ac:dyDescent="0.3">
      <c r="A11807" s="24"/>
      <c r="I11807" s="24"/>
    </row>
    <row r="11808" spans="1:9" x14ac:dyDescent="0.3">
      <c r="A11808" s="24"/>
      <c r="I11808" s="24"/>
    </row>
    <row r="11809" spans="1:9" x14ac:dyDescent="0.3">
      <c r="A11809" s="24"/>
      <c r="I11809" s="24"/>
    </row>
    <row r="11810" spans="1:9" x14ac:dyDescent="0.3">
      <c r="A11810" s="24"/>
      <c r="I11810" s="24"/>
    </row>
    <row r="11811" spans="1:9" x14ac:dyDescent="0.3">
      <c r="A11811" s="24"/>
      <c r="I11811" s="24"/>
    </row>
    <row r="11812" spans="1:9" x14ac:dyDescent="0.3">
      <c r="A11812" s="24"/>
      <c r="I11812" s="24"/>
    </row>
    <row r="11813" spans="1:9" x14ac:dyDescent="0.3">
      <c r="A11813" s="24"/>
      <c r="I11813" s="24"/>
    </row>
    <row r="11814" spans="1:9" x14ac:dyDescent="0.3">
      <c r="A11814" s="24"/>
      <c r="I11814" s="24"/>
    </row>
    <row r="11815" spans="1:9" x14ac:dyDescent="0.3">
      <c r="A11815" s="24"/>
      <c r="I11815" s="24"/>
    </row>
    <row r="11816" spans="1:9" x14ac:dyDescent="0.3">
      <c r="A11816" s="24"/>
      <c r="I11816" s="24"/>
    </row>
    <row r="11817" spans="1:9" x14ac:dyDescent="0.3">
      <c r="A11817" s="24"/>
      <c r="I11817" s="24"/>
    </row>
    <row r="11818" spans="1:9" x14ac:dyDescent="0.3">
      <c r="A11818" s="24"/>
      <c r="I11818" s="24"/>
    </row>
    <row r="11819" spans="1:9" x14ac:dyDescent="0.3">
      <c r="A11819" s="24"/>
      <c r="I11819" s="24"/>
    </row>
    <row r="11820" spans="1:9" x14ac:dyDescent="0.3">
      <c r="A11820" s="24"/>
      <c r="I11820" s="24"/>
    </row>
    <row r="11821" spans="1:9" x14ac:dyDescent="0.3">
      <c r="A11821" s="24"/>
      <c r="I11821" s="24"/>
    </row>
    <row r="11822" spans="1:9" x14ac:dyDescent="0.3">
      <c r="A11822" s="24"/>
      <c r="I11822" s="24"/>
    </row>
    <row r="11823" spans="1:9" x14ac:dyDescent="0.3">
      <c r="A11823" s="24"/>
      <c r="I11823" s="24"/>
    </row>
    <row r="11824" spans="1:9" x14ac:dyDescent="0.3">
      <c r="A11824" s="24"/>
      <c r="I11824" s="24"/>
    </row>
    <row r="11825" spans="1:9" x14ac:dyDescent="0.3">
      <c r="A11825" s="24"/>
      <c r="I11825" s="24"/>
    </row>
    <row r="11826" spans="1:9" x14ac:dyDescent="0.3">
      <c r="A11826" s="24"/>
      <c r="I11826" s="24"/>
    </row>
    <row r="11827" spans="1:9" x14ac:dyDescent="0.3">
      <c r="A11827" s="24"/>
      <c r="I11827" s="24"/>
    </row>
    <row r="11828" spans="1:9" x14ac:dyDescent="0.3">
      <c r="A11828" s="24"/>
      <c r="I11828" s="24"/>
    </row>
    <row r="11829" spans="1:9" x14ac:dyDescent="0.3">
      <c r="A11829" s="24"/>
      <c r="I11829" s="24"/>
    </row>
    <row r="11830" spans="1:9" x14ac:dyDescent="0.3">
      <c r="A11830" s="24"/>
      <c r="I11830" s="24"/>
    </row>
    <row r="11831" spans="1:9" x14ac:dyDescent="0.3">
      <c r="A11831" s="24"/>
      <c r="I11831" s="24"/>
    </row>
    <row r="11832" spans="1:9" x14ac:dyDescent="0.3">
      <c r="A11832" s="24"/>
      <c r="I11832" s="24"/>
    </row>
    <row r="11833" spans="1:9" x14ac:dyDescent="0.3">
      <c r="A11833" s="24"/>
      <c r="I11833" s="24"/>
    </row>
    <row r="11834" spans="1:9" x14ac:dyDescent="0.3">
      <c r="A11834" s="24"/>
      <c r="I11834" s="24"/>
    </row>
    <row r="11835" spans="1:9" x14ac:dyDescent="0.3">
      <c r="A11835" s="24"/>
      <c r="I11835" s="24"/>
    </row>
    <row r="11836" spans="1:9" x14ac:dyDescent="0.3">
      <c r="A11836" s="24"/>
      <c r="I11836" s="24"/>
    </row>
    <row r="11837" spans="1:9" x14ac:dyDescent="0.3">
      <c r="A11837" s="24"/>
      <c r="I11837" s="24"/>
    </row>
    <row r="11838" spans="1:9" x14ac:dyDescent="0.3">
      <c r="A11838" s="24"/>
      <c r="I11838" s="24"/>
    </row>
    <row r="11839" spans="1:9" x14ac:dyDescent="0.3">
      <c r="A11839" s="24"/>
      <c r="I11839" s="24"/>
    </row>
    <row r="11840" spans="1:9" x14ac:dyDescent="0.3">
      <c r="A11840" s="24"/>
      <c r="I11840" s="24"/>
    </row>
    <row r="11841" spans="1:9" x14ac:dyDescent="0.3">
      <c r="A11841" s="24"/>
      <c r="I11841" s="24"/>
    </row>
    <row r="11842" spans="1:9" x14ac:dyDescent="0.3">
      <c r="A11842" s="24"/>
      <c r="I11842" s="24"/>
    </row>
    <row r="11843" spans="1:9" x14ac:dyDescent="0.3">
      <c r="A11843" s="24"/>
      <c r="I11843" s="24"/>
    </row>
    <row r="11844" spans="1:9" x14ac:dyDescent="0.3">
      <c r="A11844" s="24"/>
      <c r="I11844" s="24"/>
    </row>
    <row r="11845" spans="1:9" x14ac:dyDescent="0.3">
      <c r="A11845" s="24"/>
      <c r="I11845" s="24"/>
    </row>
    <row r="11846" spans="1:9" x14ac:dyDescent="0.3">
      <c r="A11846" s="24"/>
      <c r="I11846" s="24"/>
    </row>
    <row r="11847" spans="1:9" x14ac:dyDescent="0.3">
      <c r="A11847" s="24"/>
      <c r="I11847" s="24"/>
    </row>
    <row r="11848" spans="1:9" x14ac:dyDescent="0.3">
      <c r="A11848" s="24"/>
      <c r="I11848" s="24"/>
    </row>
    <row r="11849" spans="1:9" x14ac:dyDescent="0.3">
      <c r="A11849" s="24"/>
      <c r="I11849" s="24"/>
    </row>
    <row r="11850" spans="1:9" x14ac:dyDescent="0.3">
      <c r="A11850" s="24"/>
      <c r="I11850" s="24"/>
    </row>
    <row r="11851" spans="1:9" x14ac:dyDescent="0.3">
      <c r="A11851" s="24"/>
      <c r="I11851" s="24"/>
    </row>
    <row r="11852" spans="1:9" x14ac:dyDescent="0.3">
      <c r="A11852" s="24"/>
      <c r="I11852" s="24"/>
    </row>
    <row r="11853" spans="1:9" x14ac:dyDescent="0.3">
      <c r="A11853" s="24"/>
      <c r="I11853" s="24"/>
    </row>
    <row r="11854" spans="1:9" x14ac:dyDescent="0.3">
      <c r="A11854" s="24"/>
      <c r="I11854" s="24"/>
    </row>
    <row r="11855" spans="1:9" x14ac:dyDescent="0.3">
      <c r="A11855" s="24"/>
      <c r="I11855" s="24"/>
    </row>
    <row r="11856" spans="1:9" x14ac:dyDescent="0.3">
      <c r="A11856" s="24"/>
      <c r="I11856" s="24"/>
    </row>
    <row r="11857" spans="1:9" x14ac:dyDescent="0.3">
      <c r="A11857" s="24"/>
      <c r="I11857" s="24"/>
    </row>
    <row r="11858" spans="1:9" x14ac:dyDescent="0.3">
      <c r="A11858" s="24"/>
      <c r="I11858" s="24"/>
    </row>
    <row r="11859" spans="1:9" x14ac:dyDescent="0.3">
      <c r="A11859" s="24"/>
      <c r="I11859" s="24"/>
    </row>
    <row r="11860" spans="1:9" x14ac:dyDescent="0.3">
      <c r="A11860" s="24"/>
      <c r="I11860" s="24"/>
    </row>
    <row r="11861" spans="1:9" x14ac:dyDescent="0.3">
      <c r="A11861" s="24"/>
      <c r="I11861" s="24"/>
    </row>
    <row r="11862" spans="1:9" x14ac:dyDescent="0.3">
      <c r="A11862" s="24"/>
      <c r="I11862" s="24"/>
    </row>
    <row r="11863" spans="1:9" x14ac:dyDescent="0.3">
      <c r="A11863" s="24"/>
      <c r="I11863" s="24"/>
    </row>
    <row r="11864" spans="1:9" x14ac:dyDescent="0.3">
      <c r="A11864" s="24"/>
      <c r="I11864" s="24"/>
    </row>
    <row r="11865" spans="1:9" x14ac:dyDescent="0.3">
      <c r="A11865" s="24"/>
      <c r="I11865" s="24"/>
    </row>
    <row r="11866" spans="1:9" x14ac:dyDescent="0.3">
      <c r="A11866" s="24"/>
      <c r="I11866" s="24"/>
    </row>
    <row r="11867" spans="1:9" x14ac:dyDescent="0.3">
      <c r="A11867" s="24"/>
      <c r="I11867" s="24"/>
    </row>
    <row r="11868" spans="1:9" x14ac:dyDescent="0.3">
      <c r="A11868" s="24"/>
      <c r="I11868" s="24"/>
    </row>
    <row r="11869" spans="1:9" x14ac:dyDescent="0.3">
      <c r="A11869" s="24"/>
      <c r="I11869" s="24"/>
    </row>
    <row r="11870" spans="1:9" x14ac:dyDescent="0.3">
      <c r="A11870" s="24"/>
      <c r="I11870" s="24"/>
    </row>
    <row r="11871" spans="1:9" x14ac:dyDescent="0.3">
      <c r="A11871" s="24"/>
      <c r="I11871" s="24"/>
    </row>
    <row r="11872" spans="1:9" x14ac:dyDescent="0.3">
      <c r="A11872" s="24"/>
      <c r="I11872" s="24"/>
    </row>
    <row r="11873" spans="1:9" x14ac:dyDescent="0.3">
      <c r="A11873" s="24"/>
      <c r="I11873" s="24"/>
    </row>
    <row r="11874" spans="1:9" x14ac:dyDescent="0.3">
      <c r="A11874" s="24"/>
      <c r="I11874" s="24"/>
    </row>
    <row r="11875" spans="1:9" x14ac:dyDescent="0.3">
      <c r="A11875" s="24"/>
      <c r="I11875" s="24"/>
    </row>
    <row r="11876" spans="1:9" x14ac:dyDescent="0.3">
      <c r="A11876" s="24"/>
      <c r="I11876" s="24"/>
    </row>
    <row r="11877" spans="1:9" x14ac:dyDescent="0.3">
      <c r="A11877" s="24"/>
      <c r="I11877" s="24"/>
    </row>
    <row r="11878" spans="1:9" x14ac:dyDescent="0.3">
      <c r="A11878" s="24"/>
      <c r="I11878" s="24"/>
    </row>
    <row r="11879" spans="1:9" x14ac:dyDescent="0.3">
      <c r="A11879" s="24"/>
      <c r="I11879" s="24"/>
    </row>
    <row r="11880" spans="1:9" x14ac:dyDescent="0.3">
      <c r="A11880" s="24"/>
      <c r="I11880" s="24"/>
    </row>
    <row r="11881" spans="1:9" x14ac:dyDescent="0.3">
      <c r="A11881" s="24"/>
      <c r="I11881" s="24"/>
    </row>
    <row r="11882" spans="1:9" x14ac:dyDescent="0.3">
      <c r="A11882" s="24"/>
      <c r="I11882" s="24"/>
    </row>
    <row r="11883" spans="1:9" x14ac:dyDescent="0.3">
      <c r="A11883" s="24"/>
      <c r="I11883" s="24"/>
    </row>
    <row r="11884" spans="1:9" x14ac:dyDescent="0.3">
      <c r="A11884" s="24"/>
      <c r="I11884" s="24"/>
    </row>
    <row r="11885" spans="1:9" x14ac:dyDescent="0.3">
      <c r="A11885" s="24"/>
      <c r="I11885" s="24"/>
    </row>
    <row r="11886" spans="1:9" x14ac:dyDescent="0.3">
      <c r="A11886" s="24"/>
      <c r="I11886" s="24"/>
    </row>
    <row r="11887" spans="1:9" x14ac:dyDescent="0.3">
      <c r="A11887" s="24"/>
      <c r="I11887" s="24"/>
    </row>
    <row r="11888" spans="1:9" x14ac:dyDescent="0.3">
      <c r="A11888" s="24"/>
      <c r="I11888" s="24"/>
    </row>
    <row r="11889" spans="1:9" x14ac:dyDescent="0.3">
      <c r="A11889" s="24"/>
      <c r="I11889" s="24"/>
    </row>
    <row r="11890" spans="1:9" x14ac:dyDescent="0.3">
      <c r="A11890" s="24"/>
      <c r="I11890" s="24"/>
    </row>
    <row r="11891" spans="1:9" x14ac:dyDescent="0.3">
      <c r="A11891" s="24"/>
      <c r="I11891" s="24"/>
    </row>
    <row r="11892" spans="1:9" x14ac:dyDescent="0.3">
      <c r="A11892" s="24"/>
      <c r="I11892" s="24"/>
    </row>
    <row r="11893" spans="1:9" x14ac:dyDescent="0.3">
      <c r="A11893" s="24"/>
      <c r="I11893" s="24"/>
    </row>
    <row r="11894" spans="1:9" x14ac:dyDescent="0.3">
      <c r="A11894" s="24"/>
      <c r="I11894" s="24"/>
    </row>
    <row r="11895" spans="1:9" x14ac:dyDescent="0.3">
      <c r="A11895" s="24"/>
      <c r="I11895" s="24"/>
    </row>
    <row r="11896" spans="1:9" x14ac:dyDescent="0.3">
      <c r="A11896" s="24"/>
      <c r="I11896" s="24"/>
    </row>
    <row r="11897" spans="1:9" x14ac:dyDescent="0.3">
      <c r="A11897" s="24"/>
      <c r="I11897" s="24"/>
    </row>
    <row r="11898" spans="1:9" x14ac:dyDescent="0.3">
      <c r="A11898" s="24"/>
      <c r="I11898" s="24"/>
    </row>
    <row r="11899" spans="1:9" x14ac:dyDescent="0.3">
      <c r="A11899" s="24"/>
      <c r="I11899" s="24"/>
    </row>
    <row r="11900" spans="1:9" x14ac:dyDescent="0.3">
      <c r="A11900" s="24"/>
      <c r="I11900" s="24"/>
    </row>
    <row r="11901" spans="1:9" x14ac:dyDescent="0.3">
      <c r="A11901" s="24"/>
      <c r="I11901" s="24"/>
    </row>
    <row r="11902" spans="1:9" x14ac:dyDescent="0.3">
      <c r="A11902" s="24"/>
      <c r="I11902" s="24"/>
    </row>
    <row r="11903" spans="1:9" x14ac:dyDescent="0.3">
      <c r="A11903" s="24"/>
      <c r="I11903" s="24"/>
    </row>
    <row r="11904" spans="1:9" x14ac:dyDescent="0.3">
      <c r="A11904" s="24"/>
      <c r="I11904" s="24"/>
    </row>
    <row r="11905" spans="1:9" x14ac:dyDescent="0.3">
      <c r="A11905" s="24"/>
      <c r="I11905" s="24"/>
    </row>
    <row r="11906" spans="1:9" x14ac:dyDescent="0.3">
      <c r="A11906" s="24"/>
      <c r="I11906" s="24"/>
    </row>
    <row r="11907" spans="1:9" x14ac:dyDescent="0.3">
      <c r="A11907" s="24"/>
      <c r="I11907" s="24"/>
    </row>
    <row r="11908" spans="1:9" x14ac:dyDescent="0.3">
      <c r="A11908" s="24"/>
      <c r="I11908" s="24"/>
    </row>
    <row r="11909" spans="1:9" x14ac:dyDescent="0.3">
      <c r="A11909" s="24"/>
      <c r="I11909" s="24"/>
    </row>
    <row r="11910" spans="1:9" x14ac:dyDescent="0.3">
      <c r="A11910" s="24"/>
      <c r="I11910" s="24"/>
    </row>
    <row r="11911" spans="1:9" x14ac:dyDescent="0.3">
      <c r="A11911" s="24"/>
      <c r="I11911" s="24"/>
    </row>
    <row r="11912" spans="1:9" x14ac:dyDescent="0.3">
      <c r="A11912" s="24"/>
      <c r="I11912" s="24"/>
    </row>
    <row r="11913" spans="1:9" x14ac:dyDescent="0.3">
      <c r="A11913" s="24"/>
      <c r="I11913" s="24"/>
    </row>
    <row r="11914" spans="1:9" x14ac:dyDescent="0.3">
      <c r="A11914" s="24"/>
      <c r="I11914" s="24"/>
    </row>
    <row r="11915" spans="1:9" x14ac:dyDescent="0.3">
      <c r="A11915" s="24"/>
      <c r="I11915" s="24"/>
    </row>
    <row r="11916" spans="1:9" x14ac:dyDescent="0.3">
      <c r="A11916" s="24"/>
      <c r="I11916" s="24"/>
    </row>
    <row r="11917" spans="1:9" x14ac:dyDescent="0.3">
      <c r="A11917" s="24"/>
      <c r="I11917" s="24"/>
    </row>
    <row r="11918" spans="1:9" x14ac:dyDescent="0.3">
      <c r="A11918" s="24"/>
      <c r="I11918" s="24"/>
    </row>
    <row r="11919" spans="1:9" x14ac:dyDescent="0.3">
      <c r="A11919" s="24"/>
      <c r="I11919" s="24"/>
    </row>
    <row r="11920" spans="1:9" x14ac:dyDescent="0.3">
      <c r="A11920" s="24"/>
      <c r="I11920" s="24"/>
    </row>
    <row r="11921" spans="1:9" x14ac:dyDescent="0.3">
      <c r="A11921" s="24"/>
      <c r="I11921" s="24"/>
    </row>
    <row r="11922" spans="1:9" x14ac:dyDescent="0.3">
      <c r="A11922" s="24"/>
      <c r="I11922" s="24"/>
    </row>
    <row r="11923" spans="1:9" x14ac:dyDescent="0.3">
      <c r="A11923" s="24"/>
      <c r="I11923" s="24"/>
    </row>
    <row r="11924" spans="1:9" x14ac:dyDescent="0.3">
      <c r="A11924" s="24"/>
      <c r="I11924" s="24"/>
    </row>
    <row r="11925" spans="1:9" x14ac:dyDescent="0.3">
      <c r="A11925" s="24"/>
      <c r="I11925" s="24"/>
    </row>
    <row r="11926" spans="1:9" x14ac:dyDescent="0.3">
      <c r="A11926" s="24"/>
      <c r="I11926" s="24"/>
    </row>
    <row r="11927" spans="1:9" x14ac:dyDescent="0.3">
      <c r="A11927" s="24"/>
      <c r="I11927" s="24"/>
    </row>
    <row r="11928" spans="1:9" x14ac:dyDescent="0.3">
      <c r="A11928" s="24"/>
      <c r="I11928" s="24"/>
    </row>
    <row r="11929" spans="1:9" x14ac:dyDescent="0.3">
      <c r="A11929" s="24"/>
      <c r="I11929" s="24"/>
    </row>
    <row r="11930" spans="1:9" x14ac:dyDescent="0.3">
      <c r="A11930" s="24"/>
      <c r="I11930" s="24"/>
    </row>
    <row r="11931" spans="1:9" x14ac:dyDescent="0.3">
      <c r="A11931" s="24"/>
      <c r="I11931" s="24"/>
    </row>
    <row r="11932" spans="1:9" x14ac:dyDescent="0.3">
      <c r="A11932" s="24"/>
      <c r="I11932" s="24"/>
    </row>
    <row r="11933" spans="1:9" x14ac:dyDescent="0.3">
      <c r="A11933" s="24"/>
      <c r="I11933" s="24"/>
    </row>
    <row r="11934" spans="1:9" x14ac:dyDescent="0.3">
      <c r="A11934" s="24"/>
      <c r="I11934" s="24"/>
    </row>
    <row r="11935" spans="1:9" x14ac:dyDescent="0.3">
      <c r="A11935" s="24"/>
      <c r="I11935" s="24"/>
    </row>
    <row r="11936" spans="1:9" x14ac:dyDescent="0.3">
      <c r="A11936" s="24"/>
      <c r="I11936" s="24"/>
    </row>
    <row r="11937" spans="1:1" x14ac:dyDescent="0.3">
      <c r="A11937" s="24"/>
    </row>
    <row r="11938" spans="1:1" x14ac:dyDescent="0.3">
      <c r="A11938" s="24"/>
    </row>
    <row r="11939" spans="1:1" x14ac:dyDescent="0.3">
      <c r="A11939" s="24"/>
    </row>
    <row r="11940" spans="1:1" x14ac:dyDescent="0.3">
      <c r="A11940" s="24"/>
    </row>
    <row r="11941" spans="1:1" x14ac:dyDescent="0.3">
      <c r="A11941" s="24"/>
    </row>
    <row r="11942" spans="1:1" x14ac:dyDescent="0.3">
      <c r="A11942" s="24"/>
    </row>
    <row r="11943" spans="1:1" x14ac:dyDescent="0.3">
      <c r="A11943" s="24"/>
    </row>
    <row r="11944" spans="1:1" x14ac:dyDescent="0.3">
      <c r="A11944" s="24"/>
    </row>
    <row r="11945" spans="1:1" x14ac:dyDescent="0.3">
      <c r="A11945" s="24"/>
    </row>
    <row r="11946" spans="1:1" x14ac:dyDescent="0.3">
      <c r="A11946" s="24"/>
    </row>
    <row r="11947" spans="1:1" x14ac:dyDescent="0.3">
      <c r="A11947" s="24"/>
    </row>
    <row r="11948" spans="1:1" x14ac:dyDescent="0.3">
      <c r="A11948" s="24"/>
    </row>
    <row r="11949" spans="1:1" x14ac:dyDescent="0.3">
      <c r="A11949" s="24"/>
    </row>
    <row r="11950" spans="1:1" x14ac:dyDescent="0.3">
      <c r="A11950" s="24"/>
    </row>
    <row r="11951" spans="1:1" x14ac:dyDescent="0.3">
      <c r="A11951" s="24"/>
    </row>
    <row r="11952" spans="1:1" x14ac:dyDescent="0.3">
      <c r="A11952" s="24"/>
    </row>
    <row r="11953" spans="1:1" x14ac:dyDescent="0.3">
      <c r="A11953" s="24"/>
    </row>
    <row r="11954" spans="1:1" x14ac:dyDescent="0.3">
      <c r="A11954" s="24"/>
    </row>
    <row r="11955" spans="1:1" x14ac:dyDescent="0.3">
      <c r="A11955" s="24"/>
    </row>
    <row r="11956" spans="1:1" x14ac:dyDescent="0.3">
      <c r="A11956" s="24"/>
    </row>
    <row r="11957" spans="1:1" x14ac:dyDescent="0.3">
      <c r="A11957" s="24"/>
    </row>
    <row r="11958" spans="1:1" x14ac:dyDescent="0.3">
      <c r="A11958" s="24"/>
    </row>
    <row r="11959" spans="1:1" x14ac:dyDescent="0.3">
      <c r="A11959" s="24"/>
    </row>
    <row r="11960" spans="1:1" x14ac:dyDescent="0.3">
      <c r="A11960" s="24"/>
    </row>
    <row r="11961" spans="1:1" x14ac:dyDescent="0.3">
      <c r="A11961" s="24"/>
    </row>
    <row r="11962" spans="1:1" x14ac:dyDescent="0.3">
      <c r="A11962" s="24"/>
    </row>
    <row r="11963" spans="1:1" x14ac:dyDescent="0.3">
      <c r="A11963" s="24"/>
    </row>
    <row r="11964" spans="1:1" x14ac:dyDescent="0.3">
      <c r="A11964" s="24"/>
    </row>
    <row r="11965" spans="1:1" x14ac:dyDescent="0.3">
      <c r="A11965" s="24"/>
    </row>
    <row r="11966" spans="1:1" x14ac:dyDescent="0.3">
      <c r="A11966" s="24"/>
    </row>
    <row r="11967" spans="1:1" x14ac:dyDescent="0.3">
      <c r="A11967" s="24"/>
    </row>
    <row r="11968" spans="1:1" x14ac:dyDescent="0.3">
      <c r="A11968" s="24"/>
    </row>
    <row r="11969" spans="1:1" x14ac:dyDescent="0.3">
      <c r="A11969" s="24"/>
    </row>
    <row r="11970" spans="1:1" x14ac:dyDescent="0.3">
      <c r="A11970" s="24"/>
    </row>
    <row r="11971" spans="1:1" x14ac:dyDescent="0.3">
      <c r="A11971" s="24"/>
    </row>
    <row r="11972" spans="1:1" x14ac:dyDescent="0.3">
      <c r="A11972" s="24"/>
    </row>
    <row r="11973" spans="1:1" x14ac:dyDescent="0.3">
      <c r="A11973" s="24"/>
    </row>
    <row r="11974" spans="1:1" x14ac:dyDescent="0.3">
      <c r="A11974" s="24"/>
    </row>
    <row r="11975" spans="1:1" x14ac:dyDescent="0.3">
      <c r="A11975" s="24"/>
    </row>
    <row r="11976" spans="1:1" x14ac:dyDescent="0.3">
      <c r="A11976" s="24"/>
    </row>
    <row r="11977" spans="1:1" x14ac:dyDescent="0.3">
      <c r="A11977" s="24"/>
    </row>
    <row r="11978" spans="1:1" x14ac:dyDescent="0.3">
      <c r="A11978" s="24"/>
    </row>
    <row r="11979" spans="1:1" x14ac:dyDescent="0.3">
      <c r="A11979" s="24"/>
    </row>
    <row r="11980" spans="1:1" x14ac:dyDescent="0.3">
      <c r="A11980" s="24"/>
    </row>
    <row r="11981" spans="1:1" x14ac:dyDescent="0.3">
      <c r="A11981" s="24"/>
    </row>
    <row r="11982" spans="1:1" x14ac:dyDescent="0.3">
      <c r="A11982" s="24"/>
    </row>
    <row r="11983" spans="1:1" x14ac:dyDescent="0.3">
      <c r="A11983" s="24"/>
    </row>
    <row r="11984" spans="1:1" x14ac:dyDescent="0.3">
      <c r="A11984" s="24"/>
    </row>
    <row r="11985" spans="1:1" x14ac:dyDescent="0.3">
      <c r="A11985" s="24"/>
    </row>
    <row r="11986" spans="1:1" x14ac:dyDescent="0.3">
      <c r="A11986" s="24"/>
    </row>
    <row r="11987" spans="1:1" x14ac:dyDescent="0.3">
      <c r="A11987" s="24"/>
    </row>
    <row r="11988" spans="1:1" x14ac:dyDescent="0.3">
      <c r="A11988" s="24"/>
    </row>
    <row r="11989" spans="1:1" x14ac:dyDescent="0.3">
      <c r="A11989" s="24"/>
    </row>
    <row r="11990" spans="1:1" x14ac:dyDescent="0.3">
      <c r="A11990" s="24"/>
    </row>
    <row r="11991" spans="1:1" x14ac:dyDescent="0.3">
      <c r="A11991" s="24"/>
    </row>
    <row r="11992" spans="1:1" x14ac:dyDescent="0.3">
      <c r="A11992" s="24"/>
    </row>
    <row r="11993" spans="1:1" x14ac:dyDescent="0.3">
      <c r="A11993" s="24"/>
    </row>
    <row r="11994" spans="1:1" x14ac:dyDescent="0.3">
      <c r="A11994" s="24"/>
    </row>
    <row r="11995" spans="1:1" x14ac:dyDescent="0.3">
      <c r="A11995" s="24"/>
    </row>
    <row r="11996" spans="1:1" x14ac:dyDescent="0.3">
      <c r="A11996" s="24"/>
    </row>
    <row r="11997" spans="1:1" x14ac:dyDescent="0.3">
      <c r="A11997" s="24"/>
    </row>
    <row r="11998" spans="1:1" x14ac:dyDescent="0.3">
      <c r="A11998" s="24"/>
    </row>
    <row r="11999" spans="1:1" x14ac:dyDescent="0.3">
      <c r="A11999" s="24"/>
    </row>
    <row r="12000" spans="1:1" x14ac:dyDescent="0.3">
      <c r="A12000" s="24"/>
    </row>
    <row r="12001" spans="1:1" x14ac:dyDescent="0.3">
      <c r="A12001" s="24"/>
    </row>
    <row r="12002" spans="1:1" x14ac:dyDescent="0.3">
      <c r="A12002" s="24"/>
    </row>
    <row r="12003" spans="1:1" x14ac:dyDescent="0.3">
      <c r="A12003" s="24"/>
    </row>
    <row r="12004" spans="1:1" x14ac:dyDescent="0.3">
      <c r="A12004" s="24"/>
    </row>
    <row r="12005" spans="1:1" x14ac:dyDescent="0.3">
      <c r="A12005" s="24"/>
    </row>
    <row r="12006" spans="1:1" x14ac:dyDescent="0.3">
      <c r="A12006" s="24"/>
    </row>
    <row r="12007" spans="1:1" x14ac:dyDescent="0.3">
      <c r="A12007" s="24"/>
    </row>
    <row r="12008" spans="1:1" x14ac:dyDescent="0.3">
      <c r="A12008" s="24"/>
    </row>
    <row r="12009" spans="1:1" x14ac:dyDescent="0.3">
      <c r="A12009" s="24"/>
    </row>
    <row r="12010" spans="1:1" x14ac:dyDescent="0.3">
      <c r="A12010" s="24"/>
    </row>
    <row r="12011" spans="1:1" x14ac:dyDescent="0.3">
      <c r="A12011" s="24"/>
    </row>
    <row r="12012" spans="1:1" x14ac:dyDescent="0.3">
      <c r="A12012" s="24"/>
    </row>
    <row r="12013" spans="1:1" x14ac:dyDescent="0.3">
      <c r="A12013" s="24"/>
    </row>
    <row r="12014" spans="1:1" x14ac:dyDescent="0.3">
      <c r="A12014" s="24"/>
    </row>
    <row r="12015" spans="1:1" x14ac:dyDescent="0.3">
      <c r="A12015" s="24"/>
    </row>
    <row r="12016" spans="1:1" x14ac:dyDescent="0.3">
      <c r="A12016" s="24"/>
    </row>
    <row r="12017" spans="1:1" x14ac:dyDescent="0.3">
      <c r="A12017" s="24"/>
    </row>
    <row r="12018" spans="1:1" x14ac:dyDescent="0.3">
      <c r="A12018" s="24"/>
    </row>
    <row r="12019" spans="1:1" x14ac:dyDescent="0.3">
      <c r="A12019" s="24"/>
    </row>
    <row r="12020" spans="1:1" x14ac:dyDescent="0.3">
      <c r="A12020" s="24"/>
    </row>
    <row r="12021" spans="1:1" x14ac:dyDescent="0.3">
      <c r="A12021" s="24"/>
    </row>
    <row r="12022" spans="1:1" x14ac:dyDescent="0.3">
      <c r="A12022" s="24"/>
    </row>
    <row r="12023" spans="1:1" x14ac:dyDescent="0.3">
      <c r="A12023" s="24"/>
    </row>
    <row r="12024" spans="1:1" x14ac:dyDescent="0.3">
      <c r="A12024" s="24"/>
    </row>
    <row r="12025" spans="1:1" x14ac:dyDescent="0.3">
      <c r="A12025" s="24"/>
    </row>
    <row r="12026" spans="1:1" x14ac:dyDescent="0.3">
      <c r="A12026" s="24"/>
    </row>
    <row r="12027" spans="1:1" x14ac:dyDescent="0.3">
      <c r="A12027" s="24"/>
    </row>
    <row r="12028" spans="1:1" x14ac:dyDescent="0.3">
      <c r="A12028" s="24"/>
    </row>
    <row r="12029" spans="1:1" x14ac:dyDescent="0.3">
      <c r="A12029" s="24"/>
    </row>
    <row r="12030" spans="1:1" x14ac:dyDescent="0.3">
      <c r="A12030" s="24"/>
    </row>
    <row r="12031" spans="1:1" x14ac:dyDescent="0.3">
      <c r="A12031" s="24"/>
    </row>
    <row r="12032" spans="1:1" x14ac:dyDescent="0.3">
      <c r="A12032" s="24"/>
    </row>
    <row r="12033" spans="1:1" x14ac:dyDescent="0.3">
      <c r="A12033" s="24"/>
    </row>
    <row r="12034" spans="1:1" x14ac:dyDescent="0.3">
      <c r="A12034" s="24"/>
    </row>
    <row r="12035" spans="1:1" x14ac:dyDescent="0.3">
      <c r="A12035" s="24"/>
    </row>
    <row r="12036" spans="1:1" x14ac:dyDescent="0.3">
      <c r="A12036" s="24"/>
    </row>
    <row r="12037" spans="1:1" x14ac:dyDescent="0.3">
      <c r="A12037" s="24"/>
    </row>
    <row r="12038" spans="1:1" x14ac:dyDescent="0.3">
      <c r="A12038" s="24"/>
    </row>
    <row r="12039" spans="1:1" x14ac:dyDescent="0.3">
      <c r="A12039" s="24"/>
    </row>
    <row r="12040" spans="1:1" x14ac:dyDescent="0.3">
      <c r="A12040" s="24"/>
    </row>
    <row r="12041" spans="1:1" x14ac:dyDescent="0.3">
      <c r="A12041" s="24"/>
    </row>
    <row r="12042" spans="1:1" x14ac:dyDescent="0.3">
      <c r="A12042" s="24"/>
    </row>
    <row r="12043" spans="1:1" x14ac:dyDescent="0.3">
      <c r="A12043" s="24"/>
    </row>
    <row r="12044" spans="1:1" x14ac:dyDescent="0.3">
      <c r="A12044" s="24"/>
    </row>
    <row r="12045" spans="1:1" x14ac:dyDescent="0.3">
      <c r="A12045" s="24"/>
    </row>
    <row r="12046" spans="1:1" x14ac:dyDescent="0.3">
      <c r="A12046" s="24"/>
    </row>
    <row r="12047" spans="1:1" x14ac:dyDescent="0.3">
      <c r="A12047" s="24"/>
    </row>
    <row r="12048" spans="1:1" x14ac:dyDescent="0.3">
      <c r="A12048" s="24"/>
    </row>
    <row r="12049" spans="1:1" x14ac:dyDescent="0.3">
      <c r="A12049" s="24"/>
    </row>
    <row r="12050" spans="1:1" x14ac:dyDescent="0.3">
      <c r="A12050" s="24"/>
    </row>
    <row r="12051" spans="1:1" x14ac:dyDescent="0.3">
      <c r="A12051" s="24"/>
    </row>
    <row r="12052" spans="1:1" x14ac:dyDescent="0.3">
      <c r="A12052" s="24"/>
    </row>
    <row r="12053" spans="1:1" x14ac:dyDescent="0.3">
      <c r="A12053" s="24"/>
    </row>
    <row r="12054" spans="1:1" x14ac:dyDescent="0.3">
      <c r="A12054" s="24"/>
    </row>
    <row r="12055" spans="1:1" x14ac:dyDescent="0.3">
      <c r="A12055" s="24"/>
    </row>
    <row r="12056" spans="1:1" x14ac:dyDescent="0.3">
      <c r="A12056" s="24"/>
    </row>
    <row r="12057" spans="1:1" x14ac:dyDescent="0.3">
      <c r="A12057" s="24"/>
    </row>
    <row r="12058" spans="1:1" x14ac:dyDescent="0.3">
      <c r="A12058" s="24"/>
    </row>
    <row r="12059" spans="1:1" x14ac:dyDescent="0.3">
      <c r="A12059" s="24"/>
    </row>
    <row r="12060" spans="1:1" x14ac:dyDescent="0.3">
      <c r="A12060" s="24"/>
    </row>
    <row r="12061" spans="1:1" x14ac:dyDescent="0.3">
      <c r="A12061" s="24"/>
    </row>
    <row r="12062" spans="1:1" x14ac:dyDescent="0.3">
      <c r="A12062" s="24"/>
    </row>
    <row r="12063" spans="1:1" x14ac:dyDescent="0.3">
      <c r="A12063" s="24"/>
    </row>
    <row r="12064" spans="1:1" x14ac:dyDescent="0.3">
      <c r="A12064" s="24"/>
    </row>
    <row r="12065" spans="1:1" x14ac:dyDescent="0.3">
      <c r="A12065" s="24"/>
    </row>
    <row r="12066" spans="1:1" x14ac:dyDescent="0.3">
      <c r="A12066" s="24"/>
    </row>
    <row r="12067" spans="1:1" x14ac:dyDescent="0.3">
      <c r="A12067" s="24"/>
    </row>
    <row r="12068" spans="1:1" x14ac:dyDescent="0.3">
      <c r="A12068" s="24"/>
    </row>
    <row r="12069" spans="1:1" x14ac:dyDescent="0.3">
      <c r="A12069" s="24"/>
    </row>
    <row r="12070" spans="1:1" x14ac:dyDescent="0.3">
      <c r="A12070" s="24"/>
    </row>
    <row r="12071" spans="1:1" x14ac:dyDescent="0.3">
      <c r="A12071" s="24"/>
    </row>
    <row r="12072" spans="1:1" x14ac:dyDescent="0.3">
      <c r="A12072" s="24"/>
    </row>
    <row r="12073" spans="1:1" x14ac:dyDescent="0.3">
      <c r="A12073" s="24"/>
    </row>
    <row r="12074" spans="1:1" x14ac:dyDescent="0.3">
      <c r="A12074" s="24"/>
    </row>
    <row r="12075" spans="1:1" x14ac:dyDescent="0.3">
      <c r="A12075" s="24"/>
    </row>
    <row r="12076" spans="1:1" x14ac:dyDescent="0.3">
      <c r="A12076" s="24"/>
    </row>
    <row r="12077" spans="1:1" x14ac:dyDescent="0.3">
      <c r="A12077" s="24"/>
    </row>
    <row r="12078" spans="1:1" x14ac:dyDescent="0.3">
      <c r="A12078" s="24"/>
    </row>
    <row r="12079" spans="1:1" x14ac:dyDescent="0.3">
      <c r="A12079" s="24"/>
    </row>
    <row r="12080" spans="1:1" x14ac:dyDescent="0.3">
      <c r="A12080" s="24"/>
    </row>
    <row r="12081" spans="1:1" x14ac:dyDescent="0.3">
      <c r="A12081" s="24"/>
    </row>
    <row r="12082" spans="1:1" x14ac:dyDescent="0.3">
      <c r="A12082" s="24"/>
    </row>
    <row r="12083" spans="1:1" x14ac:dyDescent="0.3">
      <c r="A12083" s="24"/>
    </row>
    <row r="12084" spans="1:1" x14ac:dyDescent="0.3">
      <c r="A12084" s="24"/>
    </row>
    <row r="12085" spans="1:1" x14ac:dyDescent="0.3">
      <c r="A12085" s="24"/>
    </row>
    <row r="12086" spans="1:1" x14ac:dyDescent="0.3">
      <c r="A12086" s="24"/>
    </row>
    <row r="12087" spans="1:1" x14ac:dyDescent="0.3">
      <c r="A12087" s="24"/>
    </row>
    <row r="12088" spans="1:1" x14ac:dyDescent="0.3">
      <c r="A12088" s="24"/>
    </row>
    <row r="12089" spans="1:1" x14ac:dyDescent="0.3">
      <c r="A12089" s="24"/>
    </row>
    <row r="12090" spans="1:1" x14ac:dyDescent="0.3">
      <c r="A12090" s="24"/>
    </row>
    <row r="12091" spans="1:1" x14ac:dyDescent="0.3">
      <c r="A12091" s="24"/>
    </row>
    <row r="12092" spans="1:1" x14ac:dyDescent="0.3">
      <c r="A12092" s="24"/>
    </row>
    <row r="12093" spans="1:1" x14ac:dyDescent="0.3">
      <c r="A12093" s="24"/>
    </row>
    <row r="12094" spans="1:1" x14ac:dyDescent="0.3">
      <c r="A12094" s="24"/>
    </row>
    <row r="12095" spans="1:1" x14ac:dyDescent="0.3">
      <c r="A12095" s="24"/>
    </row>
    <row r="12096" spans="1:1" x14ac:dyDescent="0.3">
      <c r="A12096" s="24"/>
    </row>
    <row r="12097" spans="1:1" x14ac:dyDescent="0.3">
      <c r="A12097" s="24"/>
    </row>
    <row r="12098" spans="1:1" x14ac:dyDescent="0.3">
      <c r="A12098" s="24"/>
    </row>
    <row r="12099" spans="1:1" x14ac:dyDescent="0.3">
      <c r="A12099" s="24"/>
    </row>
    <row r="12100" spans="1:1" x14ac:dyDescent="0.3">
      <c r="A12100" s="24"/>
    </row>
    <row r="12101" spans="1:1" x14ac:dyDescent="0.3">
      <c r="A12101" s="24"/>
    </row>
    <row r="12102" spans="1:1" x14ac:dyDescent="0.3">
      <c r="A12102" s="24"/>
    </row>
    <row r="12103" spans="1:1" x14ac:dyDescent="0.3">
      <c r="A12103" s="24"/>
    </row>
    <row r="12104" spans="1:1" x14ac:dyDescent="0.3">
      <c r="A12104" s="24"/>
    </row>
    <row r="12105" spans="1:1" x14ac:dyDescent="0.3">
      <c r="A12105" s="24"/>
    </row>
    <row r="12106" spans="1:1" x14ac:dyDescent="0.3">
      <c r="A12106" s="24"/>
    </row>
    <row r="12107" spans="1:1" x14ac:dyDescent="0.3">
      <c r="A12107" s="24"/>
    </row>
    <row r="12108" spans="1:1" x14ac:dyDescent="0.3">
      <c r="A12108" s="24"/>
    </row>
    <row r="12109" spans="1:1" x14ac:dyDescent="0.3">
      <c r="A12109" s="24"/>
    </row>
    <row r="12110" spans="1:1" x14ac:dyDescent="0.3">
      <c r="A12110" s="24"/>
    </row>
    <row r="12111" spans="1:1" x14ac:dyDescent="0.3">
      <c r="A12111" s="24"/>
    </row>
    <row r="12112" spans="1:1" x14ac:dyDescent="0.3">
      <c r="A12112" s="24"/>
    </row>
    <row r="12113" spans="1:1" x14ac:dyDescent="0.3">
      <c r="A12113" s="24"/>
    </row>
    <row r="12114" spans="1:1" x14ac:dyDescent="0.3">
      <c r="A12114" s="24"/>
    </row>
    <row r="12115" spans="1:1" x14ac:dyDescent="0.3">
      <c r="A12115" s="24"/>
    </row>
    <row r="12116" spans="1:1" x14ac:dyDescent="0.3">
      <c r="A12116" s="24"/>
    </row>
    <row r="12117" spans="1:1" x14ac:dyDescent="0.3">
      <c r="A12117" s="24"/>
    </row>
    <row r="12118" spans="1:1" x14ac:dyDescent="0.3">
      <c r="A12118" s="24"/>
    </row>
    <row r="12119" spans="1:1" x14ac:dyDescent="0.3">
      <c r="A12119" s="24"/>
    </row>
    <row r="12120" spans="1:1" x14ac:dyDescent="0.3">
      <c r="A12120" s="24"/>
    </row>
    <row r="12121" spans="1:1" x14ac:dyDescent="0.3">
      <c r="A12121" s="24"/>
    </row>
    <row r="12122" spans="1:1" x14ac:dyDescent="0.3">
      <c r="A12122" s="24"/>
    </row>
    <row r="12123" spans="1:1" x14ac:dyDescent="0.3">
      <c r="A12123" s="24"/>
    </row>
    <row r="12124" spans="1:1" x14ac:dyDescent="0.3">
      <c r="A12124" s="24"/>
    </row>
    <row r="12125" spans="1:1" x14ac:dyDescent="0.3">
      <c r="A12125" s="24"/>
    </row>
    <row r="12126" spans="1:1" x14ac:dyDescent="0.3">
      <c r="A12126" s="24"/>
    </row>
    <row r="12127" spans="1:1" x14ac:dyDescent="0.3">
      <c r="A12127" s="24"/>
    </row>
    <row r="12128" spans="1:1" x14ac:dyDescent="0.3">
      <c r="A12128" s="24"/>
    </row>
    <row r="12129" spans="1:1" x14ac:dyDescent="0.3">
      <c r="A12129" s="24"/>
    </row>
    <row r="12130" spans="1:1" x14ac:dyDescent="0.3">
      <c r="A12130" s="24"/>
    </row>
    <row r="12131" spans="1:1" x14ac:dyDescent="0.3">
      <c r="A12131" s="24"/>
    </row>
    <row r="12132" spans="1:1" x14ac:dyDescent="0.3">
      <c r="A12132" s="24"/>
    </row>
    <row r="12133" spans="1:1" x14ac:dyDescent="0.3">
      <c r="A12133" s="24"/>
    </row>
    <row r="12134" spans="1:1" x14ac:dyDescent="0.3">
      <c r="A12134" s="24"/>
    </row>
    <row r="12135" spans="1:1" x14ac:dyDescent="0.3">
      <c r="A12135" s="24"/>
    </row>
    <row r="12136" spans="1:1" x14ac:dyDescent="0.3">
      <c r="A12136" s="24"/>
    </row>
    <row r="12137" spans="1:1" x14ac:dyDescent="0.3">
      <c r="A12137" s="24"/>
    </row>
    <row r="12138" spans="1:1" x14ac:dyDescent="0.3">
      <c r="A12138" s="24"/>
    </row>
    <row r="12139" spans="1:1" x14ac:dyDescent="0.3">
      <c r="A12139" s="24"/>
    </row>
    <row r="12140" spans="1:1" x14ac:dyDescent="0.3">
      <c r="A12140" s="24"/>
    </row>
    <row r="12141" spans="1:1" x14ac:dyDescent="0.3">
      <c r="A12141" s="24"/>
    </row>
    <row r="12142" spans="1:1" x14ac:dyDescent="0.3">
      <c r="A12142" s="24"/>
    </row>
    <row r="12143" spans="1:1" x14ac:dyDescent="0.3">
      <c r="A12143" s="24"/>
    </row>
    <row r="12144" spans="1:1" x14ac:dyDescent="0.3">
      <c r="A12144" s="24"/>
    </row>
    <row r="12145" spans="1:1" x14ac:dyDescent="0.3">
      <c r="A12145" s="24"/>
    </row>
    <row r="12146" spans="1:1" x14ac:dyDescent="0.3">
      <c r="A12146" s="24"/>
    </row>
    <row r="12147" spans="1:1" x14ac:dyDescent="0.3">
      <c r="A12147" s="24"/>
    </row>
    <row r="12148" spans="1:1" x14ac:dyDescent="0.3">
      <c r="A12148" s="24"/>
    </row>
    <row r="12149" spans="1:1" x14ac:dyDescent="0.3">
      <c r="A12149" s="24"/>
    </row>
    <row r="12150" spans="1:1" x14ac:dyDescent="0.3">
      <c r="A12150" s="24"/>
    </row>
    <row r="12151" spans="1:1" x14ac:dyDescent="0.3">
      <c r="A12151" s="24"/>
    </row>
    <row r="12152" spans="1:1" x14ac:dyDescent="0.3">
      <c r="A12152" s="24"/>
    </row>
    <row r="12153" spans="1:1" x14ac:dyDescent="0.3">
      <c r="A12153" s="24"/>
    </row>
    <row r="12154" spans="1:1" x14ac:dyDescent="0.3">
      <c r="A12154" s="24"/>
    </row>
    <row r="12155" spans="1:1" x14ac:dyDescent="0.3">
      <c r="A12155" s="24"/>
    </row>
    <row r="12156" spans="1:1" x14ac:dyDescent="0.3">
      <c r="A12156" s="24"/>
    </row>
    <row r="12157" spans="1:1" x14ac:dyDescent="0.3">
      <c r="A12157" s="24"/>
    </row>
    <row r="12158" spans="1:1" x14ac:dyDescent="0.3">
      <c r="A12158" s="24"/>
    </row>
    <row r="12159" spans="1:1" x14ac:dyDescent="0.3">
      <c r="A12159" s="24"/>
    </row>
    <row r="12160" spans="1:1" x14ac:dyDescent="0.3">
      <c r="A12160" s="24"/>
    </row>
    <row r="12161" spans="1:1" x14ac:dyDescent="0.3">
      <c r="A12161" s="24"/>
    </row>
    <row r="12162" spans="1:1" x14ac:dyDescent="0.3">
      <c r="A12162" s="24"/>
    </row>
    <row r="12163" spans="1:1" x14ac:dyDescent="0.3">
      <c r="A12163" s="24"/>
    </row>
    <row r="12164" spans="1:1" x14ac:dyDescent="0.3">
      <c r="A12164" s="24"/>
    </row>
    <row r="12165" spans="1:1" x14ac:dyDescent="0.3">
      <c r="A12165" s="24"/>
    </row>
    <row r="12166" spans="1:1" x14ac:dyDescent="0.3">
      <c r="A12166" s="24"/>
    </row>
    <row r="12167" spans="1:1" x14ac:dyDescent="0.3">
      <c r="A12167" s="24"/>
    </row>
    <row r="12168" spans="1:1" x14ac:dyDescent="0.3">
      <c r="A12168" s="24"/>
    </row>
    <row r="12169" spans="1:1" x14ac:dyDescent="0.3">
      <c r="A12169" s="24"/>
    </row>
    <row r="12170" spans="1:1" x14ac:dyDescent="0.3">
      <c r="A12170" s="24"/>
    </row>
    <row r="12171" spans="1:1" x14ac:dyDescent="0.3">
      <c r="A12171" s="24"/>
    </row>
    <row r="12172" spans="1:1" x14ac:dyDescent="0.3">
      <c r="A12172" s="24"/>
    </row>
    <row r="12173" spans="1:1" x14ac:dyDescent="0.3">
      <c r="A12173" s="24"/>
    </row>
    <row r="12174" spans="1:1" x14ac:dyDescent="0.3">
      <c r="A12174" s="24"/>
    </row>
    <row r="12175" spans="1:1" x14ac:dyDescent="0.3">
      <c r="A12175" s="24"/>
    </row>
    <row r="12176" spans="1:1" x14ac:dyDescent="0.3">
      <c r="A12176" s="24"/>
    </row>
    <row r="12177" spans="1:1" x14ac:dyDescent="0.3">
      <c r="A12177" s="24"/>
    </row>
    <row r="12178" spans="1:1" x14ac:dyDescent="0.3">
      <c r="A12178" s="24"/>
    </row>
    <row r="12179" spans="1:1" x14ac:dyDescent="0.3">
      <c r="A12179" s="24"/>
    </row>
    <row r="12180" spans="1:1" x14ac:dyDescent="0.3">
      <c r="A12180" s="24"/>
    </row>
    <row r="12181" spans="1:1" x14ac:dyDescent="0.3">
      <c r="A12181" s="24"/>
    </row>
    <row r="12182" spans="1:1" x14ac:dyDescent="0.3">
      <c r="A12182" s="24"/>
    </row>
    <row r="12183" spans="1:1" x14ac:dyDescent="0.3">
      <c r="A12183" s="24"/>
    </row>
    <row r="12184" spans="1:1" x14ac:dyDescent="0.3">
      <c r="A12184" s="24"/>
    </row>
    <row r="12185" spans="1:1" x14ac:dyDescent="0.3">
      <c r="A12185" s="24"/>
    </row>
    <row r="12186" spans="1:1" x14ac:dyDescent="0.3">
      <c r="A12186" s="24"/>
    </row>
    <row r="12187" spans="1:1" x14ac:dyDescent="0.3">
      <c r="A12187" s="24"/>
    </row>
    <row r="12188" spans="1:1" x14ac:dyDescent="0.3">
      <c r="A12188" s="24"/>
    </row>
    <row r="12189" spans="1:1" x14ac:dyDescent="0.3">
      <c r="A12189" s="24"/>
    </row>
    <row r="12190" spans="1:1" x14ac:dyDescent="0.3">
      <c r="A12190" s="24"/>
    </row>
    <row r="12191" spans="1:1" x14ac:dyDescent="0.3">
      <c r="A12191" s="24"/>
    </row>
    <row r="12192" spans="1:1" x14ac:dyDescent="0.3">
      <c r="A12192" s="24"/>
    </row>
    <row r="12193" spans="1:1" x14ac:dyDescent="0.3">
      <c r="A12193" s="24"/>
    </row>
    <row r="12194" spans="1:1" x14ac:dyDescent="0.3">
      <c r="A12194" s="24"/>
    </row>
    <row r="12195" spans="1:1" x14ac:dyDescent="0.3">
      <c r="A12195" s="24"/>
    </row>
    <row r="12196" spans="1:1" x14ac:dyDescent="0.3">
      <c r="A12196" s="24"/>
    </row>
    <row r="12197" spans="1:1" x14ac:dyDescent="0.3">
      <c r="A12197" s="24"/>
    </row>
    <row r="12198" spans="1:1" x14ac:dyDescent="0.3">
      <c r="A12198" s="24"/>
    </row>
    <row r="12199" spans="1:1" x14ac:dyDescent="0.3">
      <c r="A12199" s="24"/>
    </row>
    <row r="12200" spans="1:1" x14ac:dyDescent="0.3">
      <c r="A12200" s="24"/>
    </row>
    <row r="12201" spans="1:1" x14ac:dyDescent="0.3">
      <c r="A12201" s="24"/>
    </row>
    <row r="12202" spans="1:1" x14ac:dyDescent="0.3">
      <c r="A12202" s="24"/>
    </row>
    <row r="12203" spans="1:1" x14ac:dyDescent="0.3">
      <c r="A12203" s="24"/>
    </row>
    <row r="12204" spans="1:1" x14ac:dyDescent="0.3">
      <c r="A12204" s="24"/>
    </row>
    <row r="12205" spans="1:1" x14ac:dyDescent="0.3">
      <c r="A12205" s="24"/>
    </row>
    <row r="12206" spans="1:1" x14ac:dyDescent="0.3">
      <c r="A12206" s="24"/>
    </row>
    <row r="12207" spans="1:1" x14ac:dyDescent="0.3">
      <c r="A12207" s="24"/>
    </row>
    <row r="12208" spans="1:1" x14ac:dyDescent="0.3">
      <c r="A12208" s="24"/>
    </row>
    <row r="12209" spans="1:1" x14ac:dyDescent="0.3">
      <c r="A12209" s="24"/>
    </row>
    <row r="12210" spans="1:1" x14ac:dyDescent="0.3">
      <c r="A12210" s="24"/>
    </row>
    <row r="12211" spans="1:1" x14ac:dyDescent="0.3">
      <c r="A12211" s="24"/>
    </row>
    <row r="12212" spans="1:1" x14ac:dyDescent="0.3">
      <c r="A12212" s="24"/>
    </row>
    <row r="12213" spans="1:1" x14ac:dyDescent="0.3">
      <c r="A12213" s="24"/>
    </row>
    <row r="12214" spans="1:1" x14ac:dyDescent="0.3">
      <c r="A12214" s="24"/>
    </row>
    <row r="12215" spans="1:1" x14ac:dyDescent="0.3">
      <c r="A12215" s="24"/>
    </row>
    <row r="12216" spans="1:1" x14ac:dyDescent="0.3">
      <c r="A12216" s="24"/>
    </row>
    <row r="12217" spans="1:1" x14ac:dyDescent="0.3">
      <c r="A12217" s="24"/>
    </row>
    <row r="12218" spans="1:1" x14ac:dyDescent="0.3">
      <c r="A12218" s="24"/>
    </row>
    <row r="12219" spans="1:1" x14ac:dyDescent="0.3">
      <c r="A12219" s="24"/>
    </row>
    <row r="12220" spans="1:1" x14ac:dyDescent="0.3">
      <c r="A12220" s="24"/>
    </row>
    <row r="12221" spans="1:1" x14ac:dyDescent="0.3">
      <c r="A12221" s="24"/>
    </row>
    <row r="12222" spans="1:1" x14ac:dyDescent="0.3">
      <c r="A12222" s="24"/>
    </row>
    <row r="12223" spans="1:1" x14ac:dyDescent="0.3">
      <c r="A12223" s="24"/>
    </row>
    <row r="12224" spans="1:1" x14ac:dyDescent="0.3">
      <c r="A12224" s="24"/>
    </row>
    <row r="12225" spans="1:1" x14ac:dyDescent="0.3">
      <c r="A12225" s="24"/>
    </row>
    <row r="12226" spans="1:1" x14ac:dyDescent="0.3">
      <c r="A12226" s="24"/>
    </row>
    <row r="12227" spans="1:1" x14ac:dyDescent="0.3">
      <c r="A12227" s="24"/>
    </row>
    <row r="12228" spans="1:1" x14ac:dyDescent="0.3">
      <c r="A12228" s="24"/>
    </row>
    <row r="12229" spans="1:1" x14ac:dyDescent="0.3">
      <c r="A12229" s="24"/>
    </row>
    <row r="12230" spans="1:1" x14ac:dyDescent="0.3">
      <c r="A12230" s="24"/>
    </row>
    <row r="12231" spans="1:1" x14ac:dyDescent="0.3">
      <c r="A12231" s="24"/>
    </row>
    <row r="12232" spans="1:1" x14ac:dyDescent="0.3">
      <c r="A12232" s="24"/>
    </row>
    <row r="12233" spans="1:1" x14ac:dyDescent="0.3">
      <c r="A12233" s="24"/>
    </row>
    <row r="12234" spans="1:1" x14ac:dyDescent="0.3">
      <c r="A12234" s="24"/>
    </row>
    <row r="12235" spans="1:1" x14ac:dyDescent="0.3">
      <c r="A12235" s="24"/>
    </row>
    <row r="12236" spans="1:1" x14ac:dyDescent="0.3">
      <c r="A12236" s="24"/>
    </row>
    <row r="12237" spans="1:1" x14ac:dyDescent="0.3">
      <c r="A12237" s="24"/>
    </row>
    <row r="12238" spans="1:1" x14ac:dyDescent="0.3">
      <c r="A12238" s="24"/>
    </row>
    <row r="12239" spans="1:1" x14ac:dyDescent="0.3">
      <c r="A12239" s="24"/>
    </row>
    <row r="12240" spans="1:1" x14ac:dyDescent="0.3">
      <c r="A12240" s="24"/>
    </row>
    <row r="12241" spans="1:1" x14ac:dyDescent="0.3">
      <c r="A12241" s="24"/>
    </row>
    <row r="12242" spans="1:1" x14ac:dyDescent="0.3">
      <c r="A12242" s="24"/>
    </row>
    <row r="12243" spans="1:1" x14ac:dyDescent="0.3">
      <c r="A12243" s="24"/>
    </row>
    <row r="12244" spans="1:1" x14ac:dyDescent="0.3">
      <c r="A12244" s="24"/>
    </row>
    <row r="12245" spans="1:1" x14ac:dyDescent="0.3">
      <c r="A12245" s="24"/>
    </row>
    <row r="12246" spans="1:1" x14ac:dyDescent="0.3">
      <c r="A12246" s="24"/>
    </row>
    <row r="12247" spans="1:1" x14ac:dyDescent="0.3">
      <c r="A12247" s="24"/>
    </row>
    <row r="12248" spans="1:1" x14ac:dyDescent="0.3">
      <c r="A12248" s="24"/>
    </row>
    <row r="12249" spans="1:1" x14ac:dyDescent="0.3">
      <c r="A12249" s="24"/>
    </row>
    <row r="12250" spans="1:1" x14ac:dyDescent="0.3">
      <c r="A12250" s="24"/>
    </row>
    <row r="12251" spans="1:1" x14ac:dyDescent="0.3">
      <c r="A12251" s="24"/>
    </row>
    <row r="12252" spans="1:1" x14ac:dyDescent="0.3">
      <c r="A12252" s="24"/>
    </row>
    <row r="12253" spans="1:1" x14ac:dyDescent="0.3">
      <c r="A12253" s="24"/>
    </row>
    <row r="12254" spans="1:1" x14ac:dyDescent="0.3">
      <c r="A12254" s="24"/>
    </row>
    <row r="12255" spans="1:1" x14ac:dyDescent="0.3">
      <c r="A12255" s="24"/>
    </row>
    <row r="12256" spans="1:1" x14ac:dyDescent="0.3">
      <c r="A12256" s="24"/>
    </row>
    <row r="12257" spans="1:1" x14ac:dyDescent="0.3">
      <c r="A12257" s="24"/>
    </row>
    <row r="12258" spans="1:1" x14ac:dyDescent="0.3">
      <c r="A12258" s="24"/>
    </row>
    <row r="12259" spans="1:1" x14ac:dyDescent="0.3">
      <c r="A12259" s="24"/>
    </row>
    <row r="12260" spans="1:1" x14ac:dyDescent="0.3">
      <c r="A12260" s="24"/>
    </row>
    <row r="12261" spans="1:1" x14ac:dyDescent="0.3">
      <c r="A12261" s="24"/>
    </row>
    <row r="12262" spans="1:1" x14ac:dyDescent="0.3">
      <c r="A12262" s="24"/>
    </row>
    <row r="12263" spans="1:1" x14ac:dyDescent="0.3">
      <c r="A12263" s="24"/>
    </row>
    <row r="12264" spans="1:1" x14ac:dyDescent="0.3">
      <c r="A12264" s="24"/>
    </row>
    <row r="12265" spans="1:1" x14ac:dyDescent="0.3">
      <c r="A12265" s="24"/>
    </row>
    <row r="12266" spans="1:1" x14ac:dyDescent="0.3">
      <c r="A12266" s="24"/>
    </row>
    <row r="12267" spans="1:1" x14ac:dyDescent="0.3">
      <c r="A12267" s="24"/>
    </row>
    <row r="12268" spans="1:1" x14ac:dyDescent="0.3">
      <c r="A12268" s="24"/>
    </row>
    <row r="12269" spans="1:1" x14ac:dyDescent="0.3">
      <c r="A12269" s="24"/>
    </row>
    <row r="12270" spans="1:1" x14ac:dyDescent="0.3">
      <c r="A12270" s="24"/>
    </row>
    <row r="12271" spans="1:1" x14ac:dyDescent="0.3">
      <c r="A12271" s="24"/>
    </row>
    <row r="12272" spans="1:1" x14ac:dyDescent="0.3">
      <c r="A12272" s="24"/>
    </row>
    <row r="12273" spans="1:1" x14ac:dyDescent="0.3">
      <c r="A12273" s="24"/>
    </row>
    <row r="12274" spans="1:1" x14ac:dyDescent="0.3">
      <c r="A12274" s="24"/>
    </row>
    <row r="12275" spans="1:1" x14ac:dyDescent="0.3">
      <c r="A12275" s="24"/>
    </row>
    <row r="12276" spans="1:1" x14ac:dyDescent="0.3">
      <c r="A12276" s="24"/>
    </row>
    <row r="12277" spans="1:1" x14ac:dyDescent="0.3">
      <c r="A12277" s="24"/>
    </row>
    <row r="12278" spans="1:1" x14ac:dyDescent="0.3">
      <c r="A12278" s="24"/>
    </row>
    <row r="12279" spans="1:1" x14ac:dyDescent="0.3">
      <c r="A12279" s="24"/>
    </row>
    <row r="12280" spans="1:1" x14ac:dyDescent="0.3">
      <c r="A12280" s="24"/>
    </row>
    <row r="12281" spans="1:1" x14ac:dyDescent="0.3">
      <c r="A12281" s="24"/>
    </row>
    <row r="12282" spans="1:1" x14ac:dyDescent="0.3">
      <c r="A12282" s="24"/>
    </row>
    <row r="12283" spans="1:1" x14ac:dyDescent="0.3">
      <c r="A12283" s="24"/>
    </row>
    <row r="12284" spans="1:1" x14ac:dyDescent="0.3">
      <c r="A12284" s="24"/>
    </row>
    <row r="12285" spans="1:1" x14ac:dyDescent="0.3">
      <c r="A12285" s="24"/>
    </row>
    <row r="12286" spans="1:1" x14ac:dyDescent="0.3">
      <c r="A12286" s="24"/>
    </row>
    <row r="12287" spans="1:1" x14ac:dyDescent="0.3">
      <c r="A12287" s="24"/>
    </row>
    <row r="12288" spans="1:1" x14ac:dyDescent="0.3">
      <c r="A12288" s="24"/>
    </row>
    <row r="12289" spans="1:1" x14ac:dyDescent="0.3">
      <c r="A12289" s="24"/>
    </row>
    <row r="12290" spans="1:1" x14ac:dyDescent="0.3">
      <c r="A12290" s="24"/>
    </row>
    <row r="12291" spans="1:1" x14ac:dyDescent="0.3">
      <c r="A12291" s="24"/>
    </row>
    <row r="12292" spans="1:1" x14ac:dyDescent="0.3">
      <c r="A12292" s="24"/>
    </row>
    <row r="12293" spans="1:1" x14ac:dyDescent="0.3">
      <c r="A12293" s="24"/>
    </row>
    <row r="12294" spans="1:1" x14ac:dyDescent="0.3">
      <c r="A12294" s="24"/>
    </row>
    <row r="12295" spans="1:1" x14ac:dyDescent="0.3">
      <c r="A12295" s="24"/>
    </row>
    <row r="12296" spans="1:1" x14ac:dyDescent="0.3">
      <c r="A12296" s="24"/>
    </row>
    <row r="12297" spans="1:1" x14ac:dyDescent="0.3">
      <c r="A12297" s="24"/>
    </row>
    <row r="12298" spans="1:1" x14ac:dyDescent="0.3">
      <c r="A12298" s="24"/>
    </row>
    <row r="12299" spans="1:1" x14ac:dyDescent="0.3">
      <c r="A12299" s="24"/>
    </row>
    <row r="12300" spans="1:1" x14ac:dyDescent="0.3">
      <c r="A12300" s="24"/>
    </row>
    <row r="12301" spans="1:1" x14ac:dyDescent="0.3">
      <c r="A12301" s="24"/>
    </row>
    <row r="12302" spans="1:1" x14ac:dyDescent="0.3">
      <c r="A12302" s="24"/>
    </row>
    <row r="12303" spans="1:1" x14ac:dyDescent="0.3">
      <c r="A12303" s="24"/>
    </row>
    <row r="12304" spans="1:1" x14ac:dyDescent="0.3">
      <c r="A12304" s="24"/>
    </row>
    <row r="12305" spans="1:1" x14ac:dyDescent="0.3">
      <c r="A12305" s="24"/>
    </row>
    <row r="12306" spans="1:1" x14ac:dyDescent="0.3">
      <c r="A12306" s="24"/>
    </row>
    <row r="12307" spans="1:1" x14ac:dyDescent="0.3">
      <c r="A12307" s="24"/>
    </row>
    <row r="12308" spans="1:1" x14ac:dyDescent="0.3">
      <c r="A12308" s="24"/>
    </row>
    <row r="12309" spans="1:1" x14ac:dyDescent="0.3">
      <c r="A12309" s="24"/>
    </row>
    <row r="12310" spans="1:1" x14ac:dyDescent="0.3">
      <c r="A12310" s="24"/>
    </row>
    <row r="12311" spans="1:1" x14ac:dyDescent="0.3">
      <c r="A12311" s="24"/>
    </row>
    <row r="12312" spans="1:1" x14ac:dyDescent="0.3">
      <c r="A12312" s="24"/>
    </row>
    <row r="12313" spans="1:1" x14ac:dyDescent="0.3">
      <c r="A12313" s="24"/>
    </row>
    <row r="12314" spans="1:1" x14ac:dyDescent="0.3">
      <c r="A12314" s="24"/>
    </row>
    <row r="12315" spans="1:1" x14ac:dyDescent="0.3">
      <c r="A12315" s="24"/>
    </row>
    <row r="12316" spans="1:1" x14ac:dyDescent="0.3">
      <c r="A12316" s="24"/>
    </row>
    <row r="12317" spans="1:1" x14ac:dyDescent="0.3">
      <c r="A12317" s="24"/>
    </row>
    <row r="12318" spans="1:1" x14ac:dyDescent="0.3">
      <c r="A12318" s="24"/>
    </row>
    <row r="12319" spans="1:1" x14ac:dyDescent="0.3">
      <c r="A12319" s="24"/>
    </row>
    <row r="12320" spans="1:1" x14ac:dyDescent="0.3">
      <c r="A12320" s="24"/>
    </row>
    <row r="12321" spans="1:1" x14ac:dyDescent="0.3">
      <c r="A12321" s="24"/>
    </row>
    <row r="12322" spans="1:1" x14ac:dyDescent="0.3">
      <c r="A12322" s="24"/>
    </row>
    <row r="12323" spans="1:1" x14ac:dyDescent="0.3">
      <c r="A12323" s="24"/>
    </row>
    <row r="12324" spans="1:1" x14ac:dyDescent="0.3">
      <c r="A12324" s="24"/>
    </row>
    <row r="12325" spans="1:1" x14ac:dyDescent="0.3">
      <c r="A12325" s="24"/>
    </row>
    <row r="12326" spans="1:1" x14ac:dyDescent="0.3">
      <c r="A12326" s="24"/>
    </row>
    <row r="12327" spans="1:1" x14ac:dyDescent="0.3">
      <c r="A12327" s="24"/>
    </row>
    <row r="12328" spans="1:1" x14ac:dyDescent="0.3">
      <c r="A12328" s="24"/>
    </row>
    <row r="12329" spans="1:1" x14ac:dyDescent="0.3">
      <c r="A12329" s="24"/>
    </row>
    <row r="12330" spans="1:1" x14ac:dyDescent="0.3">
      <c r="A12330" s="24"/>
    </row>
    <row r="12331" spans="1:1" x14ac:dyDescent="0.3">
      <c r="A12331" s="24"/>
    </row>
    <row r="12332" spans="1:1" x14ac:dyDescent="0.3">
      <c r="A12332" s="24"/>
    </row>
    <row r="12333" spans="1:1" x14ac:dyDescent="0.3">
      <c r="A12333" s="24"/>
    </row>
    <row r="12334" spans="1:1" x14ac:dyDescent="0.3">
      <c r="A12334" s="24"/>
    </row>
    <row r="12335" spans="1:1" x14ac:dyDescent="0.3">
      <c r="A12335" s="24"/>
    </row>
    <row r="12336" spans="1:1" x14ac:dyDescent="0.3">
      <c r="A12336" s="24"/>
    </row>
    <row r="12337" spans="1:1" x14ac:dyDescent="0.3">
      <c r="A12337" s="24"/>
    </row>
    <row r="12338" spans="1:1" x14ac:dyDescent="0.3">
      <c r="A12338" s="24"/>
    </row>
    <row r="12339" spans="1:1" x14ac:dyDescent="0.3">
      <c r="A12339" s="24"/>
    </row>
    <row r="12340" spans="1:1" x14ac:dyDescent="0.3">
      <c r="A12340" s="24"/>
    </row>
    <row r="12341" spans="1:1" x14ac:dyDescent="0.3">
      <c r="A12341" s="24"/>
    </row>
    <row r="12342" spans="1:1" x14ac:dyDescent="0.3">
      <c r="A12342" s="24"/>
    </row>
    <row r="12343" spans="1:1" x14ac:dyDescent="0.3">
      <c r="A12343" s="24"/>
    </row>
    <row r="12344" spans="1:1" x14ac:dyDescent="0.3">
      <c r="A12344" s="24"/>
    </row>
    <row r="12345" spans="1:1" x14ac:dyDescent="0.3">
      <c r="A12345" s="24"/>
    </row>
    <row r="12346" spans="1:1" x14ac:dyDescent="0.3">
      <c r="A12346" s="24"/>
    </row>
    <row r="12347" spans="1:1" x14ac:dyDescent="0.3">
      <c r="A12347" s="24"/>
    </row>
    <row r="12348" spans="1:1" x14ac:dyDescent="0.3">
      <c r="A12348" s="24"/>
    </row>
    <row r="12349" spans="1:1" x14ac:dyDescent="0.3">
      <c r="A12349" s="24"/>
    </row>
    <row r="12350" spans="1:1" x14ac:dyDescent="0.3">
      <c r="A12350" s="24"/>
    </row>
    <row r="12351" spans="1:1" x14ac:dyDescent="0.3">
      <c r="A12351" s="24"/>
    </row>
    <row r="12352" spans="1:1" x14ac:dyDescent="0.3">
      <c r="A12352" s="24"/>
    </row>
    <row r="12353" spans="1:1" x14ac:dyDescent="0.3">
      <c r="A12353" s="24"/>
    </row>
    <row r="12354" spans="1:1" x14ac:dyDescent="0.3">
      <c r="A12354" s="24"/>
    </row>
    <row r="12355" spans="1:1" x14ac:dyDescent="0.3">
      <c r="A12355" s="24"/>
    </row>
    <row r="12356" spans="1:1" x14ac:dyDescent="0.3">
      <c r="A12356" s="24"/>
    </row>
    <row r="12357" spans="1:1" x14ac:dyDescent="0.3">
      <c r="A12357" s="24"/>
    </row>
    <row r="12358" spans="1:1" x14ac:dyDescent="0.3">
      <c r="A12358" s="24"/>
    </row>
    <row r="12359" spans="1:1" x14ac:dyDescent="0.3">
      <c r="A12359" s="24"/>
    </row>
    <row r="12360" spans="1:1" x14ac:dyDescent="0.3">
      <c r="A12360" s="24"/>
    </row>
    <row r="12361" spans="1:1" x14ac:dyDescent="0.3">
      <c r="A12361" s="24"/>
    </row>
    <row r="12362" spans="1:1" x14ac:dyDescent="0.3">
      <c r="A12362" s="24"/>
    </row>
    <row r="12363" spans="1:1" x14ac:dyDescent="0.3">
      <c r="A12363" s="24"/>
    </row>
    <row r="12364" spans="1:1" x14ac:dyDescent="0.3">
      <c r="A12364" s="24"/>
    </row>
    <row r="12365" spans="1:1" x14ac:dyDescent="0.3">
      <c r="A12365" s="24"/>
    </row>
    <row r="12366" spans="1:1" x14ac:dyDescent="0.3">
      <c r="A12366" s="24"/>
    </row>
    <row r="12367" spans="1:1" x14ac:dyDescent="0.3">
      <c r="A12367" s="24"/>
    </row>
    <row r="12368" spans="1:1" x14ac:dyDescent="0.3">
      <c r="A12368" s="24"/>
    </row>
    <row r="12369" spans="1:1" x14ac:dyDescent="0.3">
      <c r="A12369" s="24"/>
    </row>
    <row r="12370" spans="1:1" x14ac:dyDescent="0.3">
      <c r="A12370" s="24"/>
    </row>
    <row r="12371" spans="1:1" x14ac:dyDescent="0.3">
      <c r="A12371" s="24"/>
    </row>
    <row r="12372" spans="1:1" x14ac:dyDescent="0.3">
      <c r="A12372" s="24"/>
    </row>
    <row r="12373" spans="1:1" x14ac:dyDescent="0.3">
      <c r="A12373" s="24"/>
    </row>
    <row r="12374" spans="1:1" x14ac:dyDescent="0.3">
      <c r="A12374" s="24"/>
    </row>
    <row r="12375" spans="1:1" x14ac:dyDescent="0.3">
      <c r="A12375" s="24"/>
    </row>
    <row r="12376" spans="1:1" x14ac:dyDescent="0.3">
      <c r="A12376" s="24"/>
    </row>
    <row r="12377" spans="1:1" x14ac:dyDescent="0.3">
      <c r="A12377" s="24"/>
    </row>
    <row r="12378" spans="1:1" x14ac:dyDescent="0.3">
      <c r="A12378" s="24"/>
    </row>
    <row r="12379" spans="1:1" x14ac:dyDescent="0.3">
      <c r="A12379" s="24"/>
    </row>
    <row r="12380" spans="1:1" x14ac:dyDescent="0.3">
      <c r="A12380" s="24"/>
    </row>
    <row r="12381" spans="1:1" x14ac:dyDescent="0.3">
      <c r="A12381" s="24"/>
    </row>
    <row r="12382" spans="1:1" x14ac:dyDescent="0.3">
      <c r="A12382" s="24"/>
    </row>
    <row r="12383" spans="1:1" x14ac:dyDescent="0.3">
      <c r="A12383" s="24"/>
    </row>
    <row r="12384" spans="1:1" x14ac:dyDescent="0.3">
      <c r="A12384" s="24"/>
    </row>
    <row r="12385" spans="1:1" x14ac:dyDescent="0.3">
      <c r="A12385" s="24"/>
    </row>
    <row r="12386" spans="1:1" x14ac:dyDescent="0.3">
      <c r="A12386" s="24"/>
    </row>
    <row r="12387" spans="1:1" x14ac:dyDescent="0.3">
      <c r="A12387" s="24"/>
    </row>
    <row r="12388" spans="1:1" x14ac:dyDescent="0.3">
      <c r="A12388" s="24"/>
    </row>
    <row r="12389" spans="1:1" x14ac:dyDescent="0.3">
      <c r="A12389" s="24"/>
    </row>
    <row r="12390" spans="1:1" x14ac:dyDescent="0.3">
      <c r="A12390" s="24"/>
    </row>
    <row r="12391" spans="1:1" x14ac:dyDescent="0.3">
      <c r="A12391" s="24"/>
    </row>
    <row r="12392" spans="1:1" x14ac:dyDescent="0.3">
      <c r="A12392" s="24"/>
    </row>
    <row r="12393" spans="1:1" x14ac:dyDescent="0.3">
      <c r="A12393" s="24"/>
    </row>
    <row r="12394" spans="1:1" x14ac:dyDescent="0.3">
      <c r="A12394" s="24"/>
    </row>
    <row r="12395" spans="1:1" x14ac:dyDescent="0.3">
      <c r="A12395" s="24"/>
    </row>
    <row r="12396" spans="1:1" x14ac:dyDescent="0.3">
      <c r="A12396" s="24"/>
    </row>
    <row r="12397" spans="1:1" x14ac:dyDescent="0.3">
      <c r="A12397" s="24"/>
    </row>
    <row r="12398" spans="1:1" x14ac:dyDescent="0.3">
      <c r="A12398" s="24"/>
    </row>
    <row r="12399" spans="1:1" x14ac:dyDescent="0.3">
      <c r="A12399" s="24"/>
    </row>
    <row r="12400" spans="1:1" x14ac:dyDescent="0.3">
      <c r="A12400" s="24"/>
    </row>
    <row r="12401" spans="1:1" x14ac:dyDescent="0.3">
      <c r="A12401" s="24"/>
    </row>
    <row r="12402" spans="1:1" x14ac:dyDescent="0.3">
      <c r="A12402" s="24"/>
    </row>
    <row r="12403" spans="1:1" x14ac:dyDescent="0.3">
      <c r="A12403" s="24"/>
    </row>
    <row r="12404" spans="1:1" x14ac:dyDescent="0.3">
      <c r="A12404" s="24"/>
    </row>
    <row r="12405" spans="1:1" x14ac:dyDescent="0.3">
      <c r="A12405" s="24"/>
    </row>
    <row r="12406" spans="1:1" x14ac:dyDescent="0.3">
      <c r="A12406" s="24"/>
    </row>
    <row r="12407" spans="1:1" x14ac:dyDescent="0.3">
      <c r="A12407" s="24"/>
    </row>
    <row r="12408" spans="1:1" x14ac:dyDescent="0.3">
      <c r="A12408" s="24"/>
    </row>
    <row r="12409" spans="1:1" x14ac:dyDescent="0.3">
      <c r="A12409" s="24"/>
    </row>
    <row r="12410" spans="1:1" x14ac:dyDescent="0.3">
      <c r="A12410" s="24"/>
    </row>
    <row r="12411" spans="1:1" x14ac:dyDescent="0.3">
      <c r="A12411" s="24"/>
    </row>
    <row r="12412" spans="1:1" x14ac:dyDescent="0.3">
      <c r="A12412" s="24"/>
    </row>
    <row r="12413" spans="1:1" x14ac:dyDescent="0.3">
      <c r="A12413" s="24"/>
    </row>
    <row r="12414" spans="1:1" x14ac:dyDescent="0.3">
      <c r="A12414" s="24"/>
    </row>
    <row r="12415" spans="1:1" x14ac:dyDescent="0.3">
      <c r="A12415" s="24"/>
    </row>
    <row r="12416" spans="1:1" x14ac:dyDescent="0.3">
      <c r="A12416" s="24"/>
    </row>
    <row r="12417" spans="1:1" x14ac:dyDescent="0.3">
      <c r="A12417" s="24"/>
    </row>
    <row r="12418" spans="1:1" x14ac:dyDescent="0.3">
      <c r="A12418" s="24"/>
    </row>
    <row r="12419" spans="1:1" x14ac:dyDescent="0.3">
      <c r="A12419" s="24"/>
    </row>
    <row r="12420" spans="1:1" x14ac:dyDescent="0.3">
      <c r="A12420" s="24"/>
    </row>
    <row r="12421" spans="1:1" x14ac:dyDescent="0.3">
      <c r="A12421" s="24"/>
    </row>
    <row r="12422" spans="1:1" x14ac:dyDescent="0.3">
      <c r="A12422" s="24"/>
    </row>
    <row r="12423" spans="1:1" x14ac:dyDescent="0.3">
      <c r="A12423" s="24"/>
    </row>
    <row r="12424" spans="1:1" x14ac:dyDescent="0.3">
      <c r="A12424" s="24"/>
    </row>
    <row r="12425" spans="1:1" x14ac:dyDescent="0.3">
      <c r="A12425" s="24"/>
    </row>
    <row r="12426" spans="1:1" x14ac:dyDescent="0.3">
      <c r="A12426" s="24"/>
    </row>
    <row r="12427" spans="1:1" x14ac:dyDescent="0.3">
      <c r="A12427" s="24"/>
    </row>
    <row r="12428" spans="1:1" x14ac:dyDescent="0.3">
      <c r="A12428" s="24"/>
    </row>
    <row r="12429" spans="1:1" x14ac:dyDescent="0.3">
      <c r="A12429" s="24"/>
    </row>
    <row r="12430" spans="1:1" x14ac:dyDescent="0.3">
      <c r="A12430" s="24"/>
    </row>
    <row r="12431" spans="1:1" x14ac:dyDescent="0.3">
      <c r="A12431" s="24"/>
    </row>
    <row r="12432" spans="1:1" x14ac:dyDescent="0.3">
      <c r="A12432" s="24"/>
    </row>
    <row r="12433" spans="1:1" x14ac:dyDescent="0.3">
      <c r="A12433" s="24"/>
    </row>
    <row r="12434" spans="1:1" x14ac:dyDescent="0.3">
      <c r="A12434" s="24"/>
    </row>
    <row r="12435" spans="1:1" x14ac:dyDescent="0.3">
      <c r="A12435" s="24"/>
    </row>
    <row r="12436" spans="1:1" x14ac:dyDescent="0.3">
      <c r="A12436" s="24"/>
    </row>
    <row r="12437" spans="1:1" x14ac:dyDescent="0.3">
      <c r="A12437" s="24"/>
    </row>
    <row r="12438" spans="1:1" x14ac:dyDescent="0.3">
      <c r="A12438" s="24"/>
    </row>
    <row r="12439" spans="1:1" x14ac:dyDescent="0.3">
      <c r="A12439" s="24"/>
    </row>
    <row r="12440" spans="1:1" x14ac:dyDescent="0.3">
      <c r="A12440" s="24"/>
    </row>
    <row r="12441" spans="1:1" x14ac:dyDescent="0.3">
      <c r="A12441" s="24"/>
    </row>
    <row r="12442" spans="1:1" x14ac:dyDescent="0.3">
      <c r="A12442" s="24"/>
    </row>
    <row r="12443" spans="1:1" x14ac:dyDescent="0.3">
      <c r="A12443" s="24"/>
    </row>
    <row r="12444" spans="1:1" x14ac:dyDescent="0.3">
      <c r="A12444" s="24"/>
    </row>
    <row r="12445" spans="1:1" x14ac:dyDescent="0.3">
      <c r="A12445" s="24"/>
    </row>
    <row r="12446" spans="1:1" x14ac:dyDescent="0.3">
      <c r="A12446" s="24"/>
    </row>
    <row r="12447" spans="1:1" x14ac:dyDescent="0.3">
      <c r="A12447" s="24"/>
    </row>
    <row r="12448" spans="1:1" x14ac:dyDescent="0.3">
      <c r="A12448" s="24"/>
    </row>
    <row r="12449" spans="1:1" x14ac:dyDescent="0.3">
      <c r="A12449" s="24"/>
    </row>
    <row r="12450" spans="1:1" x14ac:dyDescent="0.3">
      <c r="A12450" s="24"/>
    </row>
    <row r="12451" spans="1:1" x14ac:dyDescent="0.3">
      <c r="A12451" s="24"/>
    </row>
    <row r="12452" spans="1:1" x14ac:dyDescent="0.3">
      <c r="A12452" s="24"/>
    </row>
    <row r="12453" spans="1:1" x14ac:dyDescent="0.3">
      <c r="A12453" s="24"/>
    </row>
    <row r="12454" spans="1:1" x14ac:dyDescent="0.3">
      <c r="A12454" s="24"/>
    </row>
    <row r="12455" spans="1:1" x14ac:dyDescent="0.3">
      <c r="A12455" s="24"/>
    </row>
    <row r="12456" spans="1:1" x14ac:dyDescent="0.3">
      <c r="A12456" s="24"/>
    </row>
    <row r="12457" spans="1:1" x14ac:dyDescent="0.3">
      <c r="A12457" s="24"/>
    </row>
    <row r="12458" spans="1:1" x14ac:dyDescent="0.3">
      <c r="A12458" s="24"/>
    </row>
    <row r="12459" spans="1:1" x14ac:dyDescent="0.3">
      <c r="A12459" s="24"/>
    </row>
    <row r="12460" spans="1:1" x14ac:dyDescent="0.3">
      <c r="A12460" s="24"/>
    </row>
    <row r="12461" spans="1:1" x14ac:dyDescent="0.3">
      <c r="A12461" s="24"/>
    </row>
    <row r="12462" spans="1:1" x14ac:dyDescent="0.3">
      <c r="A12462" s="24"/>
    </row>
    <row r="12463" spans="1:1" x14ac:dyDescent="0.3">
      <c r="A12463" s="24"/>
    </row>
    <row r="12464" spans="1:1" x14ac:dyDescent="0.3">
      <c r="A12464" s="24"/>
    </row>
    <row r="12465" spans="1:1" x14ac:dyDescent="0.3">
      <c r="A12465" s="24"/>
    </row>
    <row r="12466" spans="1:1" x14ac:dyDescent="0.3">
      <c r="A12466" s="24"/>
    </row>
    <row r="12467" spans="1:1" x14ac:dyDescent="0.3">
      <c r="A12467" s="24"/>
    </row>
    <row r="12468" spans="1:1" x14ac:dyDescent="0.3">
      <c r="A12468" s="24"/>
    </row>
    <row r="12469" spans="1:1" x14ac:dyDescent="0.3">
      <c r="A12469" s="24"/>
    </row>
    <row r="12470" spans="1:1" x14ac:dyDescent="0.3">
      <c r="A12470" s="24"/>
    </row>
    <row r="12471" spans="1:1" x14ac:dyDescent="0.3">
      <c r="A12471" s="24"/>
    </row>
    <row r="12472" spans="1:1" x14ac:dyDescent="0.3">
      <c r="A12472" s="24"/>
    </row>
    <row r="12473" spans="1:1" x14ac:dyDescent="0.3">
      <c r="A12473" s="24"/>
    </row>
    <row r="12474" spans="1:1" x14ac:dyDescent="0.3">
      <c r="A12474" s="24"/>
    </row>
    <row r="12475" spans="1:1" x14ac:dyDescent="0.3">
      <c r="A12475" s="24"/>
    </row>
    <row r="12476" spans="1:1" x14ac:dyDescent="0.3">
      <c r="A12476" s="24"/>
    </row>
    <row r="12477" spans="1:1" x14ac:dyDescent="0.3">
      <c r="A12477" s="24"/>
    </row>
    <row r="12478" spans="1:1" x14ac:dyDescent="0.3">
      <c r="A12478" s="24"/>
    </row>
    <row r="12479" spans="1:1" x14ac:dyDescent="0.3">
      <c r="A12479" s="24"/>
    </row>
    <row r="12480" spans="1:1" x14ac:dyDescent="0.3">
      <c r="A12480" s="24"/>
    </row>
    <row r="12481" spans="1:1" x14ac:dyDescent="0.3">
      <c r="A12481" s="24"/>
    </row>
    <row r="12482" spans="1:1" x14ac:dyDescent="0.3">
      <c r="A12482" s="24"/>
    </row>
    <row r="12483" spans="1:1" x14ac:dyDescent="0.3">
      <c r="A12483" s="24"/>
    </row>
    <row r="12484" spans="1:1" x14ac:dyDescent="0.3">
      <c r="A12484" s="24"/>
    </row>
    <row r="12485" spans="1:1" x14ac:dyDescent="0.3">
      <c r="A12485" s="24"/>
    </row>
    <row r="12486" spans="1:1" x14ac:dyDescent="0.3">
      <c r="A12486" s="24"/>
    </row>
    <row r="12487" spans="1:1" x14ac:dyDescent="0.3">
      <c r="A12487" s="24"/>
    </row>
    <row r="12488" spans="1:1" x14ac:dyDescent="0.3">
      <c r="A12488" s="24"/>
    </row>
    <row r="12489" spans="1:1" x14ac:dyDescent="0.3">
      <c r="A12489" s="24"/>
    </row>
    <row r="12490" spans="1:1" x14ac:dyDescent="0.3">
      <c r="A12490" s="24"/>
    </row>
    <row r="12491" spans="1:1" x14ac:dyDescent="0.3">
      <c r="A12491" s="24"/>
    </row>
    <row r="12492" spans="1:1" x14ac:dyDescent="0.3">
      <c r="A12492" s="24"/>
    </row>
    <row r="12493" spans="1:1" x14ac:dyDescent="0.3">
      <c r="A12493" s="24"/>
    </row>
    <row r="12494" spans="1:1" x14ac:dyDescent="0.3">
      <c r="A12494" s="24"/>
    </row>
    <row r="12495" spans="1:1" x14ac:dyDescent="0.3">
      <c r="A12495" s="24"/>
    </row>
    <row r="12496" spans="1:1" x14ac:dyDescent="0.3">
      <c r="A12496" s="24"/>
    </row>
    <row r="12497" spans="1:1" x14ac:dyDescent="0.3">
      <c r="A12497" s="24"/>
    </row>
    <row r="12498" spans="1:1" x14ac:dyDescent="0.3">
      <c r="A12498" s="24"/>
    </row>
    <row r="12499" spans="1:1" x14ac:dyDescent="0.3">
      <c r="A12499" s="24"/>
    </row>
    <row r="12500" spans="1:1" x14ac:dyDescent="0.3">
      <c r="A12500" s="24"/>
    </row>
    <row r="12501" spans="1:1" x14ac:dyDescent="0.3">
      <c r="A12501" s="24"/>
    </row>
    <row r="12502" spans="1:1" x14ac:dyDescent="0.3">
      <c r="A12502" s="24"/>
    </row>
    <row r="12503" spans="1:1" x14ac:dyDescent="0.3">
      <c r="A12503" s="24"/>
    </row>
    <row r="12504" spans="1:1" x14ac:dyDescent="0.3">
      <c r="A12504" s="24"/>
    </row>
    <row r="12505" spans="1:1" x14ac:dyDescent="0.3">
      <c r="A12505" s="24"/>
    </row>
    <row r="12506" spans="1:1" x14ac:dyDescent="0.3">
      <c r="A12506" s="24"/>
    </row>
    <row r="12507" spans="1:1" x14ac:dyDescent="0.3">
      <c r="A12507" s="24"/>
    </row>
    <row r="12508" spans="1:1" x14ac:dyDescent="0.3">
      <c r="A12508" s="24"/>
    </row>
    <row r="12509" spans="1:1" x14ac:dyDescent="0.3">
      <c r="A12509" s="24"/>
    </row>
    <row r="12510" spans="1:1" x14ac:dyDescent="0.3">
      <c r="A12510" s="24"/>
    </row>
    <row r="12511" spans="1:1" x14ac:dyDescent="0.3">
      <c r="A12511" s="24"/>
    </row>
    <row r="12512" spans="1:1" x14ac:dyDescent="0.3">
      <c r="A12512" s="24"/>
    </row>
    <row r="12513" spans="1:1" x14ac:dyDescent="0.3">
      <c r="A12513" s="24"/>
    </row>
    <row r="12514" spans="1:1" x14ac:dyDescent="0.3">
      <c r="A12514" s="24"/>
    </row>
    <row r="12515" spans="1:1" x14ac:dyDescent="0.3">
      <c r="A12515" s="24"/>
    </row>
    <row r="12516" spans="1:1" x14ac:dyDescent="0.3">
      <c r="A12516" s="24"/>
    </row>
    <row r="12517" spans="1:1" x14ac:dyDescent="0.3">
      <c r="A12517" s="24"/>
    </row>
    <row r="12518" spans="1:1" x14ac:dyDescent="0.3">
      <c r="A12518" s="24"/>
    </row>
    <row r="12519" spans="1:1" x14ac:dyDescent="0.3">
      <c r="A12519" s="24"/>
    </row>
    <row r="12520" spans="1:1" x14ac:dyDescent="0.3">
      <c r="A12520" s="24"/>
    </row>
    <row r="12521" spans="1:1" x14ac:dyDescent="0.3">
      <c r="A12521" s="24"/>
    </row>
    <row r="12522" spans="1:1" x14ac:dyDescent="0.3">
      <c r="A12522" s="24"/>
    </row>
    <row r="12523" spans="1:1" x14ac:dyDescent="0.3">
      <c r="A12523" s="24"/>
    </row>
    <row r="12524" spans="1:1" x14ac:dyDescent="0.3">
      <c r="A12524" s="24"/>
    </row>
    <row r="12525" spans="1:1" x14ac:dyDescent="0.3">
      <c r="A12525" s="24"/>
    </row>
    <row r="12526" spans="1:1" x14ac:dyDescent="0.3">
      <c r="A12526" s="24"/>
    </row>
    <row r="12527" spans="1:1" x14ac:dyDescent="0.3">
      <c r="A12527" s="24"/>
    </row>
    <row r="12528" spans="1:1" x14ac:dyDescent="0.3">
      <c r="A12528" s="24"/>
    </row>
    <row r="12529" spans="1:1" x14ac:dyDescent="0.3">
      <c r="A12529" s="24"/>
    </row>
    <row r="12530" spans="1:1" x14ac:dyDescent="0.3">
      <c r="A12530" s="24"/>
    </row>
    <row r="12531" spans="1:1" x14ac:dyDescent="0.3">
      <c r="A12531" s="24"/>
    </row>
    <row r="12532" spans="1:1" x14ac:dyDescent="0.3">
      <c r="A12532" s="24"/>
    </row>
    <row r="12533" spans="1:1" x14ac:dyDescent="0.3">
      <c r="A12533" s="24"/>
    </row>
    <row r="12534" spans="1:1" x14ac:dyDescent="0.3">
      <c r="A12534" s="24"/>
    </row>
    <row r="12535" spans="1:1" x14ac:dyDescent="0.3">
      <c r="A12535" s="24"/>
    </row>
    <row r="12536" spans="1:1" x14ac:dyDescent="0.3">
      <c r="A12536" s="24"/>
    </row>
    <row r="12537" spans="1:1" x14ac:dyDescent="0.3">
      <c r="A12537" s="24"/>
    </row>
    <row r="12538" spans="1:1" x14ac:dyDescent="0.3">
      <c r="A12538" s="24"/>
    </row>
    <row r="12539" spans="1:1" x14ac:dyDescent="0.3">
      <c r="A12539" s="24"/>
    </row>
    <row r="12540" spans="1:1" x14ac:dyDescent="0.3">
      <c r="A12540" s="24"/>
    </row>
    <row r="12541" spans="1:1" x14ac:dyDescent="0.3">
      <c r="A12541" s="24"/>
    </row>
    <row r="12542" spans="1:1" x14ac:dyDescent="0.3">
      <c r="A12542" s="24"/>
    </row>
    <row r="12543" spans="1:1" x14ac:dyDescent="0.3">
      <c r="A12543" s="24"/>
    </row>
    <row r="12544" spans="1:1" x14ac:dyDescent="0.3">
      <c r="A12544" s="24"/>
    </row>
  </sheetData>
  <mergeCells count="2">
    <mergeCell ref="J7509:L7515"/>
    <mergeCell ref="J7516:L751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B7ED-AB74-4ADD-9F08-F58982F42AC0}">
  <sheetPr>
    <pageSetUpPr fitToPage="1"/>
  </sheetPr>
  <dimension ref="A1:AI106"/>
  <sheetViews>
    <sheetView workbookViewId="0">
      <pane xSplit="1" ySplit="1" topLeftCell="AD3" activePane="bottomRight" state="frozen"/>
      <selection pane="topRight" activeCell="E93" sqref="E93"/>
      <selection pane="bottomLeft" activeCell="E93" sqref="E93"/>
      <selection pane="bottomRight" activeCell="AI5" sqref="AI5"/>
    </sheetView>
  </sheetViews>
  <sheetFormatPr baseColWidth="10" defaultColWidth="11.44140625" defaultRowHeight="14.4" x14ac:dyDescent="0.3"/>
  <cols>
    <col min="1" max="1" width="56.88671875" style="1" customWidth="1"/>
    <col min="2" max="22" width="12.88671875" style="1" customWidth="1"/>
    <col min="23" max="16384" width="11.44140625" style="1"/>
  </cols>
  <sheetData>
    <row r="1" spans="1:35"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+'Pza Arauc'!AC1</f>
        <v>45565</v>
      </c>
      <c r="AD1" s="2">
        <f>+'Pza Arauc'!AD1</f>
        <v>45657</v>
      </c>
      <c r="AE1" s="2">
        <f>+'Pza Arauc'!AE1</f>
        <v>45747</v>
      </c>
      <c r="AF1" s="2">
        <f>+'Pza Arauc'!AF1</f>
        <v>45838</v>
      </c>
      <c r="AG1" s="2">
        <f>+'Pza Arauc'!AG1</f>
        <v>45930</v>
      </c>
      <c r="AH1" s="2">
        <f>+'Pza Arauc'!AH1</f>
        <v>46022</v>
      </c>
      <c r="AI1" s="2">
        <f>+'Pza Arauc'!AI1</f>
        <v>46112</v>
      </c>
    </row>
    <row r="2" spans="1:35" s="6" customFormat="1" x14ac:dyDescent="0.3">
      <c r="A2" s="6" t="s">
        <v>273</v>
      </c>
      <c r="B2" s="7"/>
      <c r="C2" s="7"/>
      <c r="D2" s="7"/>
      <c r="E2" s="7"/>
      <c r="F2" s="7"/>
      <c r="G2" s="7"/>
      <c r="H2" s="7"/>
      <c r="I2" s="7"/>
      <c r="J2" s="7"/>
      <c r="K2" s="7"/>
      <c r="L2" s="7"/>
      <c r="M2" s="7"/>
      <c r="N2" s="7"/>
      <c r="O2" s="3"/>
      <c r="P2" s="7"/>
      <c r="Q2" s="7"/>
      <c r="R2" s="7"/>
      <c r="S2" s="7"/>
      <c r="T2" s="7"/>
      <c r="U2" s="7"/>
      <c r="V2" s="7"/>
      <c r="W2" s="10"/>
      <c r="X2" s="10"/>
      <c r="Y2" s="10"/>
      <c r="Z2" s="10"/>
      <c r="AA2" s="10"/>
      <c r="AB2" s="10"/>
      <c r="AC2" s="10"/>
      <c r="AD2" s="10"/>
      <c r="AE2" s="10"/>
      <c r="AF2" s="10"/>
      <c r="AG2" s="10"/>
      <c r="AH2" s="10"/>
      <c r="AI2" s="10"/>
    </row>
    <row r="3" spans="1:35"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x14ac:dyDescent="0.3">
      <c r="A4" s="1" t="s">
        <v>10</v>
      </c>
      <c r="B4" s="3"/>
      <c r="C4" s="3"/>
      <c r="D4" s="3"/>
      <c r="E4" s="3"/>
      <c r="F4" s="3"/>
      <c r="G4" s="3"/>
      <c r="H4" s="3"/>
      <c r="I4" s="3"/>
      <c r="J4" s="3"/>
      <c r="K4" s="3"/>
      <c r="L4" s="3"/>
      <c r="M4" s="3"/>
      <c r="N4" s="3"/>
      <c r="P4" s="3"/>
      <c r="Q4" s="3"/>
      <c r="R4" s="3"/>
      <c r="S4" s="3"/>
      <c r="T4" s="3"/>
      <c r="U4" s="3"/>
      <c r="V4" s="3"/>
      <c r="W4" s="3"/>
      <c r="X4" s="3"/>
      <c r="Y4" s="3"/>
      <c r="Z4" s="3"/>
      <c r="AA4" s="3"/>
      <c r="AB4" s="3"/>
      <c r="AC4" s="3"/>
      <c r="AD4" s="3"/>
      <c r="AE4" s="3"/>
      <c r="AF4" s="3"/>
      <c r="AG4" s="3"/>
      <c r="AH4" s="3"/>
      <c r="AI4" s="3"/>
    </row>
    <row r="5" spans="1:35" x14ac:dyDescent="0.3">
      <c r="A5" s="1" t="s">
        <v>11</v>
      </c>
      <c r="B5" s="3"/>
      <c r="C5" s="3">
        <v>41636</v>
      </c>
      <c r="D5" s="3">
        <v>6865</v>
      </c>
      <c r="E5" s="3">
        <v>16352</v>
      </c>
      <c r="F5" s="3">
        <v>45638</v>
      </c>
      <c r="G5" s="3">
        <v>50033</v>
      </c>
      <c r="H5" s="3">
        <v>30576</v>
      </c>
      <c r="I5" s="3">
        <v>26991</v>
      </c>
      <c r="J5" s="3">
        <v>18485</v>
      </c>
      <c r="K5" s="3">
        <v>21753</v>
      </c>
      <c r="L5" s="3">
        <v>2493</v>
      </c>
      <c r="M5" s="3">
        <v>58869</v>
      </c>
      <c r="N5" s="3">
        <v>43575</v>
      </c>
      <c r="O5" s="3">
        <v>52243</v>
      </c>
      <c r="P5" s="3">
        <v>51151</v>
      </c>
      <c r="Q5" s="3">
        <v>71365</v>
      </c>
      <c r="R5" s="3">
        <v>71823</v>
      </c>
      <c r="S5" s="3">
        <v>78303</v>
      </c>
      <c r="T5" s="3">
        <v>84937</v>
      </c>
      <c r="U5" s="3">
        <v>92341</v>
      </c>
      <c r="V5" s="3">
        <v>102129</v>
      </c>
      <c r="W5" s="3">
        <v>127001</v>
      </c>
      <c r="X5" s="3">
        <v>139072</v>
      </c>
      <c r="Y5" s="3">
        <v>154425</v>
      </c>
      <c r="Z5" s="3">
        <v>171041</v>
      </c>
      <c r="AA5" s="3">
        <v>184675</v>
      </c>
      <c r="AB5" s="3">
        <v>144561</v>
      </c>
      <c r="AC5" s="3">
        <v>105155</v>
      </c>
      <c r="AD5" s="3">
        <v>130900</v>
      </c>
      <c r="AE5" s="3">
        <v>21916</v>
      </c>
      <c r="AF5" s="3">
        <v>0</v>
      </c>
      <c r="AG5" s="3">
        <v>0</v>
      </c>
      <c r="AH5" s="3">
        <v>0</v>
      </c>
      <c r="AI5" s="3">
        <v>0</v>
      </c>
    </row>
    <row r="6" spans="1:35" x14ac:dyDescent="0.3">
      <c r="A6" s="1" t="s">
        <v>101</v>
      </c>
      <c r="B6" s="3"/>
      <c r="C6" s="3">
        <v>0</v>
      </c>
      <c r="D6" s="3">
        <v>0</v>
      </c>
      <c r="E6" s="3">
        <v>0</v>
      </c>
      <c r="F6" s="3">
        <v>0</v>
      </c>
      <c r="G6" s="3"/>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row>
    <row r="7" spans="1:35" x14ac:dyDescent="0.3">
      <c r="A7" s="1" t="s">
        <v>102</v>
      </c>
      <c r="B7" s="3"/>
      <c r="C7" s="3">
        <v>0</v>
      </c>
      <c r="D7" s="3">
        <v>2088</v>
      </c>
      <c r="E7" s="3">
        <v>0</v>
      </c>
      <c r="F7" s="3">
        <v>0</v>
      </c>
      <c r="G7" s="3"/>
      <c r="H7" s="3">
        <v>0</v>
      </c>
      <c r="I7" s="3">
        <v>0</v>
      </c>
      <c r="J7" s="3">
        <v>2119</v>
      </c>
      <c r="K7" s="3">
        <v>1559</v>
      </c>
      <c r="L7" s="3">
        <v>981</v>
      </c>
      <c r="M7" s="3">
        <v>682</v>
      </c>
      <c r="N7" s="3">
        <v>1526</v>
      </c>
      <c r="O7" s="3">
        <v>518</v>
      </c>
      <c r="P7" s="3">
        <v>528</v>
      </c>
      <c r="Q7" s="3">
        <v>4177</v>
      </c>
      <c r="R7" s="3">
        <v>3350</v>
      </c>
      <c r="S7" s="3">
        <v>2618</v>
      </c>
      <c r="T7" s="3">
        <v>1873</v>
      </c>
      <c r="U7" s="3">
        <v>1370</v>
      </c>
      <c r="V7" s="3">
        <v>150</v>
      </c>
      <c r="W7" s="3">
        <v>5603</v>
      </c>
      <c r="X7" s="3">
        <v>4588</v>
      </c>
      <c r="Y7" s="3">
        <v>3715</v>
      </c>
      <c r="Z7" s="3">
        <v>2418</v>
      </c>
      <c r="AA7" s="3">
        <v>1312</v>
      </c>
      <c r="AB7" s="3">
        <v>492</v>
      </c>
      <c r="AC7" s="3">
        <v>4728</v>
      </c>
      <c r="AD7" s="3">
        <v>3665</v>
      </c>
      <c r="AE7" s="3">
        <v>0</v>
      </c>
      <c r="AF7" s="3">
        <v>0</v>
      </c>
      <c r="AG7" s="3">
        <v>0</v>
      </c>
      <c r="AH7" s="3">
        <v>0</v>
      </c>
      <c r="AI7" s="3">
        <v>0</v>
      </c>
    </row>
    <row r="8" spans="1:35" x14ac:dyDescent="0.3">
      <c r="A8" s="1" t="s">
        <v>103</v>
      </c>
      <c r="B8" s="3"/>
      <c r="C8" s="3">
        <v>192691</v>
      </c>
      <c r="D8" s="3">
        <v>0</v>
      </c>
      <c r="E8" s="3">
        <v>642</v>
      </c>
      <c r="F8" s="3">
        <v>971</v>
      </c>
      <c r="G8" s="3">
        <v>709</v>
      </c>
      <c r="H8" s="3">
        <v>450</v>
      </c>
      <c r="I8" s="3">
        <v>438</v>
      </c>
      <c r="J8" s="3">
        <v>11555</v>
      </c>
      <c r="K8" s="3">
        <v>21497</v>
      </c>
      <c r="L8" s="3">
        <v>15390</v>
      </c>
      <c r="M8" s="3">
        <v>15390</v>
      </c>
      <c r="N8" s="3">
        <v>12765</v>
      </c>
      <c r="O8" s="3">
        <v>1239</v>
      </c>
      <c r="P8" s="3">
        <v>1847</v>
      </c>
      <c r="Q8" s="3">
        <v>2357</v>
      </c>
      <c r="R8" s="3">
        <v>335</v>
      </c>
      <c r="S8" s="3">
        <v>4956</v>
      </c>
      <c r="T8" s="3">
        <v>2039</v>
      </c>
      <c r="U8" s="3">
        <v>3837</v>
      </c>
      <c r="V8" s="3">
        <v>1847</v>
      </c>
      <c r="W8" s="3">
        <v>1921</v>
      </c>
      <c r="X8" s="3">
        <v>1911</v>
      </c>
      <c r="Y8" s="3">
        <v>4476</v>
      </c>
      <c r="Z8" s="3">
        <v>1939</v>
      </c>
      <c r="AA8" s="3">
        <v>1956</v>
      </c>
      <c r="AB8" s="3">
        <v>2663</v>
      </c>
      <c r="AC8" s="3">
        <v>0</v>
      </c>
      <c r="AD8" s="3">
        <v>2031</v>
      </c>
      <c r="AE8" s="3">
        <v>0</v>
      </c>
      <c r="AF8" s="3">
        <v>0</v>
      </c>
      <c r="AG8" s="3">
        <v>0</v>
      </c>
      <c r="AH8" s="3">
        <v>0</v>
      </c>
      <c r="AI8" s="3">
        <v>0</v>
      </c>
    </row>
    <row r="9" spans="1:35" x14ac:dyDescent="0.3">
      <c r="A9" s="1" t="s">
        <v>104</v>
      </c>
      <c r="B9" s="3"/>
      <c r="C9" s="3">
        <v>4000</v>
      </c>
      <c r="D9" s="3">
        <v>0</v>
      </c>
      <c r="E9" s="3">
        <v>0</v>
      </c>
      <c r="F9" s="3">
        <v>0</v>
      </c>
      <c r="G9" s="3">
        <v>20</v>
      </c>
      <c r="H9" s="3">
        <v>20</v>
      </c>
      <c r="I9" s="3">
        <v>20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40000</v>
      </c>
      <c r="AC9" s="3">
        <v>90000</v>
      </c>
      <c r="AD9" s="3">
        <v>0</v>
      </c>
      <c r="AE9" s="3">
        <v>0</v>
      </c>
      <c r="AF9" s="3">
        <v>0</v>
      </c>
      <c r="AG9" s="3">
        <v>0</v>
      </c>
      <c r="AH9" s="3">
        <v>0</v>
      </c>
      <c r="AI9" s="3">
        <v>0</v>
      </c>
    </row>
    <row r="10" spans="1:35" x14ac:dyDescent="0.3">
      <c r="A10" s="1" t="s">
        <v>105</v>
      </c>
      <c r="B10" s="3"/>
      <c r="C10" s="3">
        <v>145732</v>
      </c>
      <c r="D10" s="3">
        <v>328277</v>
      </c>
      <c r="E10" s="3">
        <v>325451</v>
      </c>
      <c r="F10" s="3">
        <v>314208</v>
      </c>
      <c r="G10" s="3">
        <v>307897</v>
      </c>
      <c r="H10" s="3">
        <v>308778</v>
      </c>
      <c r="I10" s="3">
        <v>304834</v>
      </c>
      <c r="J10" s="3">
        <v>301314</v>
      </c>
      <c r="K10" s="3">
        <v>298887</v>
      </c>
      <c r="L10" s="3">
        <v>297717</v>
      </c>
      <c r="M10" s="3">
        <v>295552</v>
      </c>
      <c r="N10" s="3">
        <v>296770</v>
      </c>
      <c r="O10" s="3">
        <v>295451</v>
      </c>
      <c r="P10" s="3">
        <v>293488</v>
      </c>
      <c r="Q10" s="3">
        <v>291655</v>
      </c>
      <c r="R10" s="3">
        <v>297813</v>
      </c>
      <c r="S10" s="3">
        <v>295865</v>
      </c>
      <c r="T10" s="3">
        <v>304473</v>
      </c>
      <c r="U10" s="3">
        <v>307667</v>
      </c>
      <c r="V10" s="3">
        <v>307198</v>
      </c>
      <c r="W10" s="3">
        <v>302152</v>
      </c>
      <c r="X10" s="3">
        <v>299040</v>
      </c>
      <c r="Y10" s="3">
        <v>294166</v>
      </c>
      <c r="Z10" s="3">
        <v>297838</v>
      </c>
      <c r="AA10" s="3">
        <v>298058</v>
      </c>
      <c r="AB10" s="3">
        <v>299315</v>
      </c>
      <c r="AC10" s="3">
        <v>299774</v>
      </c>
      <c r="AD10" s="3">
        <v>0</v>
      </c>
      <c r="AE10" s="3">
        <v>0</v>
      </c>
      <c r="AF10" s="3">
        <v>0</v>
      </c>
      <c r="AG10" s="3">
        <v>0</v>
      </c>
      <c r="AH10" s="3">
        <v>0</v>
      </c>
      <c r="AI10" s="3">
        <v>0</v>
      </c>
    </row>
    <row r="11" spans="1:35" x14ac:dyDescent="0.3">
      <c r="A11" s="1" t="s">
        <v>106</v>
      </c>
      <c r="B11" s="3"/>
      <c r="C11" s="3">
        <v>0</v>
      </c>
      <c r="D11" s="3">
        <v>0</v>
      </c>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row>
    <row r="12" spans="1:35" s="6" customFormat="1" x14ac:dyDescent="0.3">
      <c r="A12" s="6" t="s">
        <v>15</v>
      </c>
      <c r="B12" s="7">
        <f>+SUM(B2:B11)</f>
        <v>0</v>
      </c>
      <c r="C12" s="7">
        <f t="shared" ref="C12:Z12" si="0">+SUM(C2:C11)</f>
        <v>384059</v>
      </c>
      <c r="D12" s="7">
        <f t="shared" si="0"/>
        <v>337230</v>
      </c>
      <c r="E12" s="7">
        <f t="shared" si="0"/>
        <v>342445</v>
      </c>
      <c r="F12" s="7">
        <f t="shared" si="0"/>
        <v>360817</v>
      </c>
      <c r="G12" s="7">
        <f t="shared" si="0"/>
        <v>358659</v>
      </c>
      <c r="H12" s="7">
        <f t="shared" si="0"/>
        <v>339824</v>
      </c>
      <c r="I12" s="7">
        <f t="shared" si="0"/>
        <v>332283</v>
      </c>
      <c r="J12" s="7">
        <f t="shared" si="0"/>
        <v>333473</v>
      </c>
      <c r="K12" s="7">
        <f t="shared" si="0"/>
        <v>343696</v>
      </c>
      <c r="L12" s="7">
        <f t="shared" si="0"/>
        <v>316581</v>
      </c>
      <c r="M12" s="7">
        <f t="shared" si="0"/>
        <v>370493</v>
      </c>
      <c r="N12" s="7">
        <f t="shared" si="0"/>
        <v>354636</v>
      </c>
      <c r="O12" s="7">
        <f>+SUM(O2:O11)</f>
        <v>349451</v>
      </c>
      <c r="P12" s="7">
        <f t="shared" si="0"/>
        <v>347014</v>
      </c>
      <c r="Q12" s="7">
        <f t="shared" si="0"/>
        <v>369554</v>
      </c>
      <c r="R12" s="7">
        <f t="shared" si="0"/>
        <v>373321</v>
      </c>
      <c r="S12" s="7">
        <f t="shared" si="0"/>
        <v>381742</v>
      </c>
      <c r="T12" s="7">
        <f t="shared" si="0"/>
        <v>393322</v>
      </c>
      <c r="U12" s="7">
        <f t="shared" si="0"/>
        <v>405215</v>
      </c>
      <c r="V12" s="7">
        <f t="shared" si="0"/>
        <v>411324</v>
      </c>
      <c r="W12" s="7">
        <f t="shared" si="0"/>
        <v>436677</v>
      </c>
      <c r="X12" s="7">
        <f t="shared" si="0"/>
        <v>444611</v>
      </c>
      <c r="Y12" s="7">
        <f t="shared" si="0"/>
        <v>456782</v>
      </c>
      <c r="Z12" s="7">
        <f t="shared" si="0"/>
        <v>473236</v>
      </c>
      <c r="AA12" s="7">
        <f t="shared" ref="AA12:AB12" si="1">+SUM(AA2:AA11)</f>
        <v>486001</v>
      </c>
      <c r="AB12" s="7">
        <f t="shared" si="1"/>
        <v>487031</v>
      </c>
      <c r="AC12" s="7">
        <f t="shared" ref="AC12:AD12" si="2">+SUM(AC2:AC11)</f>
        <v>499657</v>
      </c>
      <c r="AD12" s="7">
        <f t="shared" si="2"/>
        <v>136596</v>
      </c>
      <c r="AE12" s="7">
        <f t="shared" ref="AE12:AF12" si="3">+SUM(AE2:AE11)</f>
        <v>21916</v>
      </c>
      <c r="AF12" s="7">
        <f t="shared" si="3"/>
        <v>0</v>
      </c>
      <c r="AG12" s="7">
        <f t="shared" ref="AG12:AH12" si="4">+SUM(AG2:AG11)</f>
        <v>0</v>
      </c>
      <c r="AH12" s="7">
        <f t="shared" si="4"/>
        <v>0</v>
      </c>
      <c r="AI12" s="7">
        <f t="shared" ref="AI12" si="5">+SUM(AI2:AI11)</f>
        <v>0</v>
      </c>
    </row>
    <row r="13" spans="1:35" x14ac:dyDescent="0.3">
      <c r="A13" s="1" t="s">
        <v>16</v>
      </c>
      <c r="B13" s="3"/>
      <c r="C13" s="3"/>
      <c r="D13" s="3"/>
      <c r="E13" s="3"/>
      <c r="F13" s="3"/>
      <c r="G13" s="3"/>
      <c r="H13" s="3"/>
      <c r="I13" s="3"/>
      <c r="J13" s="3"/>
      <c r="K13" s="3"/>
      <c r="L13" s="3"/>
      <c r="M13" s="3"/>
      <c r="N13" s="3"/>
      <c r="O13" s="3"/>
      <c r="P13" s="3"/>
      <c r="Q13" s="3"/>
      <c r="R13" s="3"/>
      <c r="S13" s="3"/>
      <c r="T13" s="3"/>
      <c r="U13" s="3"/>
      <c r="V13" s="3"/>
    </row>
    <row r="14" spans="1:35" x14ac:dyDescent="0.3">
      <c r="A14" s="1" t="s">
        <v>107</v>
      </c>
      <c r="B14" s="3"/>
      <c r="C14" s="3">
        <v>0</v>
      </c>
      <c r="D14" s="3">
        <v>0</v>
      </c>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row>
    <row r="15" spans="1:35" x14ac:dyDescent="0.3">
      <c r="A15" s="1" t="s">
        <v>108</v>
      </c>
      <c r="B15" s="3"/>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row>
    <row r="16" spans="1:35" x14ac:dyDescent="0.3">
      <c r="A16" s="1" t="s">
        <v>109</v>
      </c>
      <c r="B16" s="3"/>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row>
    <row r="17" spans="1:35" ht="28.8" x14ac:dyDescent="0.3">
      <c r="A17" s="13" t="s">
        <v>110</v>
      </c>
      <c r="B17" s="3"/>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row>
    <row r="18" spans="1:35" x14ac:dyDescent="0.3">
      <c r="A18" s="13" t="s">
        <v>111</v>
      </c>
      <c r="B18" s="3"/>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row>
    <row r="19" spans="1:35" x14ac:dyDescent="0.3">
      <c r="A19" s="1" t="s">
        <v>112</v>
      </c>
      <c r="B19" s="3"/>
      <c r="C19" s="3">
        <v>1992138</v>
      </c>
      <c r="D19" s="3">
        <v>2184856</v>
      </c>
      <c r="E19" s="3">
        <v>2540616</v>
      </c>
      <c r="F19" s="3">
        <v>2697247</v>
      </c>
      <c r="G19" s="3">
        <v>2696622</v>
      </c>
      <c r="H19" s="3">
        <v>2711156</v>
      </c>
      <c r="I19" s="3">
        <v>2723617</v>
      </c>
      <c r="J19" s="3">
        <v>2747301</v>
      </c>
      <c r="K19" s="3">
        <v>2773508</v>
      </c>
      <c r="L19" s="3">
        <v>2464861</v>
      </c>
      <c r="M19" s="3">
        <v>2464435</v>
      </c>
      <c r="N19" s="3">
        <v>2495707</v>
      </c>
      <c r="O19" s="3">
        <v>2523772</v>
      </c>
      <c r="P19" s="3">
        <v>2560821</v>
      </c>
      <c r="Q19" s="3">
        <v>2592081</v>
      </c>
      <c r="R19" s="3">
        <v>2668451</v>
      </c>
      <c r="S19" s="3">
        <v>2730436</v>
      </c>
      <c r="T19" s="3">
        <v>2846490</v>
      </c>
      <c r="U19" s="3">
        <v>2947027</v>
      </c>
      <c r="V19" s="3">
        <v>3020172</v>
      </c>
      <c r="W19" s="3">
        <v>3059942</v>
      </c>
      <c r="X19" s="3">
        <v>3129050</v>
      </c>
      <c r="Y19" s="3">
        <v>3138254</v>
      </c>
      <c r="Z19" s="3">
        <v>3189381</v>
      </c>
      <c r="AA19" s="3">
        <v>3215580</v>
      </c>
      <c r="AB19" s="3">
        <v>3282234</v>
      </c>
      <c r="AC19" s="3">
        <v>3311642</v>
      </c>
      <c r="AD19" s="3">
        <v>690</v>
      </c>
      <c r="AE19" s="3">
        <v>531</v>
      </c>
      <c r="AF19" s="3">
        <v>0</v>
      </c>
      <c r="AG19" s="3">
        <v>0</v>
      </c>
      <c r="AH19" s="3">
        <v>0</v>
      </c>
      <c r="AI19" s="3">
        <v>0</v>
      </c>
    </row>
    <row r="20" spans="1:35" x14ac:dyDescent="0.3">
      <c r="A20" s="1" t="s">
        <v>113</v>
      </c>
      <c r="B20" s="3"/>
      <c r="C20" s="3">
        <v>0</v>
      </c>
      <c r="D20" s="3">
        <v>0</v>
      </c>
      <c r="E20" s="3">
        <v>0</v>
      </c>
      <c r="F20" s="3">
        <v>0</v>
      </c>
      <c r="G20" s="3">
        <v>0</v>
      </c>
      <c r="H20" s="3">
        <v>0</v>
      </c>
      <c r="I20" s="3">
        <v>0</v>
      </c>
      <c r="J20" s="3">
        <v>0</v>
      </c>
      <c r="K20" s="3">
        <v>0</v>
      </c>
      <c r="L20" s="3">
        <v>0</v>
      </c>
      <c r="M20" s="3">
        <v>0</v>
      </c>
      <c r="N20" s="3">
        <v>27609</v>
      </c>
      <c r="O20" s="3">
        <v>33350</v>
      </c>
      <c r="P20" s="3">
        <v>33295</v>
      </c>
      <c r="Q20" s="3">
        <v>34363</v>
      </c>
      <c r="R20" s="3">
        <v>40891</v>
      </c>
      <c r="S20" s="3">
        <v>47452</v>
      </c>
      <c r="T20" s="3">
        <v>59732</v>
      </c>
      <c r="U20" s="3">
        <v>69896</v>
      </c>
      <c r="V20" s="3">
        <v>77601</v>
      </c>
      <c r="W20" s="3">
        <v>78631</v>
      </c>
      <c r="X20" s="3">
        <v>75107</v>
      </c>
      <c r="Y20" s="3">
        <v>72989</v>
      </c>
      <c r="Z20" s="3">
        <v>76815</v>
      </c>
      <c r="AA20" s="3">
        <v>76867</v>
      </c>
      <c r="AB20" s="3">
        <v>77216</v>
      </c>
      <c r="AC20" s="3">
        <v>80778</v>
      </c>
      <c r="AD20" s="3">
        <v>0</v>
      </c>
      <c r="AE20" s="3">
        <v>0</v>
      </c>
      <c r="AF20" s="3">
        <v>0</v>
      </c>
      <c r="AG20" s="3">
        <v>0</v>
      </c>
      <c r="AH20" s="3">
        <v>0</v>
      </c>
      <c r="AI20" s="3">
        <v>0</v>
      </c>
    </row>
    <row r="21" spans="1:35" s="6" customFormat="1" x14ac:dyDescent="0.3">
      <c r="A21" s="6" t="s">
        <v>18</v>
      </c>
      <c r="B21" s="7">
        <f>+SUM(B13:B20)</f>
        <v>0</v>
      </c>
      <c r="C21" s="7">
        <f>+SUM(C13:C20)</f>
        <v>1992138</v>
      </c>
      <c r="D21" s="7">
        <f t="shared" ref="D21:F21" si="6">+SUM(D13:D20)</f>
        <v>2184856</v>
      </c>
      <c r="E21" s="7">
        <f t="shared" si="6"/>
        <v>2540616</v>
      </c>
      <c r="F21" s="7">
        <f t="shared" si="6"/>
        <v>2697247</v>
      </c>
      <c r="G21" s="7">
        <f t="shared" ref="G21:Z21" si="7">+SUM(G13:G20)</f>
        <v>2696622</v>
      </c>
      <c r="H21" s="7">
        <f t="shared" si="7"/>
        <v>2711156</v>
      </c>
      <c r="I21" s="7">
        <f t="shared" si="7"/>
        <v>2723617</v>
      </c>
      <c r="J21" s="7">
        <f t="shared" si="7"/>
        <v>2747301</v>
      </c>
      <c r="K21" s="7">
        <f t="shared" si="7"/>
        <v>2773508</v>
      </c>
      <c r="L21" s="7">
        <f t="shared" si="7"/>
        <v>2464861</v>
      </c>
      <c r="M21" s="7">
        <f t="shared" si="7"/>
        <v>2464435</v>
      </c>
      <c r="N21" s="7">
        <f t="shared" si="7"/>
        <v>2523316</v>
      </c>
      <c r="O21" s="7">
        <f t="shared" si="7"/>
        <v>2557122</v>
      </c>
      <c r="P21" s="7">
        <f t="shared" si="7"/>
        <v>2594116</v>
      </c>
      <c r="Q21" s="7">
        <f t="shared" si="7"/>
        <v>2626444</v>
      </c>
      <c r="R21" s="7">
        <f t="shared" si="7"/>
        <v>2709342</v>
      </c>
      <c r="S21" s="7">
        <f t="shared" si="7"/>
        <v>2777888</v>
      </c>
      <c r="T21" s="7">
        <f t="shared" si="7"/>
        <v>2906222</v>
      </c>
      <c r="U21" s="7">
        <f t="shared" si="7"/>
        <v>3016923</v>
      </c>
      <c r="V21" s="7">
        <f t="shared" si="7"/>
        <v>3097773</v>
      </c>
      <c r="W21" s="7">
        <f t="shared" si="7"/>
        <v>3138573</v>
      </c>
      <c r="X21" s="7">
        <f t="shared" si="7"/>
        <v>3204157</v>
      </c>
      <c r="Y21" s="7">
        <f t="shared" si="7"/>
        <v>3211243</v>
      </c>
      <c r="Z21" s="7">
        <f t="shared" si="7"/>
        <v>3266196</v>
      </c>
      <c r="AA21" s="7">
        <f t="shared" ref="AA21:AB21" si="8">+SUM(AA13:AA20)</f>
        <v>3292447</v>
      </c>
      <c r="AB21" s="7">
        <f t="shared" si="8"/>
        <v>3359450</v>
      </c>
      <c r="AC21" s="7">
        <f t="shared" ref="AC21:AD21" si="9">+SUM(AC13:AC20)</f>
        <v>3392420</v>
      </c>
      <c r="AD21" s="7">
        <f t="shared" si="9"/>
        <v>690</v>
      </c>
      <c r="AE21" s="7">
        <f t="shared" ref="AE21:AF21" si="10">+SUM(AE13:AE20)</f>
        <v>531</v>
      </c>
      <c r="AF21" s="7">
        <f t="shared" si="10"/>
        <v>0</v>
      </c>
      <c r="AG21" s="7">
        <f t="shared" ref="AG21:AH21" si="11">+SUM(AG13:AG20)</f>
        <v>0</v>
      </c>
      <c r="AH21" s="7">
        <f t="shared" si="11"/>
        <v>0</v>
      </c>
      <c r="AI21" s="7">
        <f t="shared" ref="AI21" si="12">+SUM(AI13:AI20)</f>
        <v>0</v>
      </c>
    </row>
    <row r="22" spans="1:35" s="6" customFormat="1" x14ac:dyDescent="0.3">
      <c r="A22" s="6" t="s">
        <v>19</v>
      </c>
      <c r="B22" s="7">
        <f t="shared" ref="B22:F22" si="13">+B21+B12</f>
        <v>0</v>
      </c>
      <c r="C22" s="7">
        <f t="shared" si="13"/>
        <v>2376197</v>
      </c>
      <c r="D22" s="7">
        <f t="shared" si="13"/>
        <v>2522086</v>
      </c>
      <c r="E22" s="7">
        <f t="shared" si="13"/>
        <v>2883061</v>
      </c>
      <c r="F22" s="7">
        <f t="shared" si="13"/>
        <v>3058064</v>
      </c>
      <c r="G22" s="7">
        <f t="shared" ref="G22:Z22" si="14">+G21+G12</f>
        <v>3055281</v>
      </c>
      <c r="H22" s="7">
        <f t="shared" si="14"/>
        <v>3050980</v>
      </c>
      <c r="I22" s="7">
        <f t="shared" si="14"/>
        <v>3055900</v>
      </c>
      <c r="J22" s="7">
        <f t="shared" si="14"/>
        <v>3080774</v>
      </c>
      <c r="K22" s="7">
        <f t="shared" si="14"/>
        <v>3117204</v>
      </c>
      <c r="L22" s="7">
        <f t="shared" si="14"/>
        <v>2781442</v>
      </c>
      <c r="M22" s="7">
        <f t="shared" si="14"/>
        <v>2834928</v>
      </c>
      <c r="N22" s="7">
        <f t="shared" si="14"/>
        <v>2877952</v>
      </c>
      <c r="O22" s="7">
        <f t="shared" si="14"/>
        <v>2906573</v>
      </c>
      <c r="P22" s="7">
        <f t="shared" si="14"/>
        <v>2941130</v>
      </c>
      <c r="Q22" s="7">
        <f t="shared" si="14"/>
        <v>2995998</v>
      </c>
      <c r="R22" s="7">
        <f t="shared" si="14"/>
        <v>3082663</v>
      </c>
      <c r="S22" s="7">
        <f t="shared" si="14"/>
        <v>3159630</v>
      </c>
      <c r="T22" s="7">
        <f t="shared" si="14"/>
        <v>3299544</v>
      </c>
      <c r="U22" s="7">
        <f t="shared" si="14"/>
        <v>3422138</v>
      </c>
      <c r="V22" s="7">
        <f t="shared" si="14"/>
        <v>3509097</v>
      </c>
      <c r="W22" s="7">
        <f t="shared" si="14"/>
        <v>3575250</v>
      </c>
      <c r="X22" s="7">
        <f t="shared" si="14"/>
        <v>3648768</v>
      </c>
      <c r="Y22" s="7">
        <f t="shared" si="14"/>
        <v>3668025</v>
      </c>
      <c r="Z22" s="7">
        <f t="shared" si="14"/>
        <v>3739432</v>
      </c>
      <c r="AA22" s="7">
        <f t="shared" ref="AA22:AB22" si="15">+AA21+AA12</f>
        <v>3778448</v>
      </c>
      <c r="AB22" s="7">
        <f t="shared" si="15"/>
        <v>3846481</v>
      </c>
      <c r="AC22" s="7">
        <f t="shared" ref="AC22:AD22" si="16">+AC21+AC12</f>
        <v>3892077</v>
      </c>
      <c r="AD22" s="7">
        <f t="shared" si="16"/>
        <v>137286</v>
      </c>
      <c r="AE22" s="7">
        <f t="shared" ref="AE22:AF22" si="17">+AE21+AE12</f>
        <v>22447</v>
      </c>
      <c r="AF22" s="7">
        <f t="shared" si="17"/>
        <v>0</v>
      </c>
      <c r="AG22" s="7">
        <f t="shared" ref="AG22:AH22" si="18">+AG21+AG12</f>
        <v>0</v>
      </c>
      <c r="AH22" s="7">
        <f t="shared" si="18"/>
        <v>0</v>
      </c>
      <c r="AI22" s="7">
        <f t="shared" ref="AI22" si="19">+AI21+AI12</f>
        <v>0</v>
      </c>
    </row>
    <row r="23" spans="1:35" x14ac:dyDescent="0.3">
      <c r="A23" s="1" t="s">
        <v>114</v>
      </c>
      <c r="B23" s="3"/>
      <c r="C23" s="3"/>
      <c r="D23" s="3"/>
      <c r="E23" s="3"/>
      <c r="F23" s="3"/>
      <c r="G23" s="3"/>
      <c r="H23" s="3"/>
      <c r="I23" s="3"/>
      <c r="J23" s="3"/>
      <c r="K23" s="3"/>
      <c r="L23" s="3"/>
      <c r="M23" s="3"/>
      <c r="N23" s="3"/>
      <c r="O23" s="3"/>
      <c r="P23" s="3"/>
      <c r="Q23" s="3"/>
      <c r="R23" s="3"/>
      <c r="S23" s="3"/>
      <c r="T23" s="3"/>
      <c r="U23" s="3"/>
      <c r="V23" s="3"/>
    </row>
    <row r="24" spans="1:35" x14ac:dyDescent="0.3">
      <c r="A24" s="1" t="s">
        <v>21</v>
      </c>
      <c r="B24" s="3"/>
      <c r="C24" s="3"/>
      <c r="D24" s="3"/>
      <c r="E24" s="3"/>
      <c r="F24" s="3"/>
      <c r="G24" s="3"/>
      <c r="H24" s="3"/>
      <c r="I24" s="3"/>
      <c r="J24" s="3"/>
      <c r="K24" s="3"/>
      <c r="L24" s="3"/>
      <c r="M24" s="3"/>
      <c r="N24" s="3"/>
      <c r="O24" s="3"/>
      <c r="P24" s="3"/>
      <c r="Q24" s="3"/>
      <c r="R24" s="3"/>
      <c r="S24" s="3"/>
      <c r="T24" s="3"/>
      <c r="U24" s="3"/>
      <c r="V24" s="3"/>
    </row>
    <row r="25" spans="1:35" x14ac:dyDescent="0.3">
      <c r="A25" s="1" t="s">
        <v>115</v>
      </c>
      <c r="B25" s="3"/>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row>
    <row r="26" spans="1:35" x14ac:dyDescent="0.3">
      <c r="A26" s="1" t="s">
        <v>116</v>
      </c>
      <c r="B26" s="3"/>
      <c r="C26" s="3">
        <v>39</v>
      </c>
      <c r="D26" s="3">
        <v>4640</v>
      </c>
      <c r="E26" s="3">
        <v>6861</v>
      </c>
      <c r="F26" s="3">
        <v>3155</v>
      </c>
      <c r="G26" s="3">
        <v>3106</v>
      </c>
      <c r="H26" s="3">
        <v>4022</v>
      </c>
      <c r="I26" s="3">
        <v>4057</v>
      </c>
      <c r="J26" s="3">
        <v>4686</v>
      </c>
      <c r="K26" s="3">
        <v>3584</v>
      </c>
      <c r="L26" s="3">
        <v>6953</v>
      </c>
      <c r="M26" s="3">
        <v>3773</v>
      </c>
      <c r="N26" s="3">
        <v>2752</v>
      </c>
      <c r="O26" s="3">
        <v>2518</v>
      </c>
      <c r="P26" s="3">
        <v>1784</v>
      </c>
      <c r="Q26" s="3">
        <v>6413</v>
      </c>
      <c r="R26" s="3">
        <v>4033</v>
      </c>
      <c r="S26" s="3">
        <v>2062</v>
      </c>
      <c r="T26" s="3">
        <v>2185</v>
      </c>
      <c r="U26" s="3">
        <v>2113</v>
      </c>
      <c r="V26" s="3">
        <v>2902</v>
      </c>
      <c r="W26" s="3">
        <v>8175</v>
      </c>
      <c r="X26" s="3">
        <v>4192</v>
      </c>
      <c r="Y26" s="3">
        <v>3203</v>
      </c>
      <c r="Z26" s="3">
        <v>2375</v>
      </c>
      <c r="AA26" s="3">
        <v>4299</v>
      </c>
      <c r="AB26" s="3">
        <v>1862</v>
      </c>
      <c r="AC26" s="3">
        <v>12384</v>
      </c>
      <c r="AD26" s="3">
        <v>4484</v>
      </c>
      <c r="AE26" s="3">
        <v>0</v>
      </c>
      <c r="AF26" s="3">
        <v>0</v>
      </c>
      <c r="AG26" s="3">
        <v>0</v>
      </c>
      <c r="AH26" s="3">
        <v>0</v>
      </c>
      <c r="AI26" s="3">
        <v>0</v>
      </c>
    </row>
    <row r="27" spans="1:35" x14ac:dyDescent="0.3">
      <c r="A27" s="1" t="s">
        <v>117</v>
      </c>
      <c r="B27" s="3"/>
      <c r="C27" s="3">
        <v>270</v>
      </c>
      <c r="D27" s="3">
        <v>38020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21063</v>
      </c>
      <c r="AE27" s="3">
        <v>0</v>
      </c>
      <c r="AF27" s="3">
        <v>0</v>
      </c>
      <c r="AG27" s="3">
        <v>0</v>
      </c>
      <c r="AH27" s="3">
        <v>0</v>
      </c>
      <c r="AI27" s="3">
        <v>0</v>
      </c>
    </row>
    <row r="28" spans="1:35" x14ac:dyDescent="0.3">
      <c r="A28" s="1" t="s">
        <v>118</v>
      </c>
      <c r="B28" s="3"/>
      <c r="C28" s="3">
        <v>0</v>
      </c>
      <c r="D28" s="3">
        <v>0</v>
      </c>
      <c r="E28" s="3">
        <v>0</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row>
    <row r="29" spans="1:35" x14ac:dyDescent="0.3">
      <c r="A29" s="1" t="s">
        <v>119</v>
      </c>
      <c r="B29" s="3"/>
      <c r="C29" s="3">
        <v>12757</v>
      </c>
      <c r="D29" s="3">
        <v>4542</v>
      </c>
      <c r="E29" s="3">
        <v>4548</v>
      </c>
      <c r="F29" s="3">
        <v>1763</v>
      </c>
      <c r="G29" s="3">
        <v>4468</v>
      </c>
      <c r="H29" s="3">
        <v>1788</v>
      </c>
      <c r="I29" s="3">
        <v>1707</v>
      </c>
      <c r="J29" s="3">
        <v>3429</v>
      </c>
      <c r="K29" s="3">
        <v>6650</v>
      </c>
      <c r="L29" s="3">
        <v>2304</v>
      </c>
      <c r="M29" s="3">
        <v>2644</v>
      </c>
      <c r="N29" s="3">
        <v>1532</v>
      </c>
      <c r="O29" s="3">
        <v>4661</v>
      </c>
      <c r="P29" s="3">
        <v>1980</v>
      </c>
      <c r="Q29" s="3">
        <v>2604</v>
      </c>
      <c r="R29" s="3">
        <v>1747</v>
      </c>
      <c r="S29" s="3">
        <v>4771</v>
      </c>
      <c r="T29" s="3">
        <v>1779</v>
      </c>
      <c r="U29" s="3">
        <v>1666</v>
      </c>
      <c r="V29" s="3">
        <v>717</v>
      </c>
      <c r="W29" s="3">
        <v>5389</v>
      </c>
      <c r="X29" s="3">
        <v>1834</v>
      </c>
      <c r="Y29" s="3">
        <v>956</v>
      </c>
      <c r="Z29" s="3">
        <v>1449</v>
      </c>
      <c r="AA29" s="3">
        <v>6725</v>
      </c>
      <c r="AB29" s="3">
        <v>4123</v>
      </c>
      <c r="AC29" s="3">
        <v>1850</v>
      </c>
      <c r="AD29" s="3">
        <v>1531</v>
      </c>
      <c r="AE29" s="3">
        <v>1306</v>
      </c>
      <c r="AF29" s="3">
        <v>0</v>
      </c>
      <c r="AG29" s="3">
        <v>0</v>
      </c>
      <c r="AH29" s="3">
        <v>0</v>
      </c>
      <c r="AI29" s="3">
        <v>0</v>
      </c>
    </row>
    <row r="30" spans="1:35" x14ac:dyDescent="0.3">
      <c r="A30" s="1" t="s">
        <v>120</v>
      </c>
      <c r="B30" s="3"/>
      <c r="C30" s="3">
        <v>3851</v>
      </c>
      <c r="D30" s="3">
        <v>3959</v>
      </c>
      <c r="E30" s="3">
        <v>1649</v>
      </c>
      <c r="F30" s="3">
        <v>6468</v>
      </c>
      <c r="G30" s="3">
        <v>6468</v>
      </c>
      <c r="H30" s="3">
        <v>6583</v>
      </c>
      <c r="I30" s="3">
        <v>6581</v>
      </c>
      <c r="J30" s="3">
        <v>4089</v>
      </c>
      <c r="K30" s="3">
        <v>4131</v>
      </c>
      <c r="L30" s="3">
        <v>4145</v>
      </c>
      <c r="M30" s="3">
        <v>4147</v>
      </c>
      <c r="N30" s="3">
        <v>2411</v>
      </c>
      <c r="O30" s="3">
        <v>3352</v>
      </c>
      <c r="P30" s="3">
        <v>2464</v>
      </c>
      <c r="Q30" s="3">
        <v>8001</v>
      </c>
      <c r="R30" s="3">
        <v>0</v>
      </c>
      <c r="S30" s="3">
        <v>0</v>
      </c>
      <c r="T30" s="3">
        <v>0</v>
      </c>
      <c r="U30" s="3">
        <v>0</v>
      </c>
      <c r="V30" s="3">
        <v>7204</v>
      </c>
      <c r="W30" s="3">
        <v>0</v>
      </c>
      <c r="X30" s="3">
        <v>4713</v>
      </c>
      <c r="Y30" s="3">
        <v>5394</v>
      </c>
      <c r="Z30" s="3">
        <v>13650</v>
      </c>
      <c r="AA30" s="3">
        <v>4667</v>
      </c>
      <c r="AB30" s="3">
        <v>4728</v>
      </c>
      <c r="AC30" s="3">
        <v>4770</v>
      </c>
      <c r="AD30" s="3">
        <f>84226</f>
        <v>84226</v>
      </c>
      <c r="AE30" s="3">
        <v>0</v>
      </c>
      <c r="AF30" s="3">
        <v>0</v>
      </c>
      <c r="AG30" s="3">
        <v>0</v>
      </c>
      <c r="AH30" s="3">
        <v>0</v>
      </c>
      <c r="AI30" s="3">
        <v>0</v>
      </c>
    </row>
    <row r="31" spans="1:35" x14ac:dyDescent="0.3">
      <c r="A31" s="1" t="s">
        <v>121</v>
      </c>
      <c r="B31" s="3"/>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row>
    <row r="32" spans="1:35" s="6" customFormat="1" x14ac:dyDescent="0.3">
      <c r="A32" s="6" t="s">
        <v>122</v>
      </c>
      <c r="B32" s="7">
        <f t="shared" ref="B32:C32" si="20">+SUM(B23:B31)</f>
        <v>0</v>
      </c>
      <c r="C32" s="7">
        <f t="shared" si="20"/>
        <v>16917</v>
      </c>
      <c r="D32" s="7">
        <f>+SUM(D23:D31)</f>
        <v>51161</v>
      </c>
      <c r="E32" s="7">
        <f t="shared" ref="E32:Z32" si="21">+SUM(E23:E31)</f>
        <v>13058</v>
      </c>
      <c r="F32" s="7">
        <f t="shared" si="21"/>
        <v>11386</v>
      </c>
      <c r="G32" s="7">
        <f t="shared" si="21"/>
        <v>14042</v>
      </c>
      <c r="H32" s="7">
        <f t="shared" si="21"/>
        <v>12393</v>
      </c>
      <c r="I32" s="7">
        <f t="shared" si="21"/>
        <v>12345</v>
      </c>
      <c r="J32" s="7">
        <f t="shared" si="21"/>
        <v>12204</v>
      </c>
      <c r="K32" s="7">
        <f t="shared" si="21"/>
        <v>14365</v>
      </c>
      <c r="L32" s="7">
        <f t="shared" si="21"/>
        <v>13402</v>
      </c>
      <c r="M32" s="7">
        <f t="shared" si="21"/>
        <v>10564</v>
      </c>
      <c r="N32" s="7">
        <f t="shared" si="21"/>
        <v>6695</v>
      </c>
      <c r="O32" s="7">
        <f t="shared" si="21"/>
        <v>10531</v>
      </c>
      <c r="P32" s="7">
        <f t="shared" si="21"/>
        <v>6228</v>
      </c>
      <c r="Q32" s="7">
        <f t="shared" si="21"/>
        <v>17018</v>
      </c>
      <c r="R32" s="7">
        <f t="shared" si="21"/>
        <v>5780</v>
      </c>
      <c r="S32" s="7">
        <f t="shared" si="21"/>
        <v>6833</v>
      </c>
      <c r="T32" s="7">
        <f t="shared" si="21"/>
        <v>3964</v>
      </c>
      <c r="U32" s="7">
        <f t="shared" si="21"/>
        <v>3779</v>
      </c>
      <c r="V32" s="7">
        <f t="shared" si="21"/>
        <v>10823</v>
      </c>
      <c r="W32" s="7">
        <f t="shared" si="21"/>
        <v>13564</v>
      </c>
      <c r="X32" s="7">
        <f t="shared" si="21"/>
        <v>10739</v>
      </c>
      <c r="Y32" s="7">
        <f t="shared" si="21"/>
        <v>9553</v>
      </c>
      <c r="Z32" s="7">
        <f t="shared" si="21"/>
        <v>17474</v>
      </c>
      <c r="AA32" s="7">
        <f t="shared" ref="AA32:AB32" si="22">+SUM(AA23:AA31)</f>
        <v>15691</v>
      </c>
      <c r="AB32" s="7">
        <f t="shared" si="22"/>
        <v>10713</v>
      </c>
      <c r="AC32" s="7">
        <f t="shared" ref="AC32:AD32" si="23">+SUM(AC23:AC31)</f>
        <v>19004</v>
      </c>
      <c r="AD32" s="7">
        <f t="shared" si="23"/>
        <v>111304</v>
      </c>
      <c r="AE32" s="7">
        <f t="shared" ref="AE32:AF32" si="24">+SUM(AE23:AE31)</f>
        <v>1306</v>
      </c>
      <c r="AF32" s="7">
        <f t="shared" si="24"/>
        <v>0</v>
      </c>
      <c r="AG32" s="7">
        <f t="shared" ref="AG32:AH32" si="25">+SUM(AG23:AG31)</f>
        <v>0</v>
      </c>
      <c r="AH32" s="7">
        <f t="shared" si="25"/>
        <v>0</v>
      </c>
      <c r="AI32" s="7">
        <f t="shared" ref="AI32" si="26">+SUM(AI23:AI31)</f>
        <v>0</v>
      </c>
    </row>
    <row r="33" spans="1:35" x14ac:dyDescent="0.3">
      <c r="A33" s="1" t="s">
        <v>27</v>
      </c>
      <c r="B33" s="3"/>
      <c r="C33" s="3"/>
      <c r="D33" s="3"/>
      <c r="E33" s="3"/>
      <c r="F33" s="3"/>
      <c r="G33" s="3"/>
      <c r="H33" s="3"/>
      <c r="I33" s="3"/>
      <c r="J33" s="3"/>
      <c r="K33" s="3"/>
      <c r="L33" s="3"/>
      <c r="M33" s="3"/>
      <c r="N33" s="3"/>
      <c r="O33" s="3"/>
      <c r="P33" s="3"/>
      <c r="Q33" s="3"/>
      <c r="R33" s="3"/>
      <c r="S33" s="3"/>
      <c r="T33" s="3"/>
      <c r="U33" s="3"/>
      <c r="V33" s="3"/>
    </row>
    <row r="34" spans="1:35" x14ac:dyDescent="0.3">
      <c r="A34" s="1" t="s">
        <v>123</v>
      </c>
      <c r="B34" s="3"/>
      <c r="C34" s="3">
        <v>0</v>
      </c>
      <c r="D34" s="3">
        <v>2185</v>
      </c>
      <c r="E34" s="3">
        <v>8794</v>
      </c>
      <c r="F34" s="3">
        <v>6559</v>
      </c>
      <c r="G34" s="3">
        <v>6559</v>
      </c>
      <c r="H34" s="3">
        <v>6639</v>
      </c>
      <c r="I34" s="3">
        <v>6674</v>
      </c>
      <c r="J34" s="3">
        <v>9290</v>
      </c>
      <c r="K34" s="3">
        <v>9384</v>
      </c>
      <c r="L34" s="3">
        <v>9416</v>
      </c>
      <c r="M34" s="3">
        <v>9420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row>
    <row r="35" spans="1:35" x14ac:dyDescent="0.3">
      <c r="A35" s="1" t="s">
        <v>124</v>
      </c>
      <c r="B35" s="3"/>
      <c r="C35" s="3">
        <v>2316869</v>
      </c>
      <c r="D35" s="3">
        <v>2381857</v>
      </c>
      <c r="E35" s="3">
        <v>2539285</v>
      </c>
      <c r="F35" s="3">
        <v>2680938</v>
      </c>
      <c r="G35" s="3">
        <v>2680936</v>
      </c>
      <c r="H35" s="3">
        <v>2713763</v>
      </c>
      <c r="I35" s="3">
        <v>2727888</v>
      </c>
      <c r="J35" s="3">
        <v>2753312</v>
      </c>
      <c r="K35" s="3">
        <v>2781275</v>
      </c>
      <c r="L35" s="3">
        <v>2790899</v>
      </c>
      <c r="M35" s="3">
        <v>2863780</v>
      </c>
      <c r="N35" s="3">
        <v>2899940</v>
      </c>
      <c r="O35" s="3">
        <v>2932305</v>
      </c>
      <c r="P35" s="3">
        <v>2963734</v>
      </c>
      <c r="Q35" s="3">
        <v>3001495</v>
      </c>
      <c r="R35" s="3">
        <v>3091612</v>
      </c>
      <c r="S35" s="3">
        <v>3165032</v>
      </c>
      <c r="T35" s="3">
        <v>3300610</v>
      </c>
      <c r="U35" s="3">
        <v>3417464</v>
      </c>
      <c r="V35" s="3">
        <v>3502531</v>
      </c>
      <c r="W35" s="3">
        <v>3548868</v>
      </c>
      <c r="X35" s="3">
        <v>3600142</v>
      </c>
      <c r="Y35" s="3">
        <v>3610921</v>
      </c>
      <c r="Z35" s="3">
        <v>3669959</v>
      </c>
      <c r="AA35" s="3">
        <v>3700301</v>
      </c>
      <c r="AB35" s="3">
        <v>3748018</v>
      </c>
      <c r="AC35" s="3">
        <v>3781792</v>
      </c>
      <c r="AD35" s="3">
        <v>94440</v>
      </c>
      <c r="AE35" s="3">
        <v>95683</v>
      </c>
      <c r="AF35" s="3">
        <v>0</v>
      </c>
      <c r="AG35" s="3">
        <v>0</v>
      </c>
      <c r="AH35" s="3">
        <v>0</v>
      </c>
      <c r="AI35" s="3">
        <v>0</v>
      </c>
    </row>
    <row r="36" spans="1:35" x14ac:dyDescent="0.3">
      <c r="A36" s="1" t="s">
        <v>125</v>
      </c>
      <c r="B36" s="3"/>
      <c r="C36" s="3">
        <v>10154</v>
      </c>
      <c r="D36" s="3">
        <v>22216</v>
      </c>
      <c r="E36" s="3">
        <v>84910</v>
      </c>
      <c r="F36" s="3">
        <v>93294</v>
      </c>
      <c r="G36" s="3">
        <v>91826</v>
      </c>
      <c r="H36" s="3">
        <v>80999</v>
      </c>
      <c r="I36" s="3">
        <v>78158</v>
      </c>
      <c r="J36" s="3">
        <v>76553</v>
      </c>
      <c r="K36" s="3">
        <v>76817</v>
      </c>
      <c r="L36" s="3">
        <v>-16571</v>
      </c>
      <c r="M36" s="3">
        <v>-21171</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row>
    <row r="37" spans="1:35" x14ac:dyDescent="0.3">
      <c r="A37" s="1" t="s">
        <v>126</v>
      </c>
      <c r="B37" s="3"/>
      <c r="C37" s="3">
        <v>0</v>
      </c>
      <c r="D37" s="3">
        <v>0</v>
      </c>
      <c r="E37" s="3">
        <v>0</v>
      </c>
      <c r="F37" s="3">
        <v>0</v>
      </c>
      <c r="G37" s="3">
        <v>0</v>
      </c>
      <c r="H37" s="3">
        <v>0</v>
      </c>
      <c r="I37" s="3">
        <v>0</v>
      </c>
      <c r="J37" s="3">
        <v>0</v>
      </c>
      <c r="K37" s="3">
        <v>0</v>
      </c>
      <c r="L37" s="3">
        <v>0</v>
      </c>
      <c r="M37" s="3">
        <v>0</v>
      </c>
      <c r="N37" s="3">
        <v>10681</v>
      </c>
      <c r="O37" s="3">
        <v>10801</v>
      </c>
      <c r="P37" s="3">
        <v>10916</v>
      </c>
      <c r="Q37" s="3">
        <v>12298</v>
      </c>
      <c r="R37" s="3">
        <v>16880</v>
      </c>
      <c r="S37" s="3">
        <v>17281</v>
      </c>
      <c r="T37" s="3">
        <v>18021</v>
      </c>
      <c r="U37" s="3">
        <v>18659</v>
      </c>
      <c r="V37" s="3">
        <v>11920</v>
      </c>
      <c r="W37" s="3">
        <v>19377</v>
      </c>
      <c r="X37" s="3">
        <v>15246</v>
      </c>
      <c r="Y37" s="3">
        <v>15291</v>
      </c>
      <c r="Z37" s="3">
        <v>6520</v>
      </c>
      <c r="AA37" s="3">
        <v>15670</v>
      </c>
      <c r="AB37" s="3">
        <v>15872</v>
      </c>
      <c r="AC37" s="3">
        <v>16015</v>
      </c>
      <c r="AD37" s="3">
        <v>0</v>
      </c>
      <c r="AE37" s="3">
        <v>0</v>
      </c>
      <c r="AF37" s="3">
        <v>0</v>
      </c>
      <c r="AG37" s="3">
        <v>0</v>
      </c>
      <c r="AH37" s="3">
        <v>0</v>
      </c>
      <c r="AI37" s="3">
        <v>0</v>
      </c>
    </row>
    <row r="38" spans="1:35" s="6" customFormat="1" x14ac:dyDescent="0.3">
      <c r="A38" s="6" t="s">
        <v>28</v>
      </c>
      <c r="B38" s="7">
        <f>+SUM(B33:B37)</f>
        <v>0</v>
      </c>
      <c r="C38" s="7">
        <f t="shared" ref="C38:F38" si="27">+SUM(C33:C37)</f>
        <v>2327023</v>
      </c>
      <c r="D38" s="7">
        <f t="shared" si="27"/>
        <v>2406258</v>
      </c>
      <c r="E38" s="7">
        <f t="shared" si="27"/>
        <v>2632989</v>
      </c>
      <c r="F38" s="7">
        <f t="shared" si="27"/>
        <v>2780791</v>
      </c>
      <c r="G38" s="7">
        <f t="shared" ref="G38:Z38" si="28">+SUM(G33:G37)</f>
        <v>2779321</v>
      </c>
      <c r="H38" s="7">
        <f t="shared" si="28"/>
        <v>2801401</v>
      </c>
      <c r="I38" s="7">
        <f t="shared" si="28"/>
        <v>2812720</v>
      </c>
      <c r="J38" s="7">
        <f t="shared" si="28"/>
        <v>2839155</v>
      </c>
      <c r="K38" s="7">
        <f t="shared" si="28"/>
        <v>2867476</v>
      </c>
      <c r="L38" s="7">
        <f t="shared" si="28"/>
        <v>2783744</v>
      </c>
      <c r="M38" s="7">
        <f t="shared" si="28"/>
        <v>2852029</v>
      </c>
      <c r="N38" s="7">
        <f t="shared" si="28"/>
        <v>2910621</v>
      </c>
      <c r="O38" s="7">
        <f t="shared" si="28"/>
        <v>2943106</v>
      </c>
      <c r="P38" s="7">
        <f t="shared" si="28"/>
        <v>2974650</v>
      </c>
      <c r="Q38" s="7">
        <f t="shared" si="28"/>
        <v>3013793</v>
      </c>
      <c r="R38" s="7">
        <f t="shared" si="28"/>
        <v>3108492</v>
      </c>
      <c r="S38" s="7">
        <f t="shared" si="28"/>
        <v>3182313</v>
      </c>
      <c r="T38" s="7">
        <f t="shared" si="28"/>
        <v>3318631</v>
      </c>
      <c r="U38" s="7">
        <f t="shared" si="28"/>
        <v>3436123</v>
      </c>
      <c r="V38" s="7">
        <f t="shared" si="28"/>
        <v>3514451</v>
      </c>
      <c r="W38" s="7">
        <f t="shared" si="28"/>
        <v>3568245</v>
      </c>
      <c r="X38" s="7">
        <f t="shared" si="28"/>
        <v>3615388</v>
      </c>
      <c r="Y38" s="7">
        <f t="shared" si="28"/>
        <v>3626212</v>
      </c>
      <c r="Z38" s="7">
        <f t="shared" si="28"/>
        <v>3676479</v>
      </c>
      <c r="AA38" s="7">
        <f t="shared" ref="AA38:AB38" si="29">+SUM(AA33:AA37)</f>
        <v>3715971</v>
      </c>
      <c r="AB38" s="7">
        <f t="shared" si="29"/>
        <v>3763890</v>
      </c>
      <c r="AC38" s="7">
        <f t="shared" ref="AC38:AD38" si="30">+SUM(AC33:AC37)</f>
        <v>3797807</v>
      </c>
      <c r="AD38" s="7">
        <f t="shared" si="30"/>
        <v>94440</v>
      </c>
      <c r="AE38" s="7">
        <f t="shared" ref="AE38:AF38" si="31">+SUM(AE33:AE37)</f>
        <v>95683</v>
      </c>
      <c r="AF38" s="7">
        <f t="shared" si="31"/>
        <v>0</v>
      </c>
      <c r="AG38" s="7">
        <f t="shared" ref="AG38:AH38" si="32">+SUM(AG33:AG37)</f>
        <v>0</v>
      </c>
      <c r="AH38" s="7">
        <f t="shared" si="32"/>
        <v>0</v>
      </c>
      <c r="AI38" s="7">
        <f t="shared" ref="AI38" si="33">+SUM(AI33:AI37)</f>
        <v>0</v>
      </c>
    </row>
    <row r="39" spans="1:35" x14ac:dyDescent="0.3">
      <c r="A39" s="6" t="s">
        <v>29</v>
      </c>
      <c r="B39" s="7">
        <f>+B38+B32</f>
        <v>0</v>
      </c>
      <c r="C39" s="7">
        <f t="shared" ref="C39:F39" si="34">+C38+C32</f>
        <v>2343940</v>
      </c>
      <c r="D39" s="7">
        <f t="shared" si="34"/>
        <v>2457419</v>
      </c>
      <c r="E39" s="7">
        <f t="shared" si="34"/>
        <v>2646047</v>
      </c>
      <c r="F39" s="7">
        <f t="shared" si="34"/>
        <v>2792177</v>
      </c>
      <c r="G39" s="7">
        <f t="shared" ref="G39:Z39" si="35">+G38+G32</f>
        <v>2793363</v>
      </c>
      <c r="H39" s="7">
        <f t="shared" si="35"/>
        <v>2813794</v>
      </c>
      <c r="I39" s="7">
        <f t="shared" si="35"/>
        <v>2825065</v>
      </c>
      <c r="J39" s="7">
        <f t="shared" si="35"/>
        <v>2851359</v>
      </c>
      <c r="K39" s="7">
        <f t="shared" si="35"/>
        <v>2881841</v>
      </c>
      <c r="L39" s="7">
        <f t="shared" si="35"/>
        <v>2797146</v>
      </c>
      <c r="M39" s="7">
        <f t="shared" si="35"/>
        <v>2862593</v>
      </c>
      <c r="N39" s="7">
        <f t="shared" si="35"/>
        <v>2917316</v>
      </c>
      <c r="O39" s="7">
        <f t="shared" si="35"/>
        <v>2953637</v>
      </c>
      <c r="P39" s="7">
        <f t="shared" si="35"/>
        <v>2980878</v>
      </c>
      <c r="Q39" s="7">
        <f t="shared" si="35"/>
        <v>3030811</v>
      </c>
      <c r="R39" s="7">
        <f t="shared" si="35"/>
        <v>3114272</v>
      </c>
      <c r="S39" s="7">
        <f t="shared" si="35"/>
        <v>3189146</v>
      </c>
      <c r="T39" s="7">
        <f t="shared" si="35"/>
        <v>3322595</v>
      </c>
      <c r="U39" s="7">
        <f t="shared" si="35"/>
        <v>3439902</v>
      </c>
      <c r="V39" s="7">
        <f t="shared" si="35"/>
        <v>3525274</v>
      </c>
      <c r="W39" s="7">
        <f t="shared" si="35"/>
        <v>3581809</v>
      </c>
      <c r="X39" s="7">
        <f t="shared" si="35"/>
        <v>3626127</v>
      </c>
      <c r="Y39" s="7">
        <f t="shared" si="35"/>
        <v>3635765</v>
      </c>
      <c r="Z39" s="7">
        <f t="shared" si="35"/>
        <v>3693953</v>
      </c>
      <c r="AA39" s="7">
        <f t="shared" ref="AA39:AB39" si="36">+AA38+AA32</f>
        <v>3731662</v>
      </c>
      <c r="AB39" s="7">
        <f t="shared" si="36"/>
        <v>3774603</v>
      </c>
      <c r="AC39" s="7">
        <f t="shared" ref="AC39:AD39" si="37">+AC38+AC32</f>
        <v>3816811</v>
      </c>
      <c r="AD39" s="7">
        <f t="shared" si="37"/>
        <v>205744</v>
      </c>
      <c r="AE39" s="7">
        <f t="shared" ref="AE39:AF39" si="38">+AE38+AE32</f>
        <v>96989</v>
      </c>
      <c r="AF39" s="7">
        <f t="shared" si="38"/>
        <v>0</v>
      </c>
      <c r="AG39" s="7">
        <f t="shared" ref="AG39:AH39" si="39">+AG38+AG32</f>
        <v>0</v>
      </c>
      <c r="AH39" s="7">
        <f t="shared" si="39"/>
        <v>0</v>
      </c>
      <c r="AI39" s="7">
        <f t="shared" ref="AI39" si="40">+AI38+AI32</f>
        <v>0</v>
      </c>
    </row>
    <row r="40" spans="1:35" x14ac:dyDescent="0.3">
      <c r="A40" s="6" t="s">
        <v>127</v>
      </c>
      <c r="B40" s="3"/>
      <c r="C40" s="3"/>
      <c r="D40" s="3"/>
      <c r="E40" s="3"/>
      <c r="F40" s="3"/>
      <c r="G40" s="3"/>
      <c r="H40" s="3"/>
      <c r="I40" s="3"/>
      <c r="J40" s="3"/>
      <c r="K40" s="3"/>
      <c r="L40" s="3"/>
      <c r="M40" s="3"/>
      <c r="N40" s="3"/>
      <c r="O40" s="3"/>
      <c r="P40" s="3"/>
      <c r="Q40" s="3"/>
      <c r="R40" s="3"/>
      <c r="S40" s="3"/>
      <c r="T40" s="3"/>
      <c r="U40" s="3"/>
      <c r="V40" s="3"/>
    </row>
    <row r="41" spans="1:35" x14ac:dyDescent="0.3">
      <c r="A41" s="1" t="s">
        <v>128</v>
      </c>
      <c r="B41" s="3"/>
      <c r="C41" s="3">
        <v>4000</v>
      </c>
      <c r="D41" s="3">
        <v>4000</v>
      </c>
      <c r="E41" s="3">
        <v>4000</v>
      </c>
      <c r="F41" s="3">
        <v>4000</v>
      </c>
      <c r="G41" s="3">
        <v>4000</v>
      </c>
      <c r="H41" s="3">
        <v>4000</v>
      </c>
      <c r="I41" s="3">
        <v>4000</v>
      </c>
      <c r="J41" s="3">
        <v>4000</v>
      </c>
      <c r="K41" s="3">
        <v>4000</v>
      </c>
      <c r="L41" s="3">
        <v>4000</v>
      </c>
      <c r="M41" s="3">
        <v>4000</v>
      </c>
      <c r="N41" s="3">
        <v>4000</v>
      </c>
      <c r="O41" s="3">
        <v>4000</v>
      </c>
      <c r="P41" s="3">
        <v>4000</v>
      </c>
      <c r="Q41" s="3">
        <v>4000</v>
      </c>
      <c r="R41" s="3">
        <v>4000</v>
      </c>
      <c r="S41" s="3">
        <v>4000</v>
      </c>
      <c r="T41" s="3">
        <v>4000</v>
      </c>
      <c r="U41" s="3">
        <v>4000</v>
      </c>
      <c r="V41" s="3">
        <v>4000</v>
      </c>
      <c r="W41" s="3">
        <v>4000</v>
      </c>
      <c r="X41" s="3">
        <v>4000</v>
      </c>
      <c r="Y41" s="3">
        <v>4000</v>
      </c>
      <c r="Z41" s="3">
        <v>4000</v>
      </c>
      <c r="AA41" s="3">
        <v>4000</v>
      </c>
      <c r="AB41" s="3">
        <v>4000</v>
      </c>
      <c r="AC41" s="3">
        <v>4000</v>
      </c>
      <c r="AD41" s="3">
        <v>4000</v>
      </c>
      <c r="AE41" s="3">
        <v>4000</v>
      </c>
      <c r="AF41" s="3">
        <v>0</v>
      </c>
      <c r="AG41" s="3">
        <v>0</v>
      </c>
      <c r="AH41" s="3">
        <v>0</v>
      </c>
      <c r="AI41" s="3">
        <v>0</v>
      </c>
    </row>
    <row r="42" spans="1:35" x14ac:dyDescent="0.3">
      <c r="A42" s="1" t="s">
        <v>32</v>
      </c>
      <c r="B42" s="3"/>
      <c r="C42" s="3">
        <v>0</v>
      </c>
      <c r="D42" s="3">
        <v>0</v>
      </c>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row>
    <row r="43" spans="1:35" x14ac:dyDescent="0.3">
      <c r="A43" s="1" t="s">
        <v>33</v>
      </c>
      <c r="B43" s="3"/>
      <c r="C43" s="3">
        <v>28257</v>
      </c>
      <c r="D43" s="3">
        <v>60667</v>
      </c>
      <c r="E43" s="3">
        <v>233014</v>
      </c>
      <c r="F43" s="3">
        <v>261887</v>
      </c>
      <c r="G43" s="3">
        <v>257918</v>
      </c>
      <c r="H43" s="3">
        <v>233186</v>
      </c>
      <c r="I43" s="3">
        <v>226835</v>
      </c>
      <c r="J43" s="3">
        <v>225415</v>
      </c>
      <c r="K43" s="3">
        <v>231363</v>
      </c>
      <c r="L43" s="3">
        <v>-19704</v>
      </c>
      <c r="M43" s="3">
        <v>-31665</v>
      </c>
      <c r="N43" s="3">
        <v>-43364</v>
      </c>
      <c r="O43" s="3">
        <v>-51064</v>
      </c>
      <c r="P43" s="3">
        <v>-43748</v>
      </c>
      <c r="Q43" s="3">
        <v>-38813</v>
      </c>
      <c r="R43" s="3">
        <v>-35609</v>
      </c>
      <c r="S43" s="3">
        <v>-33516</v>
      </c>
      <c r="T43" s="3">
        <v>-27051</v>
      </c>
      <c r="U43" s="3">
        <v>-21764</v>
      </c>
      <c r="V43" s="3">
        <v>-20177</v>
      </c>
      <c r="W43" s="3">
        <v>-10559</v>
      </c>
      <c r="X43" s="3">
        <v>18641</v>
      </c>
      <c r="Y43" s="3">
        <v>28260</v>
      </c>
      <c r="Z43" s="3">
        <v>41479</v>
      </c>
      <c r="AA43" s="3">
        <v>42786</v>
      </c>
      <c r="AB43" s="3">
        <v>67878</v>
      </c>
      <c r="AC43" s="3">
        <v>71266</v>
      </c>
      <c r="AD43" s="3">
        <v>-72458</v>
      </c>
      <c r="AE43" s="3">
        <v>-78542</v>
      </c>
      <c r="AF43" s="3">
        <v>0</v>
      </c>
      <c r="AG43" s="3">
        <v>0</v>
      </c>
      <c r="AH43" s="3">
        <v>0</v>
      </c>
      <c r="AI43" s="3">
        <v>0</v>
      </c>
    </row>
    <row r="44" spans="1:35" s="6" customFormat="1" x14ac:dyDescent="0.3">
      <c r="A44" s="6" t="s">
        <v>129</v>
      </c>
      <c r="B44" s="7">
        <f t="shared" ref="B44:F44" si="41">+SUM(B40:B43)</f>
        <v>0</v>
      </c>
      <c r="C44" s="7">
        <f t="shared" si="41"/>
        <v>32257</v>
      </c>
      <c r="D44" s="7">
        <f t="shared" si="41"/>
        <v>64667</v>
      </c>
      <c r="E44" s="7">
        <f t="shared" si="41"/>
        <v>237014</v>
      </c>
      <c r="F44" s="7">
        <f t="shared" si="41"/>
        <v>265887</v>
      </c>
      <c r="G44" s="7">
        <f t="shared" ref="G44:Z44" si="42">+SUM(G40:G43)</f>
        <v>261918</v>
      </c>
      <c r="H44" s="7">
        <f t="shared" si="42"/>
        <v>237186</v>
      </c>
      <c r="I44" s="7">
        <f t="shared" si="42"/>
        <v>230835</v>
      </c>
      <c r="J44" s="7">
        <f t="shared" si="42"/>
        <v>229415</v>
      </c>
      <c r="K44" s="7">
        <f t="shared" si="42"/>
        <v>235363</v>
      </c>
      <c r="L44" s="7">
        <f t="shared" si="42"/>
        <v>-15704</v>
      </c>
      <c r="M44" s="7">
        <f t="shared" si="42"/>
        <v>-27665</v>
      </c>
      <c r="N44" s="7">
        <f t="shared" si="42"/>
        <v>-39364</v>
      </c>
      <c r="O44" s="7">
        <f t="shared" si="42"/>
        <v>-47064</v>
      </c>
      <c r="P44" s="7">
        <f t="shared" si="42"/>
        <v>-39748</v>
      </c>
      <c r="Q44" s="7">
        <f t="shared" si="42"/>
        <v>-34813</v>
      </c>
      <c r="R44" s="7">
        <f t="shared" si="42"/>
        <v>-31609</v>
      </c>
      <c r="S44" s="7">
        <f t="shared" si="42"/>
        <v>-29516</v>
      </c>
      <c r="T44" s="7">
        <f t="shared" si="42"/>
        <v>-23051</v>
      </c>
      <c r="U44" s="7">
        <f t="shared" si="42"/>
        <v>-17764</v>
      </c>
      <c r="V44" s="7">
        <f t="shared" si="42"/>
        <v>-16177</v>
      </c>
      <c r="W44" s="7">
        <f t="shared" si="42"/>
        <v>-6559</v>
      </c>
      <c r="X44" s="7">
        <f t="shared" si="42"/>
        <v>22641</v>
      </c>
      <c r="Y44" s="7">
        <f t="shared" si="42"/>
        <v>32260</v>
      </c>
      <c r="Z44" s="7">
        <f t="shared" si="42"/>
        <v>45479</v>
      </c>
      <c r="AA44" s="7">
        <f t="shared" ref="AA44:AB44" si="43">+SUM(AA40:AA43)</f>
        <v>46786</v>
      </c>
      <c r="AB44" s="7">
        <f t="shared" si="43"/>
        <v>71878</v>
      </c>
      <c r="AC44" s="7">
        <f t="shared" ref="AC44:AD44" si="44">+SUM(AC40:AC43)</f>
        <v>75266</v>
      </c>
      <c r="AD44" s="7">
        <f t="shared" si="44"/>
        <v>-68458</v>
      </c>
      <c r="AE44" s="7">
        <f t="shared" ref="AE44:AF44" si="45">+SUM(AE40:AE43)</f>
        <v>-74542</v>
      </c>
      <c r="AF44" s="7">
        <f t="shared" si="45"/>
        <v>0</v>
      </c>
      <c r="AG44" s="7">
        <f t="shared" ref="AG44:AH44" si="46">+SUM(AG40:AG43)</f>
        <v>0</v>
      </c>
      <c r="AH44" s="7">
        <f t="shared" si="46"/>
        <v>0</v>
      </c>
      <c r="AI44" s="7">
        <f t="shared" ref="AI44" si="47">+SUM(AI40:AI43)</f>
        <v>0</v>
      </c>
    </row>
    <row r="45" spans="1:35"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3">
      <c r="A46" s="6" t="s">
        <v>131</v>
      </c>
      <c r="B46" s="7">
        <f>+B44+B39+B45</f>
        <v>0</v>
      </c>
      <c r="C46" s="7">
        <f t="shared" ref="C46:F46" si="48">+C44+C39+C45</f>
        <v>2376197</v>
      </c>
      <c r="D46" s="7">
        <f t="shared" si="48"/>
        <v>2522086</v>
      </c>
      <c r="E46" s="7">
        <f t="shared" si="48"/>
        <v>2883061</v>
      </c>
      <c r="F46" s="7">
        <f t="shared" si="48"/>
        <v>3058064</v>
      </c>
      <c r="G46" s="7">
        <f t="shared" ref="G46:Z46" si="49">+G44+G39+G45</f>
        <v>3055281</v>
      </c>
      <c r="H46" s="7">
        <f t="shared" si="49"/>
        <v>3050980</v>
      </c>
      <c r="I46" s="7">
        <f t="shared" si="49"/>
        <v>3055900</v>
      </c>
      <c r="J46" s="7">
        <f t="shared" si="49"/>
        <v>3080774</v>
      </c>
      <c r="K46" s="7">
        <f t="shared" si="49"/>
        <v>3117204</v>
      </c>
      <c r="L46" s="7">
        <f t="shared" si="49"/>
        <v>2781442</v>
      </c>
      <c r="M46" s="7">
        <f t="shared" si="49"/>
        <v>2834928</v>
      </c>
      <c r="N46" s="7">
        <f t="shared" si="49"/>
        <v>2877952</v>
      </c>
      <c r="O46" s="7">
        <f t="shared" si="49"/>
        <v>2906573</v>
      </c>
      <c r="P46" s="7">
        <f t="shared" si="49"/>
        <v>2941130</v>
      </c>
      <c r="Q46" s="7">
        <f t="shared" si="49"/>
        <v>2995998</v>
      </c>
      <c r="R46" s="7">
        <f t="shared" si="49"/>
        <v>3082663</v>
      </c>
      <c r="S46" s="7">
        <f t="shared" si="49"/>
        <v>3159630</v>
      </c>
      <c r="T46" s="7">
        <f t="shared" si="49"/>
        <v>3299544</v>
      </c>
      <c r="U46" s="7">
        <f t="shared" si="49"/>
        <v>3422138</v>
      </c>
      <c r="V46" s="7">
        <f t="shared" si="49"/>
        <v>3509097</v>
      </c>
      <c r="W46" s="7">
        <f t="shared" si="49"/>
        <v>3575250</v>
      </c>
      <c r="X46" s="7">
        <f t="shared" si="49"/>
        <v>3648768</v>
      </c>
      <c r="Y46" s="7">
        <f t="shared" si="49"/>
        <v>3668025</v>
      </c>
      <c r="Z46" s="7">
        <f t="shared" si="49"/>
        <v>3739432</v>
      </c>
      <c r="AA46" s="7">
        <f t="shared" ref="AA46:AB46" si="50">+AA44+AA39+AA45</f>
        <v>3778448</v>
      </c>
      <c r="AB46" s="7">
        <f t="shared" si="50"/>
        <v>3846481</v>
      </c>
      <c r="AC46" s="7">
        <f t="shared" ref="AC46:AD46" si="51">+AC44+AC39+AC45</f>
        <v>3892077</v>
      </c>
      <c r="AD46" s="7">
        <f t="shared" si="51"/>
        <v>137286</v>
      </c>
      <c r="AE46" s="7">
        <f t="shared" ref="AE46:AF46" si="52">+AE44+AE39+AE45</f>
        <v>22447</v>
      </c>
      <c r="AF46" s="7">
        <f t="shared" si="52"/>
        <v>0</v>
      </c>
      <c r="AG46" s="7">
        <f t="shared" ref="AG46:AH46" si="53">+AG44+AG39+AG45</f>
        <v>0</v>
      </c>
      <c r="AH46" s="7">
        <f t="shared" si="53"/>
        <v>0</v>
      </c>
      <c r="AI46" s="7">
        <f t="shared" ref="AI46" si="54">+AI44+AI39+AI45</f>
        <v>0</v>
      </c>
    </row>
    <row r="47" spans="1:35" x14ac:dyDescent="0.3">
      <c r="A47" s="1" t="s">
        <v>38</v>
      </c>
      <c r="B47" s="4" t="str">
        <f>IF((+B46-B22)=0,"ok","error")</f>
        <v>ok</v>
      </c>
      <c r="C47" s="4" t="str">
        <f>IF((+C46-C22)=0,"ok","error")</f>
        <v>ok</v>
      </c>
      <c r="D47" s="4" t="str">
        <f t="shared" ref="D47:F47" si="55">IF((+D46-D22)=0,"ok","error")</f>
        <v>ok</v>
      </c>
      <c r="E47" s="4" t="str">
        <f t="shared" si="55"/>
        <v>ok</v>
      </c>
      <c r="F47" s="4" t="str">
        <f t="shared" si="55"/>
        <v>ok</v>
      </c>
      <c r="G47" s="4" t="str">
        <f t="shared" ref="G47:Z47" si="56">IF((+G46-G22)=0,"ok","error")</f>
        <v>ok</v>
      </c>
      <c r="H47" s="4" t="str">
        <f t="shared" si="56"/>
        <v>ok</v>
      </c>
      <c r="I47" s="4" t="str">
        <f t="shared" si="56"/>
        <v>ok</v>
      </c>
      <c r="J47" s="4" t="str">
        <f t="shared" si="56"/>
        <v>ok</v>
      </c>
      <c r="K47" s="4" t="str">
        <f t="shared" si="56"/>
        <v>ok</v>
      </c>
      <c r="L47" s="4" t="str">
        <f t="shared" si="56"/>
        <v>ok</v>
      </c>
      <c r="M47" s="4" t="str">
        <f t="shared" si="56"/>
        <v>ok</v>
      </c>
      <c r="N47" s="4" t="str">
        <f t="shared" si="56"/>
        <v>ok</v>
      </c>
      <c r="O47" s="4" t="str">
        <f t="shared" si="56"/>
        <v>ok</v>
      </c>
      <c r="P47" s="4" t="str">
        <f t="shared" si="56"/>
        <v>ok</v>
      </c>
      <c r="Q47" s="4" t="str">
        <f t="shared" si="56"/>
        <v>ok</v>
      </c>
      <c r="R47" s="4" t="str">
        <f t="shared" si="56"/>
        <v>ok</v>
      </c>
      <c r="S47" s="4" t="str">
        <f t="shared" si="56"/>
        <v>ok</v>
      </c>
      <c r="T47" s="4" t="str">
        <f t="shared" si="56"/>
        <v>ok</v>
      </c>
      <c r="U47" s="4" t="str">
        <f t="shared" si="56"/>
        <v>ok</v>
      </c>
      <c r="V47" s="4" t="str">
        <f t="shared" si="56"/>
        <v>ok</v>
      </c>
      <c r="W47" s="4" t="str">
        <f t="shared" si="56"/>
        <v>ok</v>
      </c>
      <c r="X47" s="4" t="str">
        <f t="shared" si="56"/>
        <v>ok</v>
      </c>
      <c r="Y47" s="4" t="str">
        <f t="shared" si="56"/>
        <v>ok</v>
      </c>
      <c r="Z47" s="4" t="str">
        <f t="shared" si="56"/>
        <v>ok</v>
      </c>
      <c r="AA47" s="4" t="str">
        <f t="shared" ref="AA47:AB47" si="57">IF((+AA46-AA22)=0,"ok","error")</f>
        <v>ok</v>
      </c>
      <c r="AB47" s="4" t="str">
        <f t="shared" si="57"/>
        <v>ok</v>
      </c>
      <c r="AC47" s="4" t="str">
        <f t="shared" ref="AC47:AD47" si="58">IF((+AC46-AC22)=0,"ok","error")</f>
        <v>ok</v>
      </c>
      <c r="AD47" s="4" t="str">
        <f t="shared" si="58"/>
        <v>ok</v>
      </c>
      <c r="AE47" s="4" t="str">
        <f t="shared" ref="AE47:AF47" si="59">IF((+AE46-AE22)=0,"ok","error")</f>
        <v>ok</v>
      </c>
      <c r="AF47" s="4" t="str">
        <f t="shared" si="59"/>
        <v>ok</v>
      </c>
      <c r="AG47" s="4" t="str">
        <f t="shared" ref="AG47:AH47" si="60">IF((+AG46-AG22)=0,"ok","error")</f>
        <v>ok</v>
      </c>
      <c r="AH47" s="4" t="str">
        <f t="shared" si="60"/>
        <v>ok</v>
      </c>
      <c r="AI47" s="4" t="str">
        <f t="shared" ref="AI47" si="61">IF((+AI46-AI22)=0,"ok","error")</f>
        <v>ok</v>
      </c>
    </row>
    <row r="48" spans="1:35"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5" x14ac:dyDescent="0.3">
      <c r="A49" s="1" t="s">
        <v>133</v>
      </c>
      <c r="B49" s="3"/>
      <c r="C49" s="3"/>
      <c r="D49" s="3"/>
      <c r="E49" s="3"/>
      <c r="F49" s="3"/>
      <c r="G49" s="3"/>
      <c r="H49" s="3"/>
      <c r="I49" s="3"/>
      <c r="J49" s="3"/>
      <c r="K49" s="3"/>
      <c r="L49" s="3"/>
      <c r="M49" s="3"/>
      <c r="N49" s="3"/>
      <c r="O49" s="3"/>
      <c r="P49" s="3"/>
      <c r="Q49" s="3"/>
      <c r="R49" s="3"/>
      <c r="S49" s="3"/>
      <c r="T49" s="3"/>
      <c r="U49" s="3"/>
      <c r="V49" s="3"/>
    </row>
    <row r="50" spans="1:35" x14ac:dyDescent="0.3">
      <c r="A50" s="1" t="s">
        <v>134</v>
      </c>
      <c r="B50" s="3"/>
      <c r="C50" s="3">
        <v>14186</v>
      </c>
      <c r="D50" s="3">
        <v>57512</v>
      </c>
      <c r="E50" s="3">
        <v>105914</v>
      </c>
      <c r="F50" s="3">
        <v>136001</v>
      </c>
      <c r="G50" s="3">
        <v>39068</v>
      </c>
      <c r="H50" s="3">
        <v>75799</v>
      </c>
      <c r="I50" s="3">
        <v>108627</v>
      </c>
      <c r="J50" s="3">
        <v>147198</v>
      </c>
      <c r="K50" s="3">
        <v>36881</v>
      </c>
      <c r="L50" s="3">
        <v>59231</v>
      </c>
      <c r="M50" s="3">
        <v>79946</v>
      </c>
      <c r="N50" s="3">
        <v>103270</v>
      </c>
      <c r="O50" s="3">
        <v>32311</v>
      </c>
      <c r="P50" s="3">
        <v>66124</v>
      </c>
      <c r="Q50" s="3">
        <v>105531</v>
      </c>
      <c r="R50" s="3">
        <v>148287</v>
      </c>
      <c r="S50" s="3">
        <v>49850</v>
      </c>
      <c r="T50" s="3">
        <v>89877</v>
      </c>
      <c r="U50" s="3">
        <v>143417</v>
      </c>
      <c r="V50" s="3">
        <v>199326</v>
      </c>
      <c r="W50" s="3">
        <v>57255</v>
      </c>
      <c r="X50" s="3">
        <v>113405</v>
      </c>
      <c r="Y50" s="3">
        <v>172266</v>
      </c>
      <c r="Z50" s="3">
        <v>231633</v>
      </c>
      <c r="AA50" s="3">
        <v>59614</v>
      </c>
      <c r="AB50" s="3">
        <v>120012</v>
      </c>
      <c r="AC50" s="3">
        <v>181323</v>
      </c>
      <c r="AD50" s="3">
        <v>242694</v>
      </c>
      <c r="AE50" s="3">
        <v>0</v>
      </c>
      <c r="AF50" s="3">
        <v>0</v>
      </c>
      <c r="AG50" s="3">
        <v>0</v>
      </c>
      <c r="AH50" s="3">
        <v>0</v>
      </c>
      <c r="AI50" s="3">
        <v>0</v>
      </c>
    </row>
    <row r="51" spans="1:35" x14ac:dyDescent="0.3">
      <c r="A51" s="1" t="s">
        <v>135</v>
      </c>
      <c r="B51" s="3"/>
      <c r="C51" s="3">
        <v>-1909</v>
      </c>
      <c r="D51" s="3">
        <v>-34335</v>
      </c>
      <c r="E51" s="3">
        <v>-38621</v>
      </c>
      <c r="F51" s="3">
        <v>-53255</v>
      </c>
      <c r="G51" s="3">
        <v>-10107</v>
      </c>
      <c r="H51" s="3">
        <v>-19813</v>
      </c>
      <c r="I51" s="3">
        <v>-29967</v>
      </c>
      <c r="J51" s="3">
        <v>-40485</v>
      </c>
      <c r="K51" s="3">
        <v>-11169</v>
      </c>
      <c r="L51" s="3">
        <v>-22627</v>
      </c>
      <c r="M51" s="3">
        <v>-34720</v>
      </c>
      <c r="N51" s="3">
        <v>-51412</v>
      </c>
      <c r="O51" s="3">
        <v>-10671</v>
      </c>
      <c r="P51" s="3">
        <v>-20944</v>
      </c>
      <c r="Q51" s="3">
        <v>-30914</v>
      </c>
      <c r="R51" s="3">
        <v>-49247</v>
      </c>
      <c r="S51" s="3">
        <v>-10391</v>
      </c>
      <c r="T51" s="3">
        <v>-20661</v>
      </c>
      <c r="U51" s="3">
        <v>-31538</v>
      </c>
      <c r="V51" s="3">
        <v>-43700</v>
      </c>
      <c r="W51" s="3">
        <v>-11145</v>
      </c>
      <c r="X51" s="3">
        <v>-24028</v>
      </c>
      <c r="Y51" s="3">
        <v>-36122</v>
      </c>
      <c r="Z51" s="3">
        <v>-48437</v>
      </c>
      <c r="AA51" s="3">
        <v>-13767</v>
      </c>
      <c r="AB51" s="3">
        <v>-27788</v>
      </c>
      <c r="AC51" s="3">
        <v>-41793</v>
      </c>
      <c r="AD51" s="3">
        <v>-56129</v>
      </c>
      <c r="AE51" s="3">
        <v>-27</v>
      </c>
      <c r="AF51" s="3">
        <v>0</v>
      </c>
      <c r="AG51" s="3">
        <v>0</v>
      </c>
      <c r="AH51" s="3">
        <v>0</v>
      </c>
      <c r="AI51" s="3">
        <v>0</v>
      </c>
    </row>
    <row r="52" spans="1:35" s="6" customFormat="1" x14ac:dyDescent="0.3">
      <c r="A52" s="6" t="s">
        <v>136</v>
      </c>
      <c r="B52" s="7">
        <f>+SUM(B50:B51)</f>
        <v>0</v>
      </c>
      <c r="C52" s="7">
        <f t="shared" ref="C52:Z52" si="62">+SUM(C50:C51)</f>
        <v>12277</v>
      </c>
      <c r="D52" s="7">
        <f t="shared" si="62"/>
        <v>23177</v>
      </c>
      <c r="E52" s="7">
        <f t="shared" si="62"/>
        <v>67293</v>
      </c>
      <c r="F52" s="7">
        <f t="shared" si="62"/>
        <v>82746</v>
      </c>
      <c r="G52" s="7">
        <f t="shared" si="62"/>
        <v>28961</v>
      </c>
      <c r="H52" s="7">
        <f t="shared" si="62"/>
        <v>55986</v>
      </c>
      <c r="I52" s="7">
        <f t="shared" si="62"/>
        <v>78660</v>
      </c>
      <c r="J52" s="7">
        <f t="shared" si="62"/>
        <v>106713</v>
      </c>
      <c r="K52" s="7">
        <f t="shared" si="62"/>
        <v>25712</v>
      </c>
      <c r="L52" s="7">
        <f t="shared" si="62"/>
        <v>36604</v>
      </c>
      <c r="M52" s="7">
        <f t="shared" si="62"/>
        <v>45226</v>
      </c>
      <c r="N52" s="7">
        <f t="shared" si="62"/>
        <v>51858</v>
      </c>
      <c r="O52" s="7">
        <f t="shared" si="62"/>
        <v>21640</v>
      </c>
      <c r="P52" s="7">
        <f t="shared" si="62"/>
        <v>45180</v>
      </c>
      <c r="Q52" s="7">
        <f t="shared" si="62"/>
        <v>74617</v>
      </c>
      <c r="R52" s="7">
        <f t="shared" si="62"/>
        <v>99040</v>
      </c>
      <c r="S52" s="7">
        <f t="shared" si="62"/>
        <v>39459</v>
      </c>
      <c r="T52" s="7">
        <f t="shared" si="62"/>
        <v>69216</v>
      </c>
      <c r="U52" s="7">
        <f t="shared" si="62"/>
        <v>111879</v>
      </c>
      <c r="V52" s="7">
        <f t="shared" si="62"/>
        <v>155626</v>
      </c>
      <c r="W52" s="7">
        <f t="shared" si="62"/>
        <v>46110</v>
      </c>
      <c r="X52" s="7">
        <f t="shared" si="62"/>
        <v>89377</v>
      </c>
      <c r="Y52" s="7">
        <f t="shared" si="62"/>
        <v>136144</v>
      </c>
      <c r="Z52" s="7">
        <f t="shared" si="62"/>
        <v>183196</v>
      </c>
      <c r="AA52" s="7">
        <f t="shared" ref="AA52:AB52" si="63">+SUM(AA50:AA51)</f>
        <v>45847</v>
      </c>
      <c r="AB52" s="7">
        <f t="shared" si="63"/>
        <v>92224</v>
      </c>
      <c r="AC52" s="7">
        <f t="shared" ref="AC52:AD52" si="64">+SUM(AC50:AC51)</f>
        <v>139530</v>
      </c>
      <c r="AD52" s="7">
        <f t="shared" si="64"/>
        <v>186565</v>
      </c>
      <c r="AE52" s="7">
        <f t="shared" ref="AE52:AF52" si="65">+SUM(AE50:AE51)</f>
        <v>-27</v>
      </c>
      <c r="AF52" s="7">
        <f t="shared" si="65"/>
        <v>0</v>
      </c>
      <c r="AG52" s="7">
        <f t="shared" ref="AG52:AH52" si="66">+SUM(AG50:AG51)</f>
        <v>0</v>
      </c>
      <c r="AH52" s="7">
        <f t="shared" si="66"/>
        <v>0</v>
      </c>
      <c r="AI52" s="7">
        <f t="shared" ref="AI52" si="67">+SUM(AI50:AI51)</f>
        <v>0</v>
      </c>
    </row>
    <row r="53" spans="1:35" x14ac:dyDescent="0.3">
      <c r="A53" s="1" t="s">
        <v>137</v>
      </c>
      <c r="B53" s="3"/>
      <c r="C53" s="3">
        <v>0</v>
      </c>
      <c r="D53" s="3">
        <v>0</v>
      </c>
      <c r="E53" s="3">
        <v>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0</v>
      </c>
      <c r="AI53" s="3">
        <v>0</v>
      </c>
    </row>
    <row r="54" spans="1:35" x14ac:dyDescent="0.3">
      <c r="A54" s="1" t="s">
        <v>138</v>
      </c>
      <c r="B54" s="3"/>
      <c r="C54" s="3">
        <v>-13499</v>
      </c>
      <c r="D54" s="3">
        <v>-24331</v>
      </c>
      <c r="E54" s="3">
        <v>-13508</v>
      </c>
      <c r="F54" s="3">
        <v>-18385</v>
      </c>
      <c r="G54" s="3">
        <v>-4392</v>
      </c>
      <c r="H54" s="3">
        <v>-9579</v>
      </c>
      <c r="I54" s="3">
        <v>-16370</v>
      </c>
      <c r="J54" s="3">
        <v>-23516</v>
      </c>
      <c r="K54" s="3">
        <v>-4817</v>
      </c>
      <c r="L54" s="3">
        <v>-26056</v>
      </c>
      <c r="M54" s="3">
        <v>-33003</v>
      </c>
      <c r="N54" s="3">
        <v>-37687</v>
      </c>
      <c r="O54" s="3">
        <v>-18191</v>
      </c>
      <c r="P54" s="3">
        <v>-28336</v>
      </c>
      <c r="Q54" s="3">
        <v>-35900</v>
      </c>
      <c r="R54" s="3">
        <v>-43107</v>
      </c>
      <c r="S54" s="3">
        <v>-4952</v>
      </c>
      <c r="T54" s="3">
        <v>1437</v>
      </c>
      <c r="U54" s="3">
        <v>-2434</v>
      </c>
      <c r="V54" s="3">
        <v>-9186</v>
      </c>
      <c r="W54" s="3">
        <v>-4203</v>
      </c>
      <c r="X54" s="3">
        <v>-6860</v>
      </c>
      <c r="Y54" s="3">
        <v>-11124</v>
      </c>
      <c r="Z54" s="3">
        <v>-15307</v>
      </c>
      <c r="AA54" s="3">
        <v>-4325</v>
      </c>
      <c r="AB54" s="3">
        <v>-8804</v>
      </c>
      <c r="AC54" s="3">
        <v>-13209</v>
      </c>
      <c r="AD54" s="3">
        <v>-17779</v>
      </c>
      <c r="AE54" s="3">
        <v>-4245</v>
      </c>
      <c r="AF54" s="3">
        <v>0</v>
      </c>
      <c r="AG54" s="3">
        <v>0</v>
      </c>
      <c r="AH54" s="3">
        <v>0</v>
      </c>
      <c r="AI54" s="3">
        <v>0</v>
      </c>
    </row>
    <row r="55" spans="1:35" x14ac:dyDescent="0.3">
      <c r="A55" s="1" t="s">
        <v>139</v>
      </c>
      <c r="B55" s="3"/>
      <c r="C55" s="3">
        <v>0</v>
      </c>
      <c r="D55" s="3">
        <v>0</v>
      </c>
      <c r="E55" s="3">
        <v>0</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c r="AI55" s="3">
        <v>0</v>
      </c>
    </row>
    <row r="56" spans="1:35" x14ac:dyDescent="0.3">
      <c r="A56" s="1" t="s">
        <v>140</v>
      </c>
      <c r="B56" s="3"/>
      <c r="C56" s="3">
        <v>0</v>
      </c>
      <c r="D56" s="3">
        <v>0</v>
      </c>
      <c r="E56" s="3">
        <v>0</v>
      </c>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v>0</v>
      </c>
      <c r="AG56" s="3">
        <v>0</v>
      </c>
      <c r="AH56" s="3">
        <v>0</v>
      </c>
      <c r="AI56" s="3">
        <v>0</v>
      </c>
    </row>
    <row r="57" spans="1:35" s="6" customFormat="1" x14ac:dyDescent="0.3">
      <c r="A57" s="6" t="s">
        <v>141</v>
      </c>
      <c r="B57" s="7">
        <f>+SUM(B52:B56)</f>
        <v>0</v>
      </c>
      <c r="C57" s="7">
        <f t="shared" ref="C57:Z57" si="68">+SUM(C52:C56)</f>
        <v>-1222</v>
      </c>
      <c r="D57" s="7">
        <f t="shared" si="68"/>
        <v>-1154</v>
      </c>
      <c r="E57" s="7">
        <f t="shared" si="68"/>
        <v>53785</v>
      </c>
      <c r="F57" s="7">
        <f t="shared" si="68"/>
        <v>64361</v>
      </c>
      <c r="G57" s="7">
        <f t="shared" si="68"/>
        <v>24569</v>
      </c>
      <c r="H57" s="7">
        <f t="shared" si="68"/>
        <v>46407</v>
      </c>
      <c r="I57" s="7">
        <f t="shared" si="68"/>
        <v>62290</v>
      </c>
      <c r="J57" s="7">
        <f t="shared" si="68"/>
        <v>83197</v>
      </c>
      <c r="K57" s="7">
        <f t="shared" si="68"/>
        <v>20895</v>
      </c>
      <c r="L57" s="7">
        <f t="shared" si="68"/>
        <v>10548</v>
      </c>
      <c r="M57" s="7">
        <f t="shared" si="68"/>
        <v>12223</v>
      </c>
      <c r="N57" s="7">
        <f t="shared" si="68"/>
        <v>14171</v>
      </c>
      <c r="O57" s="7">
        <f t="shared" si="68"/>
        <v>3449</v>
      </c>
      <c r="P57" s="7">
        <f t="shared" si="68"/>
        <v>16844</v>
      </c>
      <c r="Q57" s="7">
        <f t="shared" si="68"/>
        <v>38717</v>
      </c>
      <c r="R57" s="7">
        <f t="shared" si="68"/>
        <v>55933</v>
      </c>
      <c r="S57" s="7">
        <f t="shared" si="68"/>
        <v>34507</v>
      </c>
      <c r="T57" s="7">
        <f t="shared" si="68"/>
        <v>70653</v>
      </c>
      <c r="U57" s="7">
        <f t="shared" si="68"/>
        <v>109445</v>
      </c>
      <c r="V57" s="7">
        <f t="shared" si="68"/>
        <v>146440</v>
      </c>
      <c r="W57" s="7">
        <f t="shared" si="68"/>
        <v>41907</v>
      </c>
      <c r="X57" s="7">
        <f t="shared" si="68"/>
        <v>82517</v>
      </c>
      <c r="Y57" s="7">
        <f t="shared" si="68"/>
        <v>125020</v>
      </c>
      <c r="Z57" s="7">
        <f t="shared" si="68"/>
        <v>167889</v>
      </c>
      <c r="AA57" s="7">
        <f t="shared" ref="AA57:AB57" si="69">+SUM(AA52:AA56)</f>
        <v>41522</v>
      </c>
      <c r="AB57" s="7">
        <f t="shared" si="69"/>
        <v>83420</v>
      </c>
      <c r="AC57" s="7">
        <f t="shared" ref="AC57:AD57" si="70">+SUM(AC52:AC56)</f>
        <v>126321</v>
      </c>
      <c r="AD57" s="7">
        <f t="shared" si="70"/>
        <v>168786</v>
      </c>
      <c r="AE57" s="7">
        <f t="shared" ref="AE57:AF57" si="71">+SUM(AE52:AE56)</f>
        <v>-4272</v>
      </c>
      <c r="AF57" s="7">
        <f t="shared" si="71"/>
        <v>0</v>
      </c>
      <c r="AG57" s="7">
        <f t="shared" ref="AG57:AH57" si="72">+SUM(AG52:AG56)</f>
        <v>0</v>
      </c>
      <c r="AH57" s="7">
        <f t="shared" si="72"/>
        <v>0</v>
      </c>
      <c r="AI57" s="7">
        <f t="shared" ref="AI57" si="73">+SUM(AI52:AI56)</f>
        <v>0</v>
      </c>
    </row>
    <row r="58" spans="1:35" x14ac:dyDescent="0.3">
      <c r="A58" s="1" t="s">
        <v>142</v>
      </c>
      <c r="B58" s="3"/>
      <c r="C58" s="3">
        <v>88</v>
      </c>
      <c r="D58" s="3">
        <v>4763</v>
      </c>
      <c r="E58" s="3">
        <v>217</v>
      </c>
      <c r="F58" s="3">
        <v>739</v>
      </c>
      <c r="G58" s="3">
        <v>209</v>
      </c>
      <c r="H58" s="3">
        <v>423</v>
      </c>
      <c r="I58" s="3">
        <v>532</v>
      </c>
      <c r="J58" s="3">
        <v>597</v>
      </c>
      <c r="K58" s="3">
        <v>40</v>
      </c>
      <c r="L58" s="3">
        <v>97</v>
      </c>
      <c r="M58" s="3">
        <v>110</v>
      </c>
      <c r="N58" s="3">
        <v>120</v>
      </c>
      <c r="O58" s="3">
        <v>7</v>
      </c>
      <c r="P58" s="3">
        <v>15</v>
      </c>
      <c r="Q58" s="3">
        <v>5</v>
      </c>
      <c r="R58" s="3">
        <v>349</v>
      </c>
      <c r="S58" s="3">
        <v>735</v>
      </c>
      <c r="T58" s="3">
        <v>2107</v>
      </c>
      <c r="U58" s="3">
        <v>4012</v>
      </c>
      <c r="V58" s="3">
        <v>6425</v>
      </c>
      <c r="W58" s="3">
        <v>2728</v>
      </c>
      <c r="X58" s="3">
        <v>5907</v>
      </c>
      <c r="Y58" s="3">
        <v>9518</v>
      </c>
      <c r="Z58" s="3">
        <v>12912</v>
      </c>
      <c r="AA58" s="3">
        <v>3087</v>
      </c>
      <c r="AB58" s="3">
        <v>5671</v>
      </c>
      <c r="AC58" s="3">
        <v>7320</v>
      </c>
      <c r="AD58" s="3">
        <v>9485</v>
      </c>
      <c r="AE58" s="3">
        <v>385</v>
      </c>
      <c r="AF58" s="3">
        <v>0</v>
      </c>
      <c r="AG58" s="3">
        <v>0</v>
      </c>
      <c r="AH58" s="3">
        <v>0</v>
      </c>
      <c r="AI58" s="3">
        <v>0</v>
      </c>
    </row>
    <row r="59" spans="1:35" x14ac:dyDescent="0.3">
      <c r="A59" s="1" t="s">
        <v>143</v>
      </c>
      <c r="B59" s="3"/>
      <c r="C59" s="3">
        <v>-17677</v>
      </c>
      <c r="D59" s="3">
        <v>-94544</v>
      </c>
      <c r="E59" s="3">
        <v>-94465</v>
      </c>
      <c r="F59" s="3">
        <v>-121174</v>
      </c>
      <c r="G59" s="3">
        <v>-30213</v>
      </c>
      <c r="H59" s="3">
        <v>-61108</v>
      </c>
      <c r="I59" s="3">
        <v>-87359</v>
      </c>
      <c r="J59" s="3">
        <v>-113799</v>
      </c>
      <c r="K59" s="3">
        <v>-17713</v>
      </c>
      <c r="L59" s="3">
        <v>-35569</v>
      </c>
      <c r="M59" s="3">
        <v>-53874</v>
      </c>
      <c r="N59" s="3">
        <v>-72504</v>
      </c>
      <c r="O59" s="3">
        <v>-15726</v>
      </c>
      <c r="P59" s="3">
        <v>-31777</v>
      </c>
      <c r="Q59" s="3">
        <v>-48180</v>
      </c>
      <c r="R59" s="3">
        <v>-65013</v>
      </c>
      <c r="S59" s="3">
        <v>-36048</v>
      </c>
      <c r="T59" s="3">
        <v>-73836</v>
      </c>
      <c r="U59" s="3">
        <v>-113425</v>
      </c>
      <c r="V59" s="3">
        <v>-154195</v>
      </c>
      <c r="W59" s="3">
        <v>-32451</v>
      </c>
      <c r="X59" s="3">
        <v>-65791</v>
      </c>
      <c r="Y59" s="3">
        <v>-99589</v>
      </c>
      <c r="Z59" s="3">
        <v>-133813</v>
      </c>
      <c r="AA59" s="3">
        <v>-41586</v>
      </c>
      <c r="AB59" s="3">
        <v>-83770</v>
      </c>
      <c r="AC59" s="3">
        <v>-126783</v>
      </c>
      <c r="AD59" s="3">
        <v>-170327</v>
      </c>
      <c r="AE59" s="3">
        <v>-1026</v>
      </c>
      <c r="AF59" s="3">
        <v>0</v>
      </c>
      <c r="AG59" s="3">
        <v>0</v>
      </c>
      <c r="AH59" s="3">
        <v>0</v>
      </c>
      <c r="AI59" s="3">
        <v>0</v>
      </c>
    </row>
    <row r="60" spans="1:35" ht="28.8" x14ac:dyDescent="0.3">
      <c r="A60" s="5" t="s">
        <v>144</v>
      </c>
      <c r="B60" s="3"/>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row>
    <row r="61" spans="1:35" x14ac:dyDescent="0.3">
      <c r="A61" s="1" t="s">
        <v>145</v>
      </c>
      <c r="B61" s="3"/>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c r="AI61" s="3">
        <v>0</v>
      </c>
    </row>
    <row r="62" spans="1:35" x14ac:dyDescent="0.3">
      <c r="A62" s="1" t="s">
        <v>146</v>
      </c>
      <c r="B62" s="3"/>
      <c r="C62" s="3">
        <v>-19524</v>
      </c>
      <c r="D62" s="3">
        <v>-56560</v>
      </c>
      <c r="E62" s="3">
        <v>-36735</v>
      </c>
      <c r="F62" s="3">
        <v>-65446</v>
      </c>
      <c r="G62" s="3">
        <v>1</v>
      </c>
      <c r="H62" s="3">
        <v>4320</v>
      </c>
      <c r="I62" s="3">
        <v>5386</v>
      </c>
      <c r="J62" s="3">
        <v>-64438</v>
      </c>
      <c r="K62" s="3">
        <v>-24785</v>
      </c>
      <c r="L62" s="3">
        <v>-33852</v>
      </c>
      <c r="M62" s="3">
        <v>-34776</v>
      </c>
      <c r="N62" s="3">
        <v>-67258</v>
      </c>
      <c r="O62" s="3">
        <v>-28932</v>
      </c>
      <c r="P62" s="3">
        <v>-57239</v>
      </c>
      <c r="Q62" s="3">
        <v>-91368</v>
      </c>
      <c r="R62" s="3">
        <v>-173065</v>
      </c>
      <c r="S62" s="3">
        <v>-66923</v>
      </c>
      <c r="T62" s="3">
        <v>-189598</v>
      </c>
      <c r="U62" s="3">
        <v>-296279</v>
      </c>
      <c r="V62" s="3">
        <v>-374340</v>
      </c>
      <c r="W62" s="3">
        <v>-43527</v>
      </c>
      <c r="X62" s="3">
        <v>-90517</v>
      </c>
      <c r="Y62" s="3">
        <v>-100459</v>
      </c>
      <c r="Z62" s="3">
        <v>-154392</v>
      </c>
      <c r="AA62" s="3">
        <v>-28126</v>
      </c>
      <c r="AB62" s="3">
        <v>-72493</v>
      </c>
      <c r="AC62" s="3">
        <v>-103770</v>
      </c>
      <c r="AD62" s="3">
        <v>-150356</v>
      </c>
      <c r="AE62" s="3">
        <v>-1171</v>
      </c>
      <c r="AF62" s="3">
        <v>0</v>
      </c>
      <c r="AG62" s="3">
        <v>0</v>
      </c>
      <c r="AH62" s="3">
        <v>0</v>
      </c>
      <c r="AI62" s="3">
        <v>0</v>
      </c>
    </row>
    <row r="63" spans="1:35" x14ac:dyDescent="0.3">
      <c r="A63" s="1" t="s">
        <v>147</v>
      </c>
      <c r="B63" s="3"/>
      <c r="C63" s="3">
        <v>76746</v>
      </c>
      <c r="D63" s="3">
        <v>191967</v>
      </c>
      <c r="E63" s="3">
        <v>312239</v>
      </c>
      <c r="F63" s="3">
        <v>158777</v>
      </c>
      <c r="G63" s="3">
        <v>-3</v>
      </c>
      <c r="H63" s="3">
        <v>-31038</v>
      </c>
      <c r="I63" s="3">
        <v>-31038</v>
      </c>
      <c r="J63" s="3">
        <v>41230</v>
      </c>
      <c r="K63" s="3">
        <v>27777</v>
      </c>
      <c r="L63" s="3">
        <v>-279465</v>
      </c>
      <c r="M63" s="3">
        <v>-278487</v>
      </c>
      <c r="N63" s="3">
        <v>-247470</v>
      </c>
      <c r="O63" s="3">
        <v>27762</v>
      </c>
      <c r="P63" s="3">
        <v>66087</v>
      </c>
      <c r="Q63" s="3">
        <v>98624</v>
      </c>
      <c r="R63" s="3">
        <v>176269</v>
      </c>
      <c r="S63" s="3">
        <v>63261</v>
      </c>
      <c r="T63" s="3">
        <v>180391</v>
      </c>
      <c r="U63" s="3">
        <v>281087</v>
      </c>
      <c r="V63" s="3">
        <v>354392</v>
      </c>
      <c r="W63" s="3">
        <v>39929</v>
      </c>
      <c r="X63" s="3">
        <v>109196</v>
      </c>
      <c r="Y63" s="3">
        <v>118559</v>
      </c>
      <c r="Z63" s="3">
        <v>169846</v>
      </c>
      <c r="AA63" s="3">
        <v>26358</v>
      </c>
      <c r="AB63" s="3">
        <v>93170</v>
      </c>
      <c r="AC63" s="3">
        <v>122737</v>
      </c>
      <c r="AD63" s="3">
        <v>105290</v>
      </c>
      <c r="AE63" s="3">
        <v>0</v>
      </c>
      <c r="AF63" s="3">
        <v>0</v>
      </c>
      <c r="AG63" s="3">
        <v>0</v>
      </c>
      <c r="AH63" s="3">
        <v>0</v>
      </c>
      <c r="AI63" s="3">
        <v>0</v>
      </c>
    </row>
    <row r="64" spans="1:35" s="6" customFormat="1" x14ac:dyDescent="0.3">
      <c r="A64" s="6" t="s">
        <v>148</v>
      </c>
      <c r="B64" s="7">
        <f>+SUM(B57:B63)</f>
        <v>0</v>
      </c>
      <c r="C64" s="7">
        <f t="shared" ref="C64:Z64" si="74">+SUM(C57:C63)</f>
        <v>38411</v>
      </c>
      <c r="D64" s="7">
        <f t="shared" si="74"/>
        <v>44472</v>
      </c>
      <c r="E64" s="7">
        <f t="shared" si="74"/>
        <v>235041</v>
      </c>
      <c r="F64" s="7">
        <f t="shared" si="74"/>
        <v>37257</v>
      </c>
      <c r="G64" s="7">
        <f t="shared" si="74"/>
        <v>-5437</v>
      </c>
      <c r="H64" s="7">
        <f t="shared" si="74"/>
        <v>-40996</v>
      </c>
      <c r="I64" s="7">
        <f t="shared" si="74"/>
        <v>-50189</v>
      </c>
      <c r="J64" s="7">
        <f t="shared" si="74"/>
        <v>-53213</v>
      </c>
      <c r="K64" s="7">
        <f t="shared" si="74"/>
        <v>6214</v>
      </c>
      <c r="L64" s="7">
        <f t="shared" si="74"/>
        <v>-338241</v>
      </c>
      <c r="M64" s="7">
        <f t="shared" si="74"/>
        <v>-354804</v>
      </c>
      <c r="N64" s="7">
        <f t="shared" si="74"/>
        <v>-372941</v>
      </c>
      <c r="O64" s="7">
        <f t="shared" si="74"/>
        <v>-13440</v>
      </c>
      <c r="P64" s="7">
        <f t="shared" si="74"/>
        <v>-6070</v>
      </c>
      <c r="Q64" s="7">
        <f t="shared" si="74"/>
        <v>-2202</v>
      </c>
      <c r="R64" s="7">
        <f t="shared" si="74"/>
        <v>-5527</v>
      </c>
      <c r="S64" s="7">
        <f t="shared" si="74"/>
        <v>-4468</v>
      </c>
      <c r="T64" s="7">
        <f t="shared" si="74"/>
        <v>-10283</v>
      </c>
      <c r="U64" s="7">
        <f t="shared" si="74"/>
        <v>-15160</v>
      </c>
      <c r="V64" s="7">
        <f t="shared" si="74"/>
        <v>-21278</v>
      </c>
      <c r="W64" s="7">
        <f t="shared" si="74"/>
        <v>8586</v>
      </c>
      <c r="X64" s="7">
        <f t="shared" si="74"/>
        <v>41312</v>
      </c>
      <c r="Y64" s="7">
        <f t="shared" si="74"/>
        <v>53049</v>
      </c>
      <c r="Z64" s="7">
        <f t="shared" si="74"/>
        <v>62442</v>
      </c>
      <c r="AA64" s="7">
        <f t="shared" ref="AA64:AB64" si="75">+SUM(AA57:AA63)</f>
        <v>1255</v>
      </c>
      <c r="AB64" s="7">
        <f t="shared" si="75"/>
        <v>25998</v>
      </c>
      <c r="AC64" s="7">
        <f t="shared" ref="AC64:AD64" si="76">+SUM(AC57:AC63)</f>
        <v>25825</v>
      </c>
      <c r="AD64" s="7">
        <f t="shared" si="76"/>
        <v>-37122</v>
      </c>
      <c r="AE64" s="7">
        <f t="shared" ref="AE64:AF64" si="77">+SUM(AE57:AE63)</f>
        <v>-6084</v>
      </c>
      <c r="AF64" s="7">
        <f t="shared" si="77"/>
        <v>0</v>
      </c>
      <c r="AG64" s="7">
        <f t="shared" ref="AG64:AH64" si="78">+SUM(AG57:AG63)</f>
        <v>0</v>
      </c>
      <c r="AH64" s="7">
        <f t="shared" si="78"/>
        <v>0</v>
      </c>
      <c r="AI64" s="7">
        <f t="shared" ref="AI64" si="79">+SUM(AI57:AI63)</f>
        <v>0</v>
      </c>
    </row>
    <row r="65" spans="1:35" x14ac:dyDescent="0.3">
      <c r="A65" s="1" t="s">
        <v>149</v>
      </c>
      <c r="B65" s="3"/>
      <c r="C65" s="3">
        <v>-10154</v>
      </c>
      <c r="D65" s="3">
        <v>-12062</v>
      </c>
      <c r="E65" s="3">
        <v>-62694</v>
      </c>
      <c r="F65" s="3">
        <v>-8384</v>
      </c>
      <c r="G65" s="3">
        <v>1468</v>
      </c>
      <c r="H65" s="3">
        <v>12295</v>
      </c>
      <c r="I65" s="3">
        <v>15137</v>
      </c>
      <c r="J65" s="3">
        <v>16741</v>
      </c>
      <c r="K65" s="3">
        <v>-265</v>
      </c>
      <c r="L65" s="3">
        <v>93123</v>
      </c>
      <c r="M65" s="3">
        <v>97724</v>
      </c>
      <c r="N65" s="3">
        <v>104162</v>
      </c>
      <c r="O65" s="3">
        <v>5740</v>
      </c>
      <c r="P65" s="3">
        <v>5686</v>
      </c>
      <c r="Q65" s="3">
        <v>6753</v>
      </c>
      <c r="R65" s="3">
        <v>13282</v>
      </c>
      <c r="S65" s="3">
        <v>6561</v>
      </c>
      <c r="T65" s="3">
        <v>18841</v>
      </c>
      <c r="U65" s="3">
        <v>29005</v>
      </c>
      <c r="V65" s="3">
        <v>36710</v>
      </c>
      <c r="W65" s="3">
        <v>1032</v>
      </c>
      <c r="X65" s="3">
        <v>-2494</v>
      </c>
      <c r="Y65" s="3">
        <v>-4612</v>
      </c>
      <c r="Z65" s="3">
        <v>-786</v>
      </c>
      <c r="AA65" s="3">
        <v>52</v>
      </c>
      <c r="AB65" s="3">
        <v>401</v>
      </c>
      <c r="AC65" s="3">
        <v>3962</v>
      </c>
      <c r="AD65" s="3">
        <v>-76815</v>
      </c>
      <c r="AE65" s="3">
        <v>0</v>
      </c>
      <c r="AF65" s="3">
        <v>0</v>
      </c>
      <c r="AG65" s="3">
        <v>0</v>
      </c>
      <c r="AH65" s="3">
        <v>0</v>
      </c>
      <c r="AI65" s="3">
        <v>0</v>
      </c>
    </row>
    <row r="66" spans="1:35" x14ac:dyDescent="0.3">
      <c r="A66" s="1" t="s">
        <v>150</v>
      </c>
      <c r="B66" s="7">
        <f>+SUM(B64:B65)</f>
        <v>0</v>
      </c>
      <c r="C66" s="7">
        <f t="shared" ref="C66:Z66" si="80">+SUM(C64:C65)</f>
        <v>28257</v>
      </c>
      <c r="D66" s="7">
        <f t="shared" si="80"/>
        <v>32410</v>
      </c>
      <c r="E66" s="7">
        <f t="shared" si="80"/>
        <v>172347</v>
      </c>
      <c r="F66" s="7">
        <f t="shared" si="80"/>
        <v>28873</v>
      </c>
      <c r="G66" s="7">
        <f t="shared" si="80"/>
        <v>-3969</v>
      </c>
      <c r="H66" s="7">
        <f t="shared" si="80"/>
        <v>-28701</v>
      </c>
      <c r="I66" s="7">
        <f t="shared" si="80"/>
        <v>-35052</v>
      </c>
      <c r="J66" s="7">
        <f t="shared" si="80"/>
        <v>-36472</v>
      </c>
      <c r="K66" s="7">
        <f t="shared" si="80"/>
        <v>5949</v>
      </c>
      <c r="L66" s="7">
        <f t="shared" si="80"/>
        <v>-245118</v>
      </c>
      <c r="M66" s="7">
        <f t="shared" si="80"/>
        <v>-257080</v>
      </c>
      <c r="N66" s="7">
        <f t="shared" si="80"/>
        <v>-268779</v>
      </c>
      <c r="O66" s="7">
        <f t="shared" si="80"/>
        <v>-7700</v>
      </c>
      <c r="P66" s="7">
        <f t="shared" si="80"/>
        <v>-384</v>
      </c>
      <c r="Q66" s="7">
        <f t="shared" si="80"/>
        <v>4551</v>
      </c>
      <c r="R66" s="7">
        <f t="shared" si="80"/>
        <v>7755</v>
      </c>
      <c r="S66" s="7">
        <f t="shared" si="80"/>
        <v>2093</v>
      </c>
      <c r="T66" s="7">
        <f t="shared" si="80"/>
        <v>8558</v>
      </c>
      <c r="U66" s="7">
        <f t="shared" si="80"/>
        <v>13845</v>
      </c>
      <c r="V66" s="7">
        <f t="shared" si="80"/>
        <v>15432</v>
      </c>
      <c r="W66" s="7">
        <f t="shared" si="80"/>
        <v>9618</v>
      </c>
      <c r="X66" s="7">
        <f t="shared" si="80"/>
        <v>38818</v>
      </c>
      <c r="Y66" s="7">
        <f t="shared" si="80"/>
        <v>48437</v>
      </c>
      <c r="Z66" s="7">
        <f t="shared" si="80"/>
        <v>61656</v>
      </c>
      <c r="AA66" s="7">
        <f t="shared" ref="AA66:AB66" si="81">+SUM(AA64:AA65)</f>
        <v>1307</v>
      </c>
      <c r="AB66" s="7">
        <f t="shared" si="81"/>
        <v>26399</v>
      </c>
      <c r="AC66" s="7">
        <f t="shared" ref="AC66:AD66" si="82">+SUM(AC64:AC65)</f>
        <v>29787</v>
      </c>
      <c r="AD66" s="7">
        <f t="shared" si="82"/>
        <v>-113937</v>
      </c>
      <c r="AE66" s="7">
        <f t="shared" ref="AE66:AF66" si="83">+SUM(AE64:AE65)</f>
        <v>-6084</v>
      </c>
      <c r="AF66" s="7">
        <f t="shared" si="83"/>
        <v>0</v>
      </c>
      <c r="AG66" s="7">
        <f t="shared" ref="AG66:AH66" si="84">+SUM(AG64:AG65)</f>
        <v>0</v>
      </c>
      <c r="AH66" s="7">
        <f t="shared" si="84"/>
        <v>0</v>
      </c>
      <c r="AI66" s="7">
        <f t="shared" ref="AI66" si="85">+SUM(AI64:AI65)</f>
        <v>0</v>
      </c>
    </row>
    <row r="67" spans="1:35" x14ac:dyDescent="0.3">
      <c r="A67" s="1" t="s">
        <v>151</v>
      </c>
      <c r="B67" s="3"/>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row>
    <row r="68" spans="1:35" s="6" customFormat="1" x14ac:dyDescent="0.3">
      <c r="A68" s="6" t="s">
        <v>152</v>
      </c>
      <c r="B68" s="7">
        <f>+SUM(B66:B67)</f>
        <v>0</v>
      </c>
      <c r="C68" s="7">
        <f>+SUM(C66:C67)</f>
        <v>28257</v>
      </c>
      <c r="D68" s="7">
        <f t="shared" ref="D68:Z68" si="86">+SUM(D66:D67)</f>
        <v>32410</v>
      </c>
      <c r="E68" s="7">
        <f t="shared" si="86"/>
        <v>172347</v>
      </c>
      <c r="F68" s="7">
        <f t="shared" si="86"/>
        <v>28873</v>
      </c>
      <c r="G68" s="7">
        <f t="shared" si="86"/>
        <v>-3969</v>
      </c>
      <c r="H68" s="7">
        <f t="shared" si="86"/>
        <v>-28701</v>
      </c>
      <c r="I68" s="7">
        <f t="shared" si="86"/>
        <v>-35052</v>
      </c>
      <c r="J68" s="7">
        <f t="shared" si="86"/>
        <v>-36472</v>
      </c>
      <c r="K68" s="7">
        <f t="shared" si="86"/>
        <v>5949</v>
      </c>
      <c r="L68" s="7">
        <f t="shared" si="86"/>
        <v>-245118</v>
      </c>
      <c r="M68" s="7">
        <f t="shared" si="86"/>
        <v>-257080</v>
      </c>
      <c r="N68" s="7">
        <f t="shared" si="86"/>
        <v>-268779</v>
      </c>
      <c r="O68" s="7">
        <f t="shared" si="86"/>
        <v>-7700</v>
      </c>
      <c r="P68" s="7">
        <f t="shared" si="86"/>
        <v>-384</v>
      </c>
      <c r="Q68" s="7">
        <f t="shared" si="86"/>
        <v>4551</v>
      </c>
      <c r="R68" s="7">
        <f t="shared" si="86"/>
        <v>7755</v>
      </c>
      <c r="S68" s="7">
        <f t="shared" si="86"/>
        <v>2093</v>
      </c>
      <c r="T68" s="7">
        <f t="shared" si="86"/>
        <v>8558</v>
      </c>
      <c r="U68" s="7">
        <f t="shared" si="86"/>
        <v>13845</v>
      </c>
      <c r="V68" s="7">
        <f t="shared" si="86"/>
        <v>15432</v>
      </c>
      <c r="W68" s="7">
        <f t="shared" si="86"/>
        <v>9618</v>
      </c>
      <c r="X68" s="7">
        <f t="shared" si="86"/>
        <v>38818</v>
      </c>
      <c r="Y68" s="7">
        <f t="shared" si="86"/>
        <v>48437</v>
      </c>
      <c r="Z68" s="7">
        <f t="shared" si="86"/>
        <v>61656</v>
      </c>
      <c r="AA68" s="7">
        <f t="shared" ref="AA68:AB68" si="87">+SUM(AA66:AA67)</f>
        <v>1307</v>
      </c>
      <c r="AB68" s="7">
        <f t="shared" si="87"/>
        <v>26399</v>
      </c>
      <c r="AC68" s="7">
        <f t="shared" ref="AC68:AD68" si="88">+SUM(AC66:AC67)</f>
        <v>29787</v>
      </c>
      <c r="AD68" s="7">
        <f t="shared" si="88"/>
        <v>-113937</v>
      </c>
      <c r="AE68" s="7">
        <f t="shared" ref="AE68:AF68" si="89">+SUM(AE66:AE67)</f>
        <v>-6084</v>
      </c>
      <c r="AF68" s="7">
        <f t="shared" si="89"/>
        <v>0</v>
      </c>
      <c r="AG68" s="7">
        <f t="shared" ref="AG68:AH68" si="90">+SUM(AG66:AG67)</f>
        <v>0</v>
      </c>
      <c r="AH68" s="7">
        <f t="shared" si="90"/>
        <v>0</v>
      </c>
      <c r="AI68" s="7">
        <f t="shared" ref="AI68" si="91">+SUM(AI66:AI67)</f>
        <v>0</v>
      </c>
    </row>
    <row r="71" spans="1:35" x14ac:dyDescent="0.3">
      <c r="A71" s="6" t="s">
        <v>79</v>
      </c>
      <c r="B71" s="3"/>
      <c r="C71" s="3"/>
      <c r="D71" s="3"/>
      <c r="E71" s="3"/>
      <c r="F71" s="3"/>
      <c r="G71" s="3"/>
      <c r="H71" s="3"/>
      <c r="I71" s="3"/>
      <c r="J71" s="3"/>
      <c r="K71" s="3"/>
      <c r="L71" s="3"/>
      <c r="M71" s="3"/>
      <c r="N71" s="3"/>
      <c r="O71" s="3"/>
      <c r="P71" s="3"/>
      <c r="Q71" s="3"/>
      <c r="R71" s="3"/>
      <c r="S71" s="3"/>
      <c r="T71" s="3"/>
      <c r="U71" s="3"/>
      <c r="V71" s="3"/>
    </row>
    <row r="72" spans="1:35" x14ac:dyDescent="0.3">
      <c r="A72" s="1" t="s">
        <v>80</v>
      </c>
      <c r="B72" s="3"/>
      <c r="C72" s="3">
        <v>0</v>
      </c>
      <c r="D72" s="3">
        <v>16515</v>
      </c>
      <c r="E72" s="3">
        <v>18383</v>
      </c>
      <c r="F72" s="3">
        <v>17440</v>
      </c>
      <c r="G72" s="3">
        <v>4917</v>
      </c>
      <c r="H72" s="3">
        <v>9873</v>
      </c>
      <c r="I72" s="3">
        <v>14869</v>
      </c>
      <c r="J72" s="3">
        <v>19902</v>
      </c>
      <c r="K72" s="3">
        <v>4918</v>
      </c>
      <c r="L72" s="3">
        <v>9877</v>
      </c>
      <c r="M72" s="3">
        <v>14834</v>
      </c>
      <c r="N72" s="3">
        <v>19841</v>
      </c>
      <c r="O72" s="3">
        <v>4462</v>
      </c>
      <c r="P72" s="3">
        <v>8963</v>
      </c>
      <c r="Q72" s="3">
        <v>13546</v>
      </c>
      <c r="R72" s="3">
        <v>18261</v>
      </c>
      <c r="S72" s="3">
        <v>5070</v>
      </c>
      <c r="T72" s="3">
        <v>10324</v>
      </c>
      <c r="U72" s="3">
        <v>15780</v>
      </c>
      <c r="V72" s="3">
        <v>21390</v>
      </c>
      <c r="W72" s="3">
        <v>5258</v>
      </c>
      <c r="X72" s="3">
        <v>12020</v>
      </c>
      <c r="Y72" s="3">
        <v>18116</v>
      </c>
      <c r="Z72" s="3">
        <v>24455</v>
      </c>
      <c r="AA72" s="3">
        <v>7722</v>
      </c>
      <c r="AB72" s="3">
        <v>15624</v>
      </c>
      <c r="AC72" s="3">
        <v>23667</v>
      </c>
      <c r="AD72" s="3">
        <v>31785</v>
      </c>
      <c r="AE72" s="3">
        <v>0</v>
      </c>
      <c r="AF72" s="3">
        <v>0</v>
      </c>
      <c r="AG72" s="3">
        <v>0</v>
      </c>
      <c r="AH72" s="3">
        <v>0</v>
      </c>
      <c r="AI72" s="3">
        <v>0</v>
      </c>
    </row>
    <row r="73" spans="1:35" x14ac:dyDescent="0.3">
      <c r="A73" s="1" t="s">
        <v>81</v>
      </c>
      <c r="B73" s="3"/>
      <c r="C73" s="3">
        <v>0</v>
      </c>
      <c r="D73" s="3">
        <v>0</v>
      </c>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c r="AI73" s="3">
        <v>0</v>
      </c>
    </row>
    <row r="74" spans="1:35" x14ac:dyDescent="0.3">
      <c r="A74" s="1" t="s">
        <v>82</v>
      </c>
      <c r="B74" s="3"/>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c r="AI74" s="3">
        <v>0</v>
      </c>
    </row>
    <row r="75" spans="1:35" x14ac:dyDescent="0.3">
      <c r="A75" s="1" t="s">
        <v>83</v>
      </c>
      <c r="B75" s="3"/>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c r="AI75" s="3">
        <v>0</v>
      </c>
    </row>
    <row r="76" spans="1:35" x14ac:dyDescent="0.3">
      <c r="A76" s="1" t="s">
        <v>84</v>
      </c>
      <c r="B76" s="3"/>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row>
    <row r="77" spans="1:35" x14ac:dyDescent="0.3">
      <c r="A77" s="1" t="s">
        <v>85</v>
      </c>
      <c r="B77" s="3"/>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row>
    <row r="78" spans="1:35" x14ac:dyDescent="0.3">
      <c r="A78" s="1" t="s">
        <v>86</v>
      </c>
      <c r="B78" s="3"/>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row>
    <row r="79" spans="1:35" x14ac:dyDescent="0.3">
      <c r="A79" s="1" t="s">
        <v>87</v>
      </c>
      <c r="B79" s="3"/>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c r="AI79" s="3">
        <v>0</v>
      </c>
    </row>
    <row r="80" spans="1:35" x14ac:dyDescent="0.3">
      <c r="A80" s="1" t="s">
        <v>88</v>
      </c>
      <c r="B80" s="3"/>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c r="AI80" s="3">
        <v>0</v>
      </c>
    </row>
    <row r="81" spans="1:35" x14ac:dyDescent="0.3">
      <c r="A81" s="1" t="s">
        <v>89</v>
      </c>
      <c r="B81" s="3"/>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c r="AI81" s="3">
        <v>0</v>
      </c>
    </row>
    <row r="82" spans="1:35" x14ac:dyDescent="0.3">
      <c r="A82" s="1" t="s">
        <v>153</v>
      </c>
      <c r="B82" s="3"/>
      <c r="C82" s="3">
        <v>0</v>
      </c>
      <c r="D82" s="3">
        <v>0</v>
      </c>
      <c r="E82" s="3">
        <v>0</v>
      </c>
      <c r="F82" s="3">
        <f>14191</f>
        <v>14191</v>
      </c>
      <c r="G82" s="3">
        <v>3645</v>
      </c>
      <c r="H82" s="3">
        <v>7393</v>
      </c>
      <c r="I82" s="3">
        <v>10514</v>
      </c>
      <c r="J82" s="3">
        <f>15664</f>
        <v>15664</v>
      </c>
      <c r="K82" s="3">
        <v>3200</v>
      </c>
      <c r="L82" s="3">
        <v>7713</v>
      </c>
      <c r="M82" s="3">
        <v>12061</v>
      </c>
      <c r="N82" s="3">
        <v>15321</v>
      </c>
      <c r="O82" s="3">
        <v>4627</v>
      </c>
      <c r="P82" s="3">
        <v>8636</v>
      </c>
      <c r="Q82" s="3">
        <v>13228</v>
      </c>
      <c r="R82" s="3">
        <f>16783</f>
        <v>16783</v>
      </c>
      <c r="S82" s="3">
        <v>3649</v>
      </c>
      <c r="T82" s="3">
        <v>7380</v>
      </c>
      <c r="U82" s="3">
        <v>11025</v>
      </c>
      <c r="V82" s="3">
        <f>14987</f>
        <v>14987</v>
      </c>
      <c r="W82" s="3">
        <v>4012</v>
      </c>
      <c r="X82" s="3">
        <v>8372</v>
      </c>
      <c r="Y82" s="3">
        <v>12444</v>
      </c>
      <c r="Z82" s="3">
        <f>16469</f>
        <v>16469</v>
      </c>
      <c r="AA82" s="3">
        <v>4133</v>
      </c>
      <c r="AB82" s="3">
        <f>8410</f>
        <v>8410</v>
      </c>
      <c r="AC82" s="3">
        <v>12622</v>
      </c>
      <c r="AD82" s="3">
        <v>16872</v>
      </c>
      <c r="AE82" s="3">
        <v>4053</v>
      </c>
      <c r="AF82" s="3">
        <v>0</v>
      </c>
      <c r="AG82" s="3">
        <v>0</v>
      </c>
      <c r="AH82" s="3">
        <v>0</v>
      </c>
      <c r="AI82" s="3">
        <v>0</v>
      </c>
    </row>
    <row r="83" spans="1:35" x14ac:dyDescent="0.3">
      <c r="A83" s="1" t="s">
        <v>90</v>
      </c>
      <c r="B83" s="3"/>
      <c r="C83" s="3">
        <f>1909+13499-1909</f>
        <v>13499</v>
      </c>
      <c r="D83" s="3">
        <f>24331+100</f>
        <v>24431</v>
      </c>
      <c r="E83" s="3">
        <f>1860+13508</f>
        <v>15368</v>
      </c>
      <c r="F83" s="3">
        <f>10203+451--3743</f>
        <v>14397</v>
      </c>
      <c r="G83" s="3">
        <v>2706</v>
      </c>
      <c r="H83" s="3">
        <v>5836</v>
      </c>
      <c r="I83" s="3">
        <v>11551</v>
      </c>
      <c r="J83" s="3">
        <f>1544+2927+4925</f>
        <v>9396</v>
      </c>
      <c r="K83" s="3">
        <f>4862-586</f>
        <v>4276</v>
      </c>
      <c r="L83" s="3">
        <v>23604</v>
      </c>
      <c r="M83" s="3">
        <v>29579</v>
      </c>
      <c r="N83" s="3">
        <f>2559+22+16435+5909</f>
        <v>24925</v>
      </c>
      <c r="O83" s="3">
        <v>15913</v>
      </c>
      <c r="P83" s="3">
        <v>23603</v>
      </c>
      <c r="Q83" s="3">
        <v>27877</v>
      </c>
      <c r="R83" s="3">
        <f>3297+690+20266+5368</f>
        <v>29621</v>
      </c>
      <c r="S83" s="3">
        <v>1818</v>
      </c>
      <c r="T83" s="3">
        <v>-8007</v>
      </c>
      <c r="U83" s="3">
        <v>-7399</v>
      </c>
      <c r="V83" s="3">
        <f>3810-15086+5746+3539</f>
        <v>-1991</v>
      </c>
      <c r="W83" s="3">
        <f>1711-1041</f>
        <v>670</v>
      </c>
      <c r="X83" s="3">
        <v>-608</v>
      </c>
      <c r="Y83" s="3">
        <v>-6</v>
      </c>
      <c r="Z83" s="3">
        <f>4685-2039+877</f>
        <v>3523</v>
      </c>
      <c r="AA83" s="3">
        <v>191</v>
      </c>
      <c r="AB83" s="3">
        <f>45+32</f>
        <v>77</v>
      </c>
      <c r="AC83" s="3">
        <v>110</v>
      </c>
      <c r="AD83" s="3">
        <f>4437+907</f>
        <v>5344</v>
      </c>
      <c r="AE83" s="3">
        <v>33</v>
      </c>
      <c r="AF83" s="3">
        <v>0</v>
      </c>
      <c r="AG83" s="3">
        <v>0</v>
      </c>
      <c r="AH83" s="3">
        <v>0</v>
      </c>
      <c r="AI83" s="3">
        <v>0</v>
      </c>
    </row>
    <row r="84" spans="1:35" x14ac:dyDescent="0.3">
      <c r="A84" s="1" t="s">
        <v>154</v>
      </c>
      <c r="B84" s="3"/>
      <c r="C84" s="3">
        <v>0</v>
      </c>
      <c r="D84" s="3">
        <v>5458</v>
      </c>
      <c r="E84" s="3">
        <v>5560</v>
      </c>
      <c r="F84" s="3">
        <v>13832</v>
      </c>
      <c r="G84" s="3">
        <v>2643</v>
      </c>
      <c r="H84" s="3">
        <v>5431</v>
      </c>
      <c r="I84" s="3">
        <v>8236</v>
      </c>
      <c r="J84" s="3">
        <v>11042</v>
      </c>
      <c r="K84" s="3">
        <v>3006</v>
      </c>
      <c r="L84" s="3">
        <v>6235</v>
      </c>
      <c r="M84" s="3">
        <v>9405</v>
      </c>
      <c r="N84" s="3">
        <v>12595</v>
      </c>
      <c r="O84" s="3">
        <v>3117</v>
      </c>
      <c r="P84" s="3">
        <v>6418</v>
      </c>
      <c r="Q84" s="3">
        <v>9687</v>
      </c>
      <c r="R84" s="3">
        <v>12955</v>
      </c>
      <c r="S84" s="3">
        <v>3830</v>
      </c>
      <c r="T84" s="3">
        <v>7659</v>
      </c>
      <c r="U84" s="3">
        <v>11743</v>
      </c>
      <c r="V84" s="3">
        <v>15812</v>
      </c>
      <c r="W84" s="3">
        <v>4367</v>
      </c>
      <c r="X84" s="3">
        <v>8735</v>
      </c>
      <c r="Y84" s="3">
        <v>13187</v>
      </c>
      <c r="Z84" s="3">
        <v>17639</v>
      </c>
      <c r="AA84" s="3">
        <v>4452</v>
      </c>
      <c r="AB84" s="3">
        <v>9052</v>
      </c>
      <c r="AC84" s="3">
        <v>13679</v>
      </c>
      <c r="AD84" s="3">
        <v>18288</v>
      </c>
      <c r="AE84" s="3">
        <v>0</v>
      </c>
      <c r="AF84" s="3">
        <v>0</v>
      </c>
      <c r="AG84" s="3">
        <v>0</v>
      </c>
      <c r="AH84" s="3">
        <v>0</v>
      </c>
      <c r="AI84" s="3">
        <v>0</v>
      </c>
    </row>
    <row r="85" spans="1:35" x14ac:dyDescent="0.3">
      <c r="A85" s="1" t="s">
        <v>155</v>
      </c>
      <c r="B85" s="3"/>
      <c r="C85" s="3">
        <v>0</v>
      </c>
      <c r="D85" s="3">
        <v>1008</v>
      </c>
      <c r="E85" s="3">
        <v>1542</v>
      </c>
      <c r="F85" s="3">
        <v>0</v>
      </c>
      <c r="G85" s="3">
        <v>262</v>
      </c>
      <c r="H85" s="3">
        <v>532</v>
      </c>
      <c r="I85" s="3">
        <v>807</v>
      </c>
      <c r="J85" s="3">
        <v>0</v>
      </c>
      <c r="K85" s="3">
        <v>586</v>
      </c>
      <c r="L85" s="3">
        <v>1254</v>
      </c>
      <c r="M85" s="3">
        <v>1844</v>
      </c>
      <c r="N85" s="3">
        <v>0</v>
      </c>
      <c r="O85" s="3">
        <v>744</v>
      </c>
      <c r="P85" s="3">
        <v>1660</v>
      </c>
      <c r="Q85" s="3">
        <v>2476</v>
      </c>
      <c r="R85" s="3">
        <v>0</v>
      </c>
      <c r="S85" s="3">
        <v>976</v>
      </c>
      <c r="T85" s="3">
        <v>1868</v>
      </c>
      <c r="U85" s="3">
        <v>2824</v>
      </c>
      <c r="V85" s="3">
        <v>0</v>
      </c>
      <c r="W85" s="3">
        <v>1041</v>
      </c>
      <c r="X85" s="3">
        <v>2369</v>
      </c>
      <c r="Y85" s="3">
        <v>3505</v>
      </c>
      <c r="Z85" s="3">
        <v>0</v>
      </c>
      <c r="AA85" s="3">
        <v>1127</v>
      </c>
      <c r="AB85" s="3">
        <v>2282</v>
      </c>
      <c r="AC85" s="3">
        <v>3204</v>
      </c>
      <c r="AD85" s="3">
        <v>0</v>
      </c>
      <c r="AE85" s="3">
        <v>12</v>
      </c>
      <c r="AF85" s="3">
        <v>0</v>
      </c>
      <c r="AG85" s="3">
        <v>0</v>
      </c>
      <c r="AH85" s="3">
        <v>0</v>
      </c>
      <c r="AI85" s="3">
        <v>0</v>
      </c>
    </row>
    <row r="86" spans="1:35" x14ac:dyDescent="0.3">
      <c r="A86" s="1" t="s">
        <v>91</v>
      </c>
      <c r="B86" s="3"/>
      <c r="C86" s="3">
        <v>0</v>
      </c>
      <c r="D86" s="3">
        <v>0</v>
      </c>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c r="AI86" s="3">
        <v>0</v>
      </c>
    </row>
    <row r="87" spans="1:35" x14ac:dyDescent="0.3">
      <c r="A87" s="1" t="s">
        <v>156</v>
      </c>
      <c r="B87" s="3"/>
      <c r="C87" s="3">
        <v>0</v>
      </c>
      <c r="D87" s="3">
        <v>8670</v>
      </c>
      <c r="E87" s="3">
        <f>11033+243</f>
        <v>11276</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392</v>
      </c>
      <c r="AB87" s="3">
        <v>755</v>
      </c>
      <c r="AC87" s="3">
        <v>1168</v>
      </c>
      <c r="AD87" s="3">
        <v>0</v>
      </c>
      <c r="AE87" s="3">
        <v>15</v>
      </c>
      <c r="AF87" s="3">
        <v>0</v>
      </c>
      <c r="AG87" s="3">
        <v>0</v>
      </c>
      <c r="AH87" s="3">
        <v>0</v>
      </c>
      <c r="AI87" s="3">
        <v>0</v>
      </c>
    </row>
    <row r="88" spans="1:35" x14ac:dyDescent="0.3">
      <c r="A88" s="1" t="s">
        <v>157</v>
      </c>
      <c r="B88" s="3"/>
      <c r="C88" s="3">
        <v>1909</v>
      </c>
      <c r="D88" s="3">
        <v>2584</v>
      </c>
      <c r="E88" s="3">
        <v>0</v>
      </c>
      <c r="F88" s="3">
        <v>0</v>
      </c>
      <c r="G88" s="3">
        <v>0</v>
      </c>
      <c r="H88" s="3">
        <v>0</v>
      </c>
      <c r="I88" s="3">
        <v>0</v>
      </c>
      <c r="J88" s="3">
        <v>0</v>
      </c>
      <c r="K88" s="3">
        <v>0</v>
      </c>
      <c r="L88" s="3">
        <v>0</v>
      </c>
      <c r="M88" s="3">
        <v>0</v>
      </c>
      <c r="N88" s="3">
        <v>2479</v>
      </c>
      <c r="O88" s="3">
        <v>0</v>
      </c>
      <c r="P88" s="3">
        <v>0</v>
      </c>
      <c r="Q88" s="3">
        <v>0</v>
      </c>
      <c r="R88" s="3">
        <v>9164</v>
      </c>
      <c r="S88" s="3">
        <v>0</v>
      </c>
      <c r="T88" s="3">
        <v>0</v>
      </c>
      <c r="U88" s="3">
        <v>0</v>
      </c>
      <c r="V88" s="3">
        <v>0</v>
      </c>
      <c r="W88" s="3">
        <v>0</v>
      </c>
      <c r="X88" s="3">
        <v>0</v>
      </c>
      <c r="Y88" s="3">
        <v>0</v>
      </c>
      <c r="Z88" s="3">
        <v>0</v>
      </c>
      <c r="AA88" s="3">
        <v>0</v>
      </c>
      <c r="AB88" s="3">
        <v>0</v>
      </c>
      <c r="AC88" s="3">
        <v>0</v>
      </c>
      <c r="AD88" s="3">
        <v>0</v>
      </c>
      <c r="AE88" s="3">
        <v>0</v>
      </c>
      <c r="AF88" s="3">
        <v>0</v>
      </c>
      <c r="AG88" s="3">
        <v>0</v>
      </c>
      <c r="AH88" s="3">
        <v>0</v>
      </c>
      <c r="AI88" s="3">
        <v>0</v>
      </c>
    </row>
    <row r="89" spans="1:35" x14ac:dyDescent="0.3">
      <c r="A89" s="1" t="s">
        <v>158</v>
      </c>
      <c r="B89" s="3"/>
      <c r="C89" s="3">
        <v>0</v>
      </c>
      <c r="D89" s="3">
        <v>0</v>
      </c>
      <c r="E89" s="3">
        <v>0</v>
      </c>
      <c r="F89" s="3">
        <v>11780</v>
      </c>
      <c r="G89" s="3">
        <v>326</v>
      </c>
      <c r="H89" s="3">
        <v>326</v>
      </c>
      <c r="I89" s="3">
        <v>360</v>
      </c>
      <c r="J89" s="3">
        <v>7997</v>
      </c>
      <c r="K89" s="3">
        <v>0</v>
      </c>
      <c r="L89" s="3">
        <v>0</v>
      </c>
      <c r="M89" s="3">
        <v>0</v>
      </c>
      <c r="N89" s="3">
        <v>13938</v>
      </c>
      <c r="O89" s="3">
        <v>0</v>
      </c>
      <c r="P89" s="3">
        <v>0</v>
      </c>
      <c r="Q89" s="3">
        <v>0</v>
      </c>
      <c r="R89" s="3">
        <v>5570</v>
      </c>
      <c r="S89" s="3">
        <v>0</v>
      </c>
      <c r="T89" s="3">
        <v>0</v>
      </c>
      <c r="U89" s="3">
        <v>0</v>
      </c>
      <c r="V89" s="3">
        <f>2688</f>
        <v>2688</v>
      </c>
      <c r="W89" s="3">
        <v>0</v>
      </c>
      <c r="X89" s="3">
        <v>0</v>
      </c>
      <c r="Y89" s="3">
        <v>0</v>
      </c>
      <c r="Z89" s="3">
        <v>1658</v>
      </c>
      <c r="AA89" s="3">
        <v>75</v>
      </c>
      <c r="AB89" s="3">
        <v>75</v>
      </c>
      <c r="AC89" s="3">
        <v>75</v>
      </c>
      <c r="AD89" s="3">
        <v>1619</v>
      </c>
      <c r="AE89" s="3">
        <v>0</v>
      </c>
      <c r="AF89" s="3">
        <v>0</v>
      </c>
      <c r="AG89" s="3">
        <v>0</v>
      </c>
      <c r="AH89" s="3">
        <v>0</v>
      </c>
      <c r="AI89" s="3">
        <v>0</v>
      </c>
    </row>
    <row r="90" spans="1:35" x14ac:dyDescent="0.3">
      <c r="A90" s="1" t="s">
        <v>159</v>
      </c>
      <c r="B90" s="3"/>
      <c r="C90" s="3">
        <v>0</v>
      </c>
      <c r="D90" s="3">
        <v>0</v>
      </c>
      <c r="E90" s="3">
        <v>0</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318</v>
      </c>
      <c r="AC90" s="3">
        <v>477</v>
      </c>
      <c r="AD90" s="3">
        <v>0</v>
      </c>
      <c r="AE90" s="3">
        <v>159</v>
      </c>
      <c r="AF90" s="3">
        <v>0</v>
      </c>
      <c r="AG90" s="3">
        <v>0</v>
      </c>
      <c r="AH90" s="3">
        <v>0</v>
      </c>
      <c r="AI90" s="3">
        <v>0</v>
      </c>
    </row>
    <row r="91" spans="1:35" x14ac:dyDescent="0.3">
      <c r="B91" s="3"/>
      <c r="C91" s="3"/>
      <c r="D91" s="3"/>
      <c r="E91" s="3"/>
      <c r="F91" s="3"/>
      <c r="G91" s="3"/>
      <c r="H91" s="3"/>
      <c r="I91" s="3"/>
      <c r="J91" s="3"/>
      <c r="K91" s="3"/>
      <c r="L91" s="3"/>
      <c r="M91" s="3"/>
      <c r="N91" s="3"/>
      <c r="O91" s="3"/>
      <c r="P91" s="3"/>
      <c r="Q91" s="3"/>
      <c r="R91" s="3"/>
      <c r="S91" s="3"/>
      <c r="T91" s="3"/>
      <c r="U91" s="3"/>
      <c r="V91" s="3"/>
    </row>
    <row r="92" spans="1:35" x14ac:dyDescent="0.3">
      <c r="A92" s="6" t="s">
        <v>92</v>
      </c>
      <c r="B92" s="7">
        <f>SUM(B72:B91)</f>
        <v>0</v>
      </c>
      <c r="C92" s="7">
        <f t="shared" ref="C92:Z92" si="92">SUM(C72:C91)</f>
        <v>15408</v>
      </c>
      <c r="D92" s="7">
        <f t="shared" si="92"/>
        <v>58666</v>
      </c>
      <c r="E92" s="7">
        <f t="shared" si="92"/>
        <v>52129</v>
      </c>
      <c r="F92" s="7">
        <f t="shared" si="92"/>
        <v>71640</v>
      </c>
      <c r="G92" s="7">
        <f t="shared" si="92"/>
        <v>14499</v>
      </c>
      <c r="H92" s="7">
        <f t="shared" si="92"/>
        <v>29391</v>
      </c>
      <c r="I92" s="7">
        <f t="shared" si="92"/>
        <v>46337</v>
      </c>
      <c r="J92" s="7">
        <f t="shared" si="92"/>
        <v>64001</v>
      </c>
      <c r="K92" s="7">
        <f t="shared" si="92"/>
        <v>15986</v>
      </c>
      <c r="L92" s="7">
        <f t="shared" si="92"/>
        <v>48683</v>
      </c>
      <c r="M92" s="7">
        <f t="shared" si="92"/>
        <v>67723</v>
      </c>
      <c r="N92" s="7">
        <f t="shared" si="92"/>
        <v>89099</v>
      </c>
      <c r="O92" s="7">
        <f t="shared" si="92"/>
        <v>28863</v>
      </c>
      <c r="P92" s="7">
        <f t="shared" si="92"/>
        <v>49280</v>
      </c>
      <c r="Q92" s="7">
        <f t="shared" si="92"/>
        <v>66814</v>
      </c>
      <c r="R92" s="7">
        <f t="shared" si="92"/>
        <v>92354</v>
      </c>
      <c r="S92" s="7">
        <f t="shared" si="92"/>
        <v>15343</v>
      </c>
      <c r="T92" s="7">
        <f t="shared" si="92"/>
        <v>19224</v>
      </c>
      <c r="U92" s="7">
        <f t="shared" si="92"/>
        <v>33973</v>
      </c>
      <c r="V92" s="7">
        <f t="shared" si="92"/>
        <v>52886</v>
      </c>
      <c r="W92" s="7">
        <f t="shared" si="92"/>
        <v>15348</v>
      </c>
      <c r="X92" s="7">
        <f t="shared" si="92"/>
        <v>30888</v>
      </c>
      <c r="Y92" s="7">
        <f t="shared" si="92"/>
        <v>47246</v>
      </c>
      <c r="Z92" s="7">
        <f t="shared" si="92"/>
        <v>63744</v>
      </c>
      <c r="AA92" s="7">
        <f t="shared" ref="AA92:AB92" si="93">SUM(AA72:AA91)</f>
        <v>18092</v>
      </c>
      <c r="AB92" s="7">
        <f t="shared" si="93"/>
        <v>36593</v>
      </c>
      <c r="AC92" s="7">
        <f t="shared" ref="AC92:AD92" si="94">SUM(AC72:AC91)</f>
        <v>55002</v>
      </c>
      <c r="AD92" s="7">
        <f t="shared" si="94"/>
        <v>73908</v>
      </c>
      <c r="AE92" s="7">
        <f t="shared" ref="AE92:AF92" si="95">SUM(AE72:AE91)</f>
        <v>4272</v>
      </c>
      <c r="AF92" s="7">
        <f t="shared" si="95"/>
        <v>0</v>
      </c>
      <c r="AG92" s="7">
        <f t="shared" ref="AG92:AH92" si="96">SUM(AG72:AG91)</f>
        <v>0</v>
      </c>
      <c r="AH92" s="7">
        <f t="shared" si="96"/>
        <v>0</v>
      </c>
      <c r="AI92" s="7">
        <f t="shared" ref="AI92" si="97">SUM(AI72:AI91)</f>
        <v>0</v>
      </c>
    </row>
    <row r="94" spans="1:35" x14ac:dyDescent="0.3">
      <c r="A94" s="6" t="s">
        <v>93</v>
      </c>
      <c r="B94" s="3"/>
      <c r="C94" s="3"/>
      <c r="D94" s="3"/>
      <c r="E94" s="3"/>
      <c r="F94" s="3"/>
      <c r="G94" s="3"/>
      <c r="H94" s="3"/>
      <c r="I94" s="3"/>
      <c r="J94" s="3"/>
      <c r="K94" s="3"/>
      <c r="L94" s="3"/>
      <c r="M94" s="3"/>
      <c r="N94" s="3"/>
      <c r="O94" s="3"/>
      <c r="P94" s="3"/>
      <c r="Q94" s="3"/>
      <c r="R94" s="3"/>
      <c r="S94" s="3"/>
      <c r="T94" s="3"/>
      <c r="U94" s="3"/>
      <c r="V94" s="3"/>
    </row>
    <row r="95" spans="1:35" x14ac:dyDescent="0.3">
      <c r="A95" s="1" t="s">
        <v>94</v>
      </c>
      <c r="B95" s="3"/>
      <c r="C95" s="3">
        <v>15626</v>
      </c>
      <c r="D95" s="3">
        <v>94395</v>
      </c>
      <c r="E95" s="3">
        <v>93400</v>
      </c>
      <c r="F95" s="3">
        <v>110838</v>
      </c>
      <c r="G95" s="3">
        <v>25269</v>
      </c>
      <c r="H95" s="3">
        <v>51022</v>
      </c>
      <c r="I95" s="3">
        <v>77266</v>
      </c>
      <c r="J95" s="3">
        <v>103699</v>
      </c>
      <c r="K95" s="3">
        <v>17706</v>
      </c>
      <c r="L95" s="3">
        <v>35558</v>
      </c>
      <c r="M95" s="3">
        <v>53863</v>
      </c>
      <c r="N95" s="3">
        <v>72493</v>
      </c>
      <c r="O95" s="3">
        <v>15694</v>
      </c>
      <c r="P95" s="3">
        <v>31745</v>
      </c>
      <c r="Q95" s="3">
        <v>48148</v>
      </c>
      <c r="R95" s="3">
        <v>64982</v>
      </c>
      <c r="S95" s="3">
        <v>36048</v>
      </c>
      <c r="T95" s="3">
        <v>73836</v>
      </c>
      <c r="U95" s="3">
        <v>113424</v>
      </c>
      <c r="V95" s="3">
        <v>154195</v>
      </c>
      <c r="W95" s="3">
        <v>32451</v>
      </c>
      <c r="X95" s="3">
        <v>65755</v>
      </c>
      <c r="Y95" s="3">
        <v>99553</v>
      </c>
      <c r="Z95" s="3">
        <v>133777</v>
      </c>
      <c r="AA95" s="3">
        <v>41586</v>
      </c>
      <c r="AB95" s="3">
        <v>83769</v>
      </c>
      <c r="AC95" s="3">
        <v>126783</v>
      </c>
      <c r="AD95" s="3">
        <v>170327</v>
      </c>
      <c r="AE95" s="3">
        <v>1026</v>
      </c>
      <c r="AF95" s="3">
        <v>0</v>
      </c>
      <c r="AG95" s="3">
        <v>0</v>
      </c>
      <c r="AH95" s="3">
        <v>0</v>
      </c>
      <c r="AI95" s="3">
        <v>0</v>
      </c>
    </row>
    <row r="96" spans="1:35" x14ac:dyDescent="0.3">
      <c r="A96" s="1" t="s">
        <v>167</v>
      </c>
      <c r="B96" s="3"/>
      <c r="C96" s="3">
        <v>0</v>
      </c>
      <c r="D96" s="3">
        <v>0</v>
      </c>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0</v>
      </c>
      <c r="AI96" s="3">
        <v>0</v>
      </c>
    </row>
    <row r="97" spans="1:35" x14ac:dyDescent="0.3">
      <c r="A97" s="1" t="s">
        <v>96</v>
      </c>
      <c r="B97" s="3"/>
      <c r="C97" s="3">
        <v>0</v>
      </c>
      <c r="D97" s="3">
        <v>0</v>
      </c>
      <c r="E97" s="3">
        <v>0</v>
      </c>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0</v>
      </c>
      <c r="AI97" s="3">
        <v>0</v>
      </c>
    </row>
    <row r="98" spans="1:35" x14ac:dyDescent="0.3">
      <c r="A98" s="1" t="s">
        <v>97</v>
      </c>
      <c r="B98" s="3"/>
      <c r="C98" s="3">
        <v>2051</v>
      </c>
      <c r="D98" s="3">
        <v>149</v>
      </c>
      <c r="E98" s="3">
        <v>1065</v>
      </c>
      <c r="F98" s="3">
        <v>10336</v>
      </c>
      <c r="G98" s="3">
        <v>4944</v>
      </c>
      <c r="H98" s="3">
        <v>10087</v>
      </c>
      <c r="I98" s="3">
        <v>10093</v>
      </c>
      <c r="J98" s="3">
        <v>10100</v>
      </c>
      <c r="K98" s="3">
        <v>7</v>
      </c>
      <c r="L98" s="3">
        <v>11</v>
      </c>
      <c r="M98" s="3">
        <v>11</v>
      </c>
      <c r="N98" s="3">
        <v>11</v>
      </c>
      <c r="O98" s="3">
        <v>31</v>
      </c>
      <c r="P98" s="3">
        <v>32</v>
      </c>
      <c r="Q98" s="3">
        <v>32</v>
      </c>
      <c r="R98" s="3">
        <v>31</v>
      </c>
      <c r="S98" s="3">
        <v>0</v>
      </c>
      <c r="T98" s="3">
        <v>0</v>
      </c>
      <c r="U98" s="3">
        <v>0</v>
      </c>
      <c r="V98" s="3">
        <v>0</v>
      </c>
      <c r="W98" s="3">
        <v>0</v>
      </c>
      <c r="X98" s="3">
        <v>36</v>
      </c>
      <c r="Y98" s="3">
        <v>36</v>
      </c>
      <c r="Z98" s="3">
        <v>36</v>
      </c>
      <c r="AA98" s="3">
        <v>0</v>
      </c>
      <c r="AB98" s="3">
        <v>0</v>
      </c>
      <c r="AC98" s="3">
        <v>0</v>
      </c>
      <c r="AD98" s="3">
        <v>0</v>
      </c>
      <c r="AE98" s="3">
        <v>0</v>
      </c>
      <c r="AF98" s="3">
        <v>0</v>
      </c>
      <c r="AG98" s="3">
        <v>0</v>
      </c>
      <c r="AH98" s="3">
        <v>0</v>
      </c>
      <c r="AI98" s="3">
        <v>0</v>
      </c>
    </row>
    <row r="99" spans="1:35" x14ac:dyDescent="0.3">
      <c r="A99" s="6" t="s">
        <v>92</v>
      </c>
      <c r="B99" s="7">
        <f>SUM(B95:B98)</f>
        <v>0</v>
      </c>
      <c r="C99" s="7">
        <f>SUM(C95:C98)</f>
        <v>17677</v>
      </c>
      <c r="D99" s="7">
        <f t="shared" ref="D99:F99" si="98">SUM(D95:D98)</f>
        <v>94544</v>
      </c>
      <c r="E99" s="7">
        <f t="shared" si="98"/>
        <v>94465</v>
      </c>
      <c r="F99" s="7">
        <f t="shared" si="98"/>
        <v>121174</v>
      </c>
      <c r="G99" s="7">
        <f t="shared" ref="G99:Z99" si="99">SUM(G95:G98)</f>
        <v>30213</v>
      </c>
      <c r="H99" s="7">
        <f t="shared" si="99"/>
        <v>61109</v>
      </c>
      <c r="I99" s="7">
        <f t="shared" si="99"/>
        <v>87359</v>
      </c>
      <c r="J99" s="7">
        <f t="shared" si="99"/>
        <v>113799</v>
      </c>
      <c r="K99" s="7">
        <f t="shared" si="99"/>
        <v>17713</v>
      </c>
      <c r="L99" s="7">
        <f t="shared" si="99"/>
        <v>35569</v>
      </c>
      <c r="M99" s="7">
        <f t="shared" si="99"/>
        <v>53874</v>
      </c>
      <c r="N99" s="7">
        <f t="shared" si="99"/>
        <v>72504</v>
      </c>
      <c r="O99" s="7">
        <f t="shared" si="99"/>
        <v>15725</v>
      </c>
      <c r="P99" s="7">
        <f t="shared" si="99"/>
        <v>31777</v>
      </c>
      <c r="Q99" s="7">
        <f t="shared" si="99"/>
        <v>48180</v>
      </c>
      <c r="R99" s="7">
        <f t="shared" si="99"/>
        <v>65013</v>
      </c>
      <c r="S99" s="7">
        <f t="shared" si="99"/>
        <v>36048</v>
      </c>
      <c r="T99" s="7">
        <f t="shared" si="99"/>
        <v>73836</v>
      </c>
      <c r="U99" s="7">
        <f t="shared" si="99"/>
        <v>113424</v>
      </c>
      <c r="V99" s="7">
        <f t="shared" si="99"/>
        <v>154195</v>
      </c>
      <c r="W99" s="7">
        <f t="shared" si="99"/>
        <v>32451</v>
      </c>
      <c r="X99" s="7">
        <f t="shared" si="99"/>
        <v>65791</v>
      </c>
      <c r="Y99" s="7">
        <f t="shared" si="99"/>
        <v>99589</v>
      </c>
      <c r="Z99" s="7">
        <f t="shared" si="99"/>
        <v>133813</v>
      </c>
      <c r="AA99" s="7">
        <f t="shared" ref="AA99:AB99" si="100">SUM(AA95:AA98)</f>
        <v>41586</v>
      </c>
      <c r="AB99" s="7">
        <f t="shared" si="100"/>
        <v>83769</v>
      </c>
      <c r="AC99" s="7">
        <f t="shared" ref="AC99:AD99" si="101">SUM(AC95:AC98)</f>
        <v>126783</v>
      </c>
      <c r="AD99" s="7">
        <f t="shared" si="101"/>
        <v>170327</v>
      </c>
      <c r="AE99" s="7">
        <f t="shared" ref="AE99:AF99" si="102">SUM(AE95:AE98)</f>
        <v>1026</v>
      </c>
      <c r="AF99" s="7">
        <f t="shared" si="102"/>
        <v>0</v>
      </c>
      <c r="AG99" s="7">
        <f t="shared" ref="AG99:AH99" si="103">SUM(AG95:AG98)</f>
        <v>0</v>
      </c>
      <c r="AH99" s="7">
        <f t="shared" si="103"/>
        <v>0</v>
      </c>
      <c r="AI99" s="7">
        <f t="shared" ref="AI99" si="104">SUM(AI95:AI98)</f>
        <v>0</v>
      </c>
    </row>
    <row r="101" spans="1:35" x14ac:dyDescent="0.3">
      <c r="A101" s="1" t="s">
        <v>98</v>
      </c>
      <c r="B101" s="3">
        <f>+B92+B99+B59+B51+B54</f>
        <v>0</v>
      </c>
      <c r="C101" s="3">
        <f t="shared" ref="C101:F101" si="105">+C92+C99+C59+C51+C54</f>
        <v>0</v>
      </c>
      <c r="D101" s="3">
        <f t="shared" si="105"/>
        <v>0</v>
      </c>
      <c r="E101" s="3">
        <f t="shared" si="105"/>
        <v>0</v>
      </c>
      <c r="F101" s="3">
        <f t="shared" si="105"/>
        <v>0</v>
      </c>
      <c r="G101" s="3">
        <f t="shared" ref="G101:Z101" si="106">+G92+G99+G59+G51+G54</f>
        <v>0</v>
      </c>
      <c r="H101" s="3">
        <f t="shared" si="106"/>
        <v>0</v>
      </c>
      <c r="I101" s="3">
        <f t="shared" si="106"/>
        <v>0</v>
      </c>
      <c r="J101" s="3">
        <f t="shared" si="106"/>
        <v>0</v>
      </c>
      <c r="K101" s="3">
        <f t="shared" si="106"/>
        <v>0</v>
      </c>
      <c r="L101" s="3">
        <f t="shared" si="106"/>
        <v>0</v>
      </c>
      <c r="M101" s="3">
        <f t="shared" si="106"/>
        <v>0</v>
      </c>
      <c r="N101" s="3">
        <f t="shared" si="106"/>
        <v>0</v>
      </c>
      <c r="O101" s="3">
        <f t="shared" si="106"/>
        <v>0</v>
      </c>
      <c r="P101" s="3">
        <f t="shared" si="106"/>
        <v>0</v>
      </c>
      <c r="Q101" s="3">
        <f t="shared" si="106"/>
        <v>0</v>
      </c>
      <c r="R101" s="3">
        <f t="shared" si="106"/>
        <v>0</v>
      </c>
      <c r="S101" s="3">
        <f t="shared" si="106"/>
        <v>0</v>
      </c>
      <c r="T101" s="3">
        <f t="shared" si="106"/>
        <v>0</v>
      </c>
      <c r="U101" s="3">
        <f t="shared" si="106"/>
        <v>0</v>
      </c>
      <c r="V101" s="3">
        <f t="shared" si="106"/>
        <v>0</v>
      </c>
      <c r="W101" s="3">
        <f t="shared" si="106"/>
        <v>0</v>
      </c>
      <c r="X101" s="3">
        <f t="shared" si="106"/>
        <v>0</v>
      </c>
      <c r="Y101" s="3">
        <f t="shared" si="106"/>
        <v>0</v>
      </c>
      <c r="Z101" s="3">
        <f t="shared" si="106"/>
        <v>0</v>
      </c>
      <c r="AA101" s="3">
        <f t="shared" ref="AA101:AB101" si="107">+AA92+AA99+AA59+AA51+AA54</f>
        <v>0</v>
      </c>
      <c r="AB101" s="3">
        <f t="shared" si="107"/>
        <v>0</v>
      </c>
      <c r="AC101" s="3">
        <f t="shared" ref="AC101:AD101" si="108">+AC92+AC99+AC59+AC51+AC54</f>
        <v>0</v>
      </c>
      <c r="AD101" s="3">
        <f t="shared" si="108"/>
        <v>0</v>
      </c>
      <c r="AE101" s="3">
        <f t="shared" ref="AE101:AF101" si="109">+AE92+AE99+AE59+AE51+AE54</f>
        <v>0</v>
      </c>
      <c r="AF101" s="3">
        <f t="shared" si="109"/>
        <v>0</v>
      </c>
      <c r="AG101" s="3">
        <f t="shared" ref="AG101:AH101" si="110">+AG92+AG99+AG59+AG51+AG54</f>
        <v>0</v>
      </c>
      <c r="AH101" s="3">
        <f t="shared" si="110"/>
        <v>0</v>
      </c>
      <c r="AI101" s="3">
        <f t="shared" ref="AI101" si="111">+AI92+AI99+AI59+AI51+AI54</f>
        <v>0</v>
      </c>
    </row>
    <row r="102" spans="1:35" s="8" customFormat="1" x14ac:dyDescent="0.3">
      <c r="A102" s="8" t="s">
        <v>160</v>
      </c>
      <c r="B102" s="22">
        <v>1</v>
      </c>
      <c r="C102" s="22">
        <v>1</v>
      </c>
      <c r="D102" s="22">
        <v>1</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c r="AI102" s="22">
        <v>1</v>
      </c>
    </row>
    <row r="103" spans="1:35" x14ac:dyDescent="0.3">
      <c r="A103" s="1" t="s">
        <v>99</v>
      </c>
    </row>
    <row r="104" spans="1:35" x14ac:dyDescent="0.3">
      <c r="A104" s="1" t="s">
        <v>172</v>
      </c>
    </row>
    <row r="105" spans="1:35" x14ac:dyDescent="0.3">
      <c r="A105" s="1" t="s">
        <v>173</v>
      </c>
    </row>
    <row r="106" spans="1:35" x14ac:dyDescent="0.3">
      <c r="A106" s="1" t="s">
        <v>359</v>
      </c>
    </row>
  </sheetData>
  <pageMargins left="0.7" right="0.7" top="0.75" bottom="0.75" header="0.3" footer="0.3"/>
  <pageSetup scale="32"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E8BB2-493C-4BD5-84B9-B7BF31021682}">
  <sheetPr>
    <pageSetUpPr fitToPage="1"/>
  </sheetPr>
  <dimension ref="A1:AK105"/>
  <sheetViews>
    <sheetView workbookViewId="0">
      <pane xSplit="1" ySplit="1" topLeftCell="AD2" activePane="bottomRight" state="frozen"/>
      <selection pane="topRight" activeCell="E93" sqref="E93"/>
      <selection pane="bottomLeft" activeCell="E93" sqref="E93"/>
      <selection pane="bottomRight" activeCell="AI2" sqref="AI2"/>
    </sheetView>
  </sheetViews>
  <sheetFormatPr baseColWidth="10" defaultColWidth="11.44140625" defaultRowHeight="14.4" x14ac:dyDescent="0.3"/>
  <cols>
    <col min="1" max="1" width="56.88671875" style="1" customWidth="1"/>
    <col min="2" max="35" width="12.88671875" style="1" customWidth="1"/>
    <col min="36" max="16384" width="11.44140625" style="1"/>
  </cols>
  <sheetData>
    <row r="1" spans="1:35"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+RRetail!AC1</f>
        <v>45565</v>
      </c>
      <c r="AD1" s="2">
        <f>+RRetail!AD1</f>
        <v>45657</v>
      </c>
      <c r="AE1" s="2">
        <f>+RRetail!AE1</f>
        <v>45747</v>
      </c>
      <c r="AF1" s="2">
        <f>+RRetail!AF1</f>
        <v>45838</v>
      </c>
      <c r="AG1" s="2">
        <f>+RRetail!AG1</f>
        <v>45930</v>
      </c>
      <c r="AH1" s="2">
        <f>+RRetail!AH1</f>
        <v>46022</v>
      </c>
      <c r="AI1" s="2">
        <f>+RRetail!AI1</f>
        <v>46112</v>
      </c>
    </row>
    <row r="2" spans="1:35" s="6" customFormat="1" x14ac:dyDescent="0.3">
      <c r="A2" s="6" t="s">
        <v>274</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x14ac:dyDescent="0.3">
      <c r="A5" s="1" t="s">
        <v>11</v>
      </c>
      <c r="B5" s="3"/>
      <c r="C5" s="3"/>
      <c r="D5" s="3"/>
      <c r="E5" s="3">
        <v>98934</v>
      </c>
      <c r="F5" s="3">
        <v>68104</v>
      </c>
      <c r="G5" s="3">
        <v>332958</v>
      </c>
      <c r="H5" s="3">
        <v>352305</v>
      </c>
      <c r="I5" s="3">
        <v>545137</v>
      </c>
      <c r="J5" s="3">
        <v>47771</v>
      </c>
      <c r="K5" s="3">
        <v>118307</v>
      </c>
      <c r="L5" s="3">
        <v>174499</v>
      </c>
      <c r="M5" s="3">
        <v>265139</v>
      </c>
      <c r="N5" s="3">
        <v>112693</v>
      </c>
      <c r="O5" s="3">
        <v>230373</v>
      </c>
      <c r="P5" s="3">
        <v>269916</v>
      </c>
      <c r="Q5" s="3">
        <v>341479</v>
      </c>
      <c r="R5" s="3">
        <v>189967</v>
      </c>
      <c r="S5" s="3">
        <v>97404</v>
      </c>
      <c r="T5" s="3">
        <v>85078</v>
      </c>
      <c r="U5" s="3">
        <v>51621</v>
      </c>
      <c r="V5" s="3">
        <v>90532</v>
      </c>
      <c r="W5" s="3">
        <v>123762</v>
      </c>
      <c r="X5" s="3">
        <v>61838</v>
      </c>
      <c r="Y5" s="3">
        <v>65977</v>
      </c>
      <c r="Z5" s="3">
        <v>78747</v>
      </c>
      <c r="AA5" s="3">
        <v>86249</v>
      </c>
      <c r="AB5" s="3">
        <v>2476</v>
      </c>
      <c r="AC5" s="3">
        <v>15796</v>
      </c>
      <c r="AD5" s="3">
        <v>2149</v>
      </c>
      <c r="AE5" s="3">
        <v>14746</v>
      </c>
      <c r="AF5" s="3">
        <v>30649</v>
      </c>
      <c r="AG5" s="3">
        <v>43356</v>
      </c>
      <c r="AH5" s="3">
        <v>38009</v>
      </c>
      <c r="AI5" s="3">
        <v>79081</v>
      </c>
    </row>
    <row r="6" spans="1:35" x14ac:dyDescent="0.3">
      <c r="A6" s="1" t="s">
        <v>101</v>
      </c>
      <c r="B6" s="3"/>
      <c r="C6" s="3"/>
      <c r="D6" s="3"/>
      <c r="E6" s="3">
        <v>0</v>
      </c>
      <c r="F6" s="3">
        <v>0</v>
      </c>
      <c r="G6" s="3">
        <v>0</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row>
    <row r="7" spans="1:35" x14ac:dyDescent="0.3">
      <c r="A7" s="1" t="s">
        <v>102</v>
      </c>
      <c r="B7" s="3"/>
      <c r="C7" s="3"/>
      <c r="D7" s="3"/>
      <c r="E7" s="3">
        <v>0</v>
      </c>
      <c r="F7" s="3">
        <v>252</v>
      </c>
      <c r="G7" s="3">
        <v>184</v>
      </c>
      <c r="H7" s="3">
        <v>117</v>
      </c>
      <c r="I7" s="3">
        <v>47</v>
      </c>
      <c r="J7" s="3">
        <v>13128</v>
      </c>
      <c r="K7" s="3">
        <v>9689</v>
      </c>
      <c r="L7" s="3">
        <v>6096</v>
      </c>
      <c r="M7" s="3">
        <v>2432</v>
      </c>
      <c r="N7" s="3">
        <v>8042</v>
      </c>
      <c r="O7" s="3">
        <v>8599</v>
      </c>
      <c r="P7" s="3">
        <v>3792</v>
      </c>
      <c r="Q7" s="3">
        <v>24422</v>
      </c>
      <c r="R7" s="3">
        <v>27095</v>
      </c>
      <c r="S7" s="3">
        <v>21169</v>
      </c>
      <c r="T7" s="3">
        <v>15148</v>
      </c>
      <c r="U7" s="3">
        <v>8434</v>
      </c>
      <c r="V7" s="3">
        <v>1212</v>
      </c>
      <c r="W7" s="3">
        <v>38480</v>
      </c>
      <c r="X7" s="3">
        <v>31510</v>
      </c>
      <c r="Y7" s="3">
        <v>23973</v>
      </c>
      <c r="Z7" s="3">
        <v>16608</v>
      </c>
      <c r="AA7" s="3">
        <v>9009</v>
      </c>
      <c r="AB7" s="3">
        <v>1290</v>
      </c>
      <c r="AC7" s="3">
        <v>27861</v>
      </c>
      <c r="AD7" s="3">
        <v>22730</v>
      </c>
      <c r="AE7" s="3">
        <v>17563</v>
      </c>
      <c r="AF7" s="3">
        <v>12168</v>
      </c>
      <c r="AG7" s="3">
        <v>6580</v>
      </c>
      <c r="AH7" s="3">
        <v>930</v>
      </c>
      <c r="AI7" s="3">
        <v>20732</v>
      </c>
    </row>
    <row r="8" spans="1:35" x14ac:dyDescent="0.3">
      <c r="A8" s="1" t="s">
        <v>103</v>
      </c>
      <c r="B8" s="3"/>
      <c r="C8" s="3"/>
      <c r="D8" s="3"/>
      <c r="E8" s="3">
        <v>40473</v>
      </c>
      <c r="F8" s="3">
        <v>33558</v>
      </c>
      <c r="G8" s="3">
        <v>32183</v>
      </c>
      <c r="H8" s="3">
        <v>32183</v>
      </c>
      <c r="I8" s="3">
        <v>47757</v>
      </c>
      <c r="J8" s="3">
        <v>12301</v>
      </c>
      <c r="K8" s="3">
        <v>25387</v>
      </c>
      <c r="L8" s="3">
        <v>41509</v>
      </c>
      <c r="M8" s="3">
        <v>80600</v>
      </c>
      <c r="N8" s="3">
        <v>47579</v>
      </c>
      <c r="O8" s="3">
        <v>31339</v>
      </c>
      <c r="P8" s="3">
        <v>22159</v>
      </c>
      <c r="Q8" s="3">
        <v>21345</v>
      </c>
      <c r="R8" s="3">
        <v>14838</v>
      </c>
      <c r="S8" s="3">
        <v>25157</v>
      </c>
      <c r="T8" s="3">
        <v>55327</v>
      </c>
      <c r="U8" s="3">
        <v>10606</v>
      </c>
      <c r="V8" s="3">
        <v>5107</v>
      </c>
      <c r="W8" s="3">
        <v>10836</v>
      </c>
      <c r="X8" s="3">
        <v>6469</v>
      </c>
      <c r="Y8" s="3">
        <v>16546</v>
      </c>
      <c r="Z8" s="3">
        <v>20035</v>
      </c>
      <c r="AA8" s="3">
        <v>16370</v>
      </c>
      <c r="AB8" s="3">
        <v>14623</v>
      </c>
      <c r="AC8" s="3">
        <v>6979</v>
      </c>
      <c r="AD8" s="3">
        <v>4153</v>
      </c>
      <c r="AE8" s="3">
        <v>10306</v>
      </c>
      <c r="AF8" s="3">
        <v>22629</v>
      </c>
      <c r="AG8" s="3">
        <v>26238</v>
      </c>
      <c r="AH8" s="3">
        <v>11441</v>
      </c>
      <c r="AI8" s="3">
        <v>15932</v>
      </c>
    </row>
    <row r="9" spans="1:35" x14ac:dyDescent="0.3">
      <c r="A9" s="1" t="s">
        <v>104</v>
      </c>
      <c r="B9" s="3"/>
      <c r="C9" s="3"/>
      <c r="D9" s="3"/>
      <c r="E9" s="3">
        <v>0</v>
      </c>
      <c r="F9" s="3">
        <v>146000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row>
    <row r="10" spans="1:35" x14ac:dyDescent="0.3">
      <c r="A10" s="1" t="s">
        <v>105</v>
      </c>
      <c r="B10" s="3"/>
      <c r="C10" s="3"/>
      <c r="D10" s="3"/>
      <c r="E10" s="3">
        <v>1010562</v>
      </c>
      <c r="F10" s="3">
        <v>816650</v>
      </c>
      <c r="G10" s="3">
        <v>755266</v>
      </c>
      <c r="H10" s="3">
        <v>706770</v>
      </c>
      <c r="I10" s="3">
        <v>647557</v>
      </c>
      <c r="J10" s="3">
        <v>591273</v>
      </c>
      <c r="K10" s="3">
        <v>536735</v>
      </c>
      <c r="L10" s="3">
        <v>478510</v>
      </c>
      <c r="M10" s="3">
        <v>418711</v>
      </c>
      <c r="N10" s="3">
        <v>364110</v>
      </c>
      <c r="O10" s="3">
        <v>316010</v>
      </c>
      <c r="P10" s="3">
        <v>263382</v>
      </c>
      <c r="Q10" s="3">
        <v>210508</v>
      </c>
      <c r="R10" s="3">
        <v>177201</v>
      </c>
      <c r="S10" s="3">
        <v>102267</v>
      </c>
      <c r="T10" s="3">
        <v>40038</v>
      </c>
      <c r="U10" s="3">
        <v>0</v>
      </c>
      <c r="V10" s="3">
        <v>0</v>
      </c>
      <c r="W10" s="3">
        <v>0</v>
      </c>
      <c r="X10" s="3">
        <v>0</v>
      </c>
      <c r="Y10" s="3">
        <v>0</v>
      </c>
      <c r="Z10" s="3">
        <v>0</v>
      </c>
      <c r="AA10" s="3">
        <v>0</v>
      </c>
      <c r="AB10" s="3">
        <v>0</v>
      </c>
      <c r="AC10" s="3">
        <v>0</v>
      </c>
      <c r="AD10" s="3">
        <v>0</v>
      </c>
      <c r="AE10" s="3">
        <v>0</v>
      </c>
      <c r="AF10" s="3">
        <v>0</v>
      </c>
      <c r="AG10" s="3">
        <v>0</v>
      </c>
      <c r="AH10" s="3">
        <v>0</v>
      </c>
      <c r="AI10" s="3">
        <v>0</v>
      </c>
    </row>
    <row r="11" spans="1:35" x14ac:dyDescent="0.3">
      <c r="A11" s="1" t="s">
        <v>106</v>
      </c>
      <c r="B11" s="3"/>
      <c r="C11" s="3"/>
      <c r="D11" s="3"/>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row>
    <row r="12" spans="1:35" s="6" customFormat="1" x14ac:dyDescent="0.3">
      <c r="A12" s="6" t="s">
        <v>15</v>
      </c>
      <c r="B12" s="7">
        <f>+SUM(B2:B11)</f>
        <v>0</v>
      </c>
      <c r="C12" s="7">
        <f t="shared" ref="C12:D12" si="0">+SUM(C2:C11)</f>
        <v>0</v>
      </c>
      <c r="D12" s="7">
        <f t="shared" si="0"/>
        <v>0</v>
      </c>
      <c r="E12" s="7">
        <f>+SUM(E5:E11)</f>
        <v>1149969</v>
      </c>
      <c r="F12" s="7">
        <f t="shared" ref="F12:Y12" si="1">+SUM(F5:F11)</f>
        <v>1064564</v>
      </c>
      <c r="G12" s="7">
        <f t="shared" si="1"/>
        <v>1120591</v>
      </c>
      <c r="H12" s="7">
        <f t="shared" si="1"/>
        <v>1091375</v>
      </c>
      <c r="I12" s="7">
        <f t="shared" si="1"/>
        <v>1240498</v>
      </c>
      <c r="J12" s="7">
        <f t="shared" si="1"/>
        <v>664473</v>
      </c>
      <c r="K12" s="7">
        <f t="shared" si="1"/>
        <v>690118</v>
      </c>
      <c r="L12" s="7">
        <f t="shared" si="1"/>
        <v>700614</v>
      </c>
      <c r="M12" s="7">
        <f t="shared" si="1"/>
        <v>766882</v>
      </c>
      <c r="N12" s="7">
        <f t="shared" si="1"/>
        <v>532424</v>
      </c>
      <c r="O12" s="7">
        <f t="shared" si="1"/>
        <v>586321</v>
      </c>
      <c r="P12" s="7">
        <f t="shared" si="1"/>
        <v>559249</v>
      </c>
      <c r="Q12" s="7">
        <f t="shared" si="1"/>
        <v>597754</v>
      </c>
      <c r="R12" s="7">
        <f t="shared" si="1"/>
        <v>409101</v>
      </c>
      <c r="S12" s="7">
        <f t="shared" si="1"/>
        <v>245997</v>
      </c>
      <c r="T12" s="7">
        <f t="shared" si="1"/>
        <v>195591</v>
      </c>
      <c r="U12" s="7">
        <f t="shared" si="1"/>
        <v>70661</v>
      </c>
      <c r="V12" s="7">
        <f t="shared" si="1"/>
        <v>96851</v>
      </c>
      <c r="W12" s="7">
        <f t="shared" si="1"/>
        <v>173078</v>
      </c>
      <c r="X12" s="7">
        <f t="shared" si="1"/>
        <v>99817</v>
      </c>
      <c r="Y12" s="7">
        <f t="shared" si="1"/>
        <v>106496</v>
      </c>
      <c r="Z12" s="7">
        <f t="shared" ref="Z12:AA12" si="2">+SUM(Z5:Z11)</f>
        <v>115390</v>
      </c>
      <c r="AA12" s="7">
        <f t="shared" si="2"/>
        <v>111628</v>
      </c>
      <c r="AB12" s="7">
        <f t="shared" ref="AB12:AC12" si="3">+SUM(AB5:AB11)</f>
        <v>18389</v>
      </c>
      <c r="AC12" s="7">
        <f t="shared" si="3"/>
        <v>50636</v>
      </c>
      <c r="AD12" s="7">
        <f t="shared" ref="AD12:AE12" si="4">+SUM(AD5:AD11)</f>
        <v>29032</v>
      </c>
      <c r="AE12" s="7">
        <f t="shared" si="4"/>
        <v>42615</v>
      </c>
      <c r="AF12" s="7">
        <f t="shared" ref="AF12:AG12" si="5">+SUM(AF5:AF11)</f>
        <v>65446</v>
      </c>
      <c r="AG12" s="7">
        <f t="shared" si="5"/>
        <v>76174</v>
      </c>
      <c r="AH12" s="7">
        <f t="shared" ref="AH12:AI12" si="6">+SUM(AH5:AH11)</f>
        <v>50380</v>
      </c>
      <c r="AI12" s="7">
        <f t="shared" si="6"/>
        <v>115745</v>
      </c>
    </row>
    <row r="13" spans="1:35" x14ac:dyDescent="0.3">
      <c r="A13" s="1" t="s">
        <v>16</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x14ac:dyDescent="0.3">
      <c r="A14" s="1" t="s">
        <v>107</v>
      </c>
      <c r="B14" s="3"/>
      <c r="C14" s="3"/>
      <c r="D14" s="3"/>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row>
    <row r="15" spans="1:35" x14ac:dyDescent="0.3">
      <c r="A15" s="1" t="s">
        <v>108</v>
      </c>
      <c r="B15" s="3"/>
      <c r="C15" s="3"/>
      <c r="D15" s="3"/>
      <c r="E15" s="3">
        <v>0</v>
      </c>
      <c r="F15" s="3">
        <v>0</v>
      </c>
      <c r="G15" s="3">
        <v>0</v>
      </c>
      <c r="H15" s="3">
        <v>0</v>
      </c>
      <c r="I15" s="3">
        <v>0</v>
      </c>
      <c r="J15" s="3">
        <v>31977</v>
      </c>
      <c r="K15" s="3">
        <v>31978</v>
      </c>
      <c r="L15" s="3">
        <v>31978</v>
      </c>
      <c r="M15" s="3">
        <v>31978</v>
      </c>
      <c r="N15" s="3">
        <v>31978</v>
      </c>
      <c r="O15" s="3">
        <v>31978</v>
      </c>
      <c r="P15" s="3">
        <v>31978</v>
      </c>
      <c r="Q15" s="3">
        <v>31978</v>
      </c>
      <c r="R15" s="3">
        <v>31978</v>
      </c>
      <c r="S15" s="3">
        <v>31978</v>
      </c>
      <c r="T15" s="3">
        <v>31978</v>
      </c>
      <c r="U15" s="3">
        <v>31977</v>
      </c>
      <c r="V15" s="3">
        <v>31978</v>
      </c>
      <c r="W15" s="3">
        <v>31978</v>
      </c>
      <c r="X15" s="3">
        <v>31978</v>
      </c>
      <c r="Y15" s="3">
        <v>31978</v>
      </c>
      <c r="Z15" s="3">
        <v>31978</v>
      </c>
      <c r="AA15" s="3">
        <v>31978</v>
      </c>
      <c r="AB15" s="3">
        <v>31977</v>
      </c>
      <c r="AC15" s="3">
        <v>31978</v>
      </c>
      <c r="AD15" s="3">
        <v>31978</v>
      </c>
      <c r="AE15" s="3">
        <v>31978</v>
      </c>
      <c r="AF15" s="3">
        <v>31978</v>
      </c>
      <c r="AG15" s="3">
        <v>31978</v>
      </c>
      <c r="AH15" s="3">
        <v>31978</v>
      </c>
      <c r="AI15" s="3">
        <v>31978</v>
      </c>
    </row>
    <row r="16" spans="1:35" x14ac:dyDescent="0.3">
      <c r="A16" s="1" t="s">
        <v>109</v>
      </c>
      <c r="B16" s="3"/>
      <c r="C16" s="3"/>
      <c r="D16" s="3"/>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row>
    <row r="17" spans="1:37" ht="28.8" x14ac:dyDescent="0.3">
      <c r="A17" s="13" t="s">
        <v>110</v>
      </c>
      <c r="B17" s="3"/>
      <c r="C17" s="3"/>
      <c r="D17" s="3"/>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row>
    <row r="18" spans="1:37" x14ac:dyDescent="0.3">
      <c r="A18" s="13" t="s">
        <v>111</v>
      </c>
      <c r="B18" s="3"/>
      <c r="C18" s="3"/>
      <c r="D18" s="3"/>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row>
    <row r="19" spans="1:37" x14ac:dyDescent="0.3">
      <c r="A19" s="1" t="s">
        <v>112</v>
      </c>
      <c r="B19" s="3"/>
      <c r="C19" s="3"/>
      <c r="D19" s="3"/>
      <c r="E19" s="3">
        <f>41273+19352545</f>
        <v>19393818</v>
      </c>
      <c r="F19" s="3">
        <v>20001408</v>
      </c>
      <c r="G19" s="3">
        <v>19997361</v>
      </c>
      <c r="H19" s="3">
        <v>20237540</v>
      </c>
      <c r="I19" s="3">
        <v>20338586</v>
      </c>
      <c r="J19" s="3">
        <f>22051056</f>
        <v>22051056</v>
      </c>
      <c r="K19" s="3">
        <v>22270559</v>
      </c>
      <c r="L19" s="3">
        <v>22343468</v>
      </c>
      <c r="M19" s="3">
        <v>22348328</v>
      </c>
      <c r="N19" s="3">
        <v>22410581</v>
      </c>
      <c r="O19" s="3">
        <v>22656543</v>
      </c>
      <c r="P19" s="3">
        <v>22895606</v>
      </c>
      <c r="Q19" s="3">
        <v>23183550</v>
      </c>
      <c r="R19" s="3">
        <v>23134191</v>
      </c>
      <c r="S19" s="3">
        <v>23680028</v>
      </c>
      <c r="T19" s="3">
        <v>24690750</v>
      </c>
      <c r="U19" s="3">
        <v>25562566</v>
      </c>
      <c r="V19" s="3">
        <v>25955462</v>
      </c>
      <c r="W19" s="3">
        <v>26298050</v>
      </c>
      <c r="X19" s="3">
        <v>26677462</v>
      </c>
      <c r="Y19" s="3">
        <v>26757037</v>
      </c>
      <c r="Z19" s="3">
        <v>26934044</v>
      </c>
      <c r="AA19" s="3">
        <v>27165826</v>
      </c>
      <c r="AB19" s="3">
        <v>27522945</v>
      </c>
      <c r="AC19" s="3">
        <v>27770407</v>
      </c>
      <c r="AD19" s="3">
        <v>28725542</v>
      </c>
      <c r="AE19" s="3">
        <v>29082526</v>
      </c>
      <c r="AF19" s="3">
        <v>29361401</v>
      </c>
      <c r="AG19" s="3">
        <v>29524841</v>
      </c>
      <c r="AH19" s="3">
        <v>29253326</v>
      </c>
      <c r="AI19" s="3">
        <v>29338808</v>
      </c>
    </row>
    <row r="20" spans="1:37" x14ac:dyDescent="0.3">
      <c r="A20" s="1" t="s">
        <v>113</v>
      </c>
      <c r="B20" s="3"/>
      <c r="C20" s="3"/>
      <c r="D20" s="3"/>
      <c r="E20" s="3">
        <v>0</v>
      </c>
      <c r="F20" s="3">
        <v>0</v>
      </c>
      <c r="G20" s="3"/>
      <c r="H20" s="3"/>
      <c r="I20" s="3"/>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row>
    <row r="21" spans="1:37" s="6" customFormat="1" x14ac:dyDescent="0.3">
      <c r="A21" s="6" t="s">
        <v>18</v>
      </c>
      <c r="B21" s="7">
        <f>+SUM(B13:B20)</f>
        <v>0</v>
      </c>
      <c r="C21" s="7">
        <f>+SUM(C13:C20)</f>
        <v>0</v>
      </c>
      <c r="D21" s="7">
        <f t="shared" ref="D21:F21" si="7">+SUM(D13:D20)</f>
        <v>0</v>
      </c>
      <c r="E21" s="7">
        <f t="shared" si="7"/>
        <v>19393818</v>
      </c>
      <c r="F21" s="7">
        <f t="shared" si="7"/>
        <v>20001408</v>
      </c>
      <c r="G21" s="7">
        <f t="shared" ref="G21:Y21" si="8">+SUM(G13:G20)</f>
        <v>19997361</v>
      </c>
      <c r="H21" s="7">
        <f t="shared" si="8"/>
        <v>20237540</v>
      </c>
      <c r="I21" s="7">
        <f t="shared" si="8"/>
        <v>20338586</v>
      </c>
      <c r="J21" s="7">
        <f t="shared" si="8"/>
        <v>22083033</v>
      </c>
      <c r="K21" s="7">
        <f t="shared" si="8"/>
        <v>22302537</v>
      </c>
      <c r="L21" s="7">
        <f t="shared" si="8"/>
        <v>22375446</v>
      </c>
      <c r="M21" s="7">
        <f t="shared" si="8"/>
        <v>22380306</v>
      </c>
      <c r="N21" s="7">
        <f t="shared" si="8"/>
        <v>22442559</v>
      </c>
      <c r="O21" s="7">
        <f t="shared" si="8"/>
        <v>22688521</v>
      </c>
      <c r="P21" s="7">
        <f t="shared" si="8"/>
        <v>22927584</v>
      </c>
      <c r="Q21" s="7">
        <f t="shared" si="8"/>
        <v>23215528</v>
      </c>
      <c r="R21" s="7">
        <f t="shared" si="8"/>
        <v>23166169</v>
      </c>
      <c r="S21" s="7">
        <f t="shared" si="8"/>
        <v>23712006</v>
      </c>
      <c r="T21" s="7">
        <f t="shared" si="8"/>
        <v>24722728</v>
      </c>
      <c r="U21" s="7">
        <f t="shared" si="8"/>
        <v>25594543</v>
      </c>
      <c r="V21" s="7">
        <f t="shared" si="8"/>
        <v>25987440</v>
      </c>
      <c r="W21" s="7">
        <f t="shared" si="8"/>
        <v>26330028</v>
      </c>
      <c r="X21" s="7">
        <f t="shared" si="8"/>
        <v>26709440</v>
      </c>
      <c r="Y21" s="7">
        <f t="shared" si="8"/>
        <v>26789015</v>
      </c>
      <c r="Z21" s="7">
        <f t="shared" ref="Z21:AA21" si="9">+SUM(Z13:Z20)</f>
        <v>26966022</v>
      </c>
      <c r="AA21" s="7">
        <f t="shared" si="9"/>
        <v>27197804</v>
      </c>
      <c r="AB21" s="7">
        <f t="shared" ref="AB21:AC21" si="10">+SUM(AB13:AB20)</f>
        <v>27554922</v>
      </c>
      <c r="AC21" s="7">
        <f t="shared" si="10"/>
        <v>27802385</v>
      </c>
      <c r="AD21" s="7">
        <f t="shared" ref="AD21:AE21" si="11">+SUM(AD13:AD20)</f>
        <v>28757520</v>
      </c>
      <c r="AE21" s="7">
        <f t="shared" si="11"/>
        <v>29114504</v>
      </c>
      <c r="AF21" s="7">
        <f t="shared" ref="AF21:AG21" si="12">+SUM(AF13:AF20)</f>
        <v>29393379</v>
      </c>
      <c r="AG21" s="7">
        <f t="shared" si="12"/>
        <v>29556819</v>
      </c>
      <c r="AH21" s="7">
        <f t="shared" ref="AH21:AI21" si="13">+SUM(AH13:AH20)</f>
        <v>29285304</v>
      </c>
      <c r="AI21" s="7">
        <f t="shared" si="13"/>
        <v>29370786</v>
      </c>
    </row>
    <row r="22" spans="1:37" s="6" customFormat="1" x14ac:dyDescent="0.3">
      <c r="A22" s="6" t="s">
        <v>19</v>
      </c>
      <c r="B22" s="7">
        <f t="shared" ref="B22:F22" si="14">+B21+B12</f>
        <v>0</v>
      </c>
      <c r="C22" s="7">
        <f t="shared" si="14"/>
        <v>0</v>
      </c>
      <c r="D22" s="7">
        <f t="shared" si="14"/>
        <v>0</v>
      </c>
      <c r="E22" s="7">
        <f t="shared" si="14"/>
        <v>20543787</v>
      </c>
      <c r="F22" s="7">
        <f t="shared" si="14"/>
        <v>21065972</v>
      </c>
      <c r="G22" s="7">
        <f t="shared" ref="G22:Y22" si="15">+G21+G12</f>
        <v>21117952</v>
      </c>
      <c r="H22" s="7">
        <f t="shared" si="15"/>
        <v>21328915</v>
      </c>
      <c r="I22" s="7">
        <f t="shared" si="15"/>
        <v>21579084</v>
      </c>
      <c r="J22" s="7">
        <f t="shared" si="15"/>
        <v>22747506</v>
      </c>
      <c r="K22" s="7">
        <f t="shared" si="15"/>
        <v>22992655</v>
      </c>
      <c r="L22" s="7">
        <f t="shared" si="15"/>
        <v>23076060</v>
      </c>
      <c r="M22" s="7">
        <f t="shared" si="15"/>
        <v>23147188</v>
      </c>
      <c r="N22" s="7">
        <f t="shared" si="15"/>
        <v>22974983</v>
      </c>
      <c r="O22" s="7">
        <f t="shared" si="15"/>
        <v>23274842</v>
      </c>
      <c r="P22" s="7">
        <f t="shared" si="15"/>
        <v>23486833</v>
      </c>
      <c r="Q22" s="7">
        <f t="shared" si="15"/>
        <v>23813282</v>
      </c>
      <c r="R22" s="7">
        <f t="shared" si="15"/>
        <v>23575270</v>
      </c>
      <c r="S22" s="7">
        <f t="shared" si="15"/>
        <v>23958003</v>
      </c>
      <c r="T22" s="7">
        <f t="shared" si="15"/>
        <v>24918319</v>
      </c>
      <c r="U22" s="7">
        <f t="shared" si="15"/>
        <v>25665204</v>
      </c>
      <c r="V22" s="7">
        <f t="shared" si="15"/>
        <v>26084291</v>
      </c>
      <c r="W22" s="7">
        <f t="shared" si="15"/>
        <v>26503106</v>
      </c>
      <c r="X22" s="7">
        <f t="shared" si="15"/>
        <v>26809257</v>
      </c>
      <c r="Y22" s="7">
        <f t="shared" si="15"/>
        <v>26895511</v>
      </c>
      <c r="Z22" s="7">
        <f t="shared" ref="Z22:AA22" si="16">+Z21+Z12</f>
        <v>27081412</v>
      </c>
      <c r="AA22" s="7">
        <f t="shared" si="16"/>
        <v>27309432</v>
      </c>
      <c r="AB22" s="7">
        <f t="shared" ref="AB22:AC22" si="17">+AB21+AB12</f>
        <v>27573311</v>
      </c>
      <c r="AC22" s="7">
        <f t="shared" si="17"/>
        <v>27853021</v>
      </c>
      <c r="AD22" s="7">
        <f t="shared" ref="AD22:AE22" si="18">+AD21+AD12</f>
        <v>28786552</v>
      </c>
      <c r="AE22" s="7">
        <f t="shared" si="18"/>
        <v>29157119</v>
      </c>
      <c r="AF22" s="7">
        <f t="shared" ref="AF22:AG22" si="19">+AF21+AF12</f>
        <v>29458825</v>
      </c>
      <c r="AG22" s="7">
        <f t="shared" si="19"/>
        <v>29632993</v>
      </c>
      <c r="AH22" s="7">
        <f t="shared" ref="AH22:AI22" si="20">+AH21+AH12</f>
        <v>29335684</v>
      </c>
      <c r="AI22" s="7">
        <f t="shared" si="20"/>
        <v>29486531</v>
      </c>
    </row>
    <row r="23" spans="1:37"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7"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7" x14ac:dyDescent="0.3">
      <c r="A25" s="1" t="s">
        <v>115</v>
      </c>
      <c r="B25" s="3"/>
      <c r="C25" s="3"/>
      <c r="D25" s="3"/>
      <c r="E25" s="3">
        <v>0</v>
      </c>
      <c r="F25" s="3">
        <v>0</v>
      </c>
      <c r="G25" s="3">
        <v>0</v>
      </c>
      <c r="H25" s="3">
        <v>0</v>
      </c>
      <c r="I25" s="3">
        <v>0</v>
      </c>
      <c r="J25" s="3">
        <v>0</v>
      </c>
      <c r="K25" s="3">
        <v>0</v>
      </c>
      <c r="L25" s="3">
        <v>22224</v>
      </c>
      <c r="M25" s="3">
        <v>13552</v>
      </c>
      <c r="N25" s="3">
        <v>0</v>
      </c>
      <c r="O25" s="3">
        <v>13552</v>
      </c>
      <c r="P25" s="3">
        <v>13552</v>
      </c>
      <c r="Q25" s="3">
        <v>13552</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row>
    <row r="26" spans="1:37" x14ac:dyDescent="0.3">
      <c r="A26" s="1" t="s">
        <v>116</v>
      </c>
      <c r="B26" s="3"/>
      <c r="C26" s="3"/>
      <c r="D26" s="3"/>
      <c r="E26" s="3">
        <v>8292</v>
      </c>
      <c r="F26" s="3">
        <v>18609</v>
      </c>
      <c r="G26" s="3">
        <v>20384</v>
      </c>
      <c r="H26" s="3">
        <v>17227</v>
      </c>
      <c r="I26" s="3">
        <v>152006</v>
      </c>
      <c r="J26" s="3">
        <v>28036</v>
      </c>
      <c r="K26" s="3">
        <v>18238</v>
      </c>
      <c r="L26" s="3">
        <v>36881</v>
      </c>
      <c r="M26" s="3">
        <v>61625</v>
      </c>
      <c r="N26" s="3">
        <v>14711</v>
      </c>
      <c r="O26" s="3">
        <v>13091</v>
      </c>
      <c r="P26" s="3">
        <v>14592</v>
      </c>
      <c r="Q26" s="3">
        <v>42639</v>
      </c>
      <c r="R26" s="3">
        <v>51811</v>
      </c>
      <c r="S26" s="3">
        <v>35169</v>
      </c>
      <c r="T26" s="3">
        <v>16125</v>
      </c>
      <c r="U26" s="3">
        <v>17051</v>
      </c>
      <c r="V26" s="3">
        <v>34521</v>
      </c>
      <c r="W26" s="3">
        <v>63205</v>
      </c>
      <c r="X26" s="3">
        <v>28020</v>
      </c>
      <c r="Y26" s="3">
        <v>18955</v>
      </c>
      <c r="Z26" s="3">
        <v>20561</v>
      </c>
      <c r="AA26" s="3">
        <v>40368</v>
      </c>
      <c r="AB26" s="3">
        <v>4262</v>
      </c>
      <c r="AC26" s="3">
        <v>55290</v>
      </c>
      <c r="AD26" s="3">
        <v>33183</v>
      </c>
      <c r="AE26" s="3">
        <v>31659</v>
      </c>
      <c r="AF26" s="3">
        <v>33044</v>
      </c>
      <c r="AG26" s="3">
        <v>24261</v>
      </c>
      <c r="AH26" s="3">
        <v>30935</v>
      </c>
      <c r="AI26" s="3">
        <v>57366</v>
      </c>
    </row>
    <row r="27" spans="1:37" x14ac:dyDescent="0.3">
      <c r="A27" s="1" t="s">
        <v>117</v>
      </c>
      <c r="B27" s="3"/>
      <c r="C27" s="3"/>
      <c r="D27" s="3"/>
      <c r="E27" s="3">
        <v>150011</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20000</v>
      </c>
      <c r="AC27" s="3">
        <v>30000</v>
      </c>
      <c r="AD27" s="3">
        <v>0</v>
      </c>
      <c r="AE27" s="3">
        <v>0</v>
      </c>
      <c r="AF27" s="3">
        <v>35000</v>
      </c>
      <c r="AG27" s="3">
        <v>35000</v>
      </c>
      <c r="AH27" s="3">
        <v>0</v>
      </c>
      <c r="AI27" s="3">
        <v>0</v>
      </c>
    </row>
    <row r="28" spans="1:37" x14ac:dyDescent="0.3">
      <c r="A28" s="1" t="s">
        <v>118</v>
      </c>
      <c r="B28" s="3"/>
      <c r="C28" s="3"/>
      <c r="D28" s="3"/>
      <c r="E28" s="3">
        <v>0</v>
      </c>
      <c r="F28" s="3">
        <v>0</v>
      </c>
      <c r="G28" s="3">
        <v>0</v>
      </c>
      <c r="H28" s="3">
        <v>0</v>
      </c>
      <c r="I28" s="3">
        <v>0</v>
      </c>
      <c r="J28" s="3">
        <v>0</v>
      </c>
      <c r="K28" s="3">
        <v>0</v>
      </c>
      <c r="L28" s="3">
        <v>0</v>
      </c>
      <c r="M28" s="3">
        <v>0</v>
      </c>
      <c r="N28" s="3">
        <v>0</v>
      </c>
      <c r="O28" s="3">
        <v>0</v>
      </c>
      <c r="P28" s="3">
        <v>0</v>
      </c>
      <c r="Q28" s="3">
        <v>0</v>
      </c>
      <c r="R28" s="3">
        <v>0</v>
      </c>
      <c r="S28" s="3">
        <v>0</v>
      </c>
      <c r="T28" s="3">
        <v>0</v>
      </c>
      <c r="U28" s="3">
        <v>22765</v>
      </c>
      <c r="V28" s="3">
        <v>0</v>
      </c>
      <c r="W28" s="3">
        <v>10319</v>
      </c>
      <c r="X28" s="3">
        <v>4826</v>
      </c>
      <c r="Y28" s="3">
        <v>5146</v>
      </c>
      <c r="Z28" s="3">
        <v>2965</v>
      </c>
      <c r="AA28" s="3">
        <v>1640</v>
      </c>
      <c r="AB28" s="3">
        <v>2620</v>
      </c>
      <c r="AC28" s="3">
        <v>1907</v>
      </c>
      <c r="AD28" s="3">
        <v>11861</v>
      </c>
      <c r="AE28" s="3">
        <v>63598</v>
      </c>
      <c r="AF28" s="3">
        <v>2889</v>
      </c>
      <c r="AG28" s="3">
        <v>1307</v>
      </c>
      <c r="AH28" s="3">
        <v>1812</v>
      </c>
      <c r="AI28" s="3">
        <v>1134</v>
      </c>
      <c r="AK28" s="3"/>
    </row>
    <row r="29" spans="1:37" x14ac:dyDescent="0.3">
      <c r="A29" s="1" t="s">
        <v>119</v>
      </c>
      <c r="B29" s="3"/>
      <c r="C29" s="3"/>
      <c r="D29" s="3"/>
      <c r="E29" s="3">
        <v>0</v>
      </c>
      <c r="F29" s="3">
        <v>3289</v>
      </c>
      <c r="G29" s="3">
        <v>29615</v>
      </c>
      <c r="H29" s="3">
        <v>1659</v>
      </c>
      <c r="I29" s="3">
        <v>2312</v>
      </c>
      <c r="J29" s="3">
        <v>4263</v>
      </c>
      <c r="K29" s="3">
        <v>36200</v>
      </c>
      <c r="L29" s="3">
        <v>1929</v>
      </c>
      <c r="M29" s="3">
        <v>2773</v>
      </c>
      <c r="N29" s="3">
        <v>3989</v>
      </c>
      <c r="O29" s="3">
        <v>41021</v>
      </c>
      <c r="P29" s="3">
        <v>7051</v>
      </c>
      <c r="Q29" s="3">
        <v>7962</v>
      </c>
      <c r="R29" s="3">
        <v>5442</v>
      </c>
      <c r="S29" s="3">
        <v>42502</v>
      </c>
      <c r="T29" s="3">
        <v>4218</v>
      </c>
      <c r="U29" s="3">
        <v>7437</v>
      </c>
      <c r="V29" s="3">
        <v>1249</v>
      </c>
      <c r="W29" s="3">
        <v>49495</v>
      </c>
      <c r="X29" s="3">
        <v>25703</v>
      </c>
      <c r="Y29" s="3">
        <v>2131</v>
      </c>
      <c r="Z29" s="3">
        <v>9641</v>
      </c>
      <c r="AA29" s="3">
        <v>52731</v>
      </c>
      <c r="AB29" s="3">
        <v>32488</v>
      </c>
      <c r="AC29" s="3">
        <v>14396</v>
      </c>
      <c r="AD29" s="3">
        <v>2237</v>
      </c>
      <c r="AE29" s="3">
        <v>2538</v>
      </c>
      <c r="AF29" s="3">
        <v>13034</v>
      </c>
      <c r="AG29" s="3">
        <v>9516</v>
      </c>
      <c r="AH29" s="3">
        <v>14481</v>
      </c>
      <c r="AI29" s="3">
        <v>61255</v>
      </c>
      <c r="AK29" s="3"/>
    </row>
    <row r="30" spans="1:37" x14ac:dyDescent="0.3">
      <c r="A30" s="1" t="s">
        <v>120</v>
      </c>
      <c r="B30" s="3"/>
      <c r="C30" s="3"/>
      <c r="D30" s="3"/>
      <c r="E30" s="3">
        <v>142</v>
      </c>
      <c r="F30" s="3">
        <v>21066</v>
      </c>
      <c r="G30" s="3">
        <v>16689</v>
      </c>
      <c r="H30" s="3">
        <v>12629</v>
      </c>
      <c r="I30" s="3">
        <v>12695</v>
      </c>
      <c r="J30" s="3">
        <v>40778</v>
      </c>
      <c r="K30" s="3">
        <v>41195</v>
      </c>
      <c r="L30" s="3">
        <v>41337</v>
      </c>
      <c r="M30" s="3">
        <v>41354</v>
      </c>
      <c r="N30" s="3">
        <v>41876</v>
      </c>
      <c r="O30" s="3">
        <v>42341</v>
      </c>
      <c r="P30" s="3">
        <v>42795</v>
      </c>
      <c r="Q30" s="3">
        <v>43340</v>
      </c>
      <c r="R30" s="3">
        <v>44641</v>
      </c>
      <c r="S30" s="3">
        <v>45701</v>
      </c>
      <c r="T30" s="3">
        <v>48646</v>
      </c>
      <c r="U30" s="3">
        <v>49346</v>
      </c>
      <c r="V30" s="3">
        <v>15710</v>
      </c>
      <c r="W30" s="3">
        <v>15918</v>
      </c>
      <c r="X30" s="3">
        <v>16148</v>
      </c>
      <c r="Y30" s="3">
        <v>14999</v>
      </c>
      <c r="Z30" s="3">
        <v>122019</v>
      </c>
      <c r="AA30" s="3">
        <v>15342</v>
      </c>
      <c r="AB30" s="3">
        <v>119044</v>
      </c>
      <c r="AC30" s="3">
        <v>109488</v>
      </c>
      <c r="AD30" s="3">
        <v>67107</v>
      </c>
      <c r="AE30" s="3">
        <v>68069</v>
      </c>
      <c r="AF30" s="3">
        <v>69270</v>
      </c>
      <c r="AG30" s="3">
        <v>70179</v>
      </c>
      <c r="AH30" s="3">
        <v>102186</v>
      </c>
      <c r="AI30" s="3">
        <v>97362</v>
      </c>
    </row>
    <row r="31" spans="1:37" x14ac:dyDescent="0.3">
      <c r="A31" s="1" t="s">
        <v>121</v>
      </c>
      <c r="B31" s="3"/>
      <c r="C31" s="3"/>
      <c r="D31" s="3"/>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row>
    <row r="32" spans="1:37" s="6" customFormat="1" x14ac:dyDescent="0.3">
      <c r="A32" s="6" t="s">
        <v>122</v>
      </c>
      <c r="B32" s="7">
        <f t="shared" ref="B32:C32" si="21">+SUM(B23:B31)</f>
        <v>0</v>
      </c>
      <c r="C32" s="7">
        <f t="shared" si="21"/>
        <v>0</v>
      </c>
      <c r="D32" s="7">
        <f>+SUM(D23:D31)</f>
        <v>0</v>
      </c>
      <c r="E32" s="7">
        <f t="shared" ref="E32:Y32" si="22">+SUM(E23:E31)</f>
        <v>158445</v>
      </c>
      <c r="F32" s="7">
        <f t="shared" si="22"/>
        <v>42964</v>
      </c>
      <c r="G32" s="7">
        <f t="shared" si="22"/>
        <v>66688</v>
      </c>
      <c r="H32" s="7">
        <f t="shared" si="22"/>
        <v>31515</v>
      </c>
      <c r="I32" s="7">
        <f t="shared" si="22"/>
        <v>167013</v>
      </c>
      <c r="J32" s="7">
        <f t="shared" si="22"/>
        <v>73077</v>
      </c>
      <c r="K32" s="7">
        <f t="shared" si="22"/>
        <v>95633</v>
      </c>
      <c r="L32" s="7">
        <f t="shared" si="22"/>
        <v>102371</v>
      </c>
      <c r="M32" s="7">
        <f t="shared" si="22"/>
        <v>119304</v>
      </c>
      <c r="N32" s="7">
        <f t="shared" si="22"/>
        <v>60576</v>
      </c>
      <c r="O32" s="7">
        <f t="shared" si="22"/>
        <v>110005</v>
      </c>
      <c r="P32" s="7">
        <f t="shared" si="22"/>
        <v>77990</v>
      </c>
      <c r="Q32" s="7">
        <f t="shared" si="22"/>
        <v>107493</v>
      </c>
      <c r="R32" s="7">
        <f t="shared" si="22"/>
        <v>101894</v>
      </c>
      <c r="S32" s="7">
        <f t="shared" si="22"/>
        <v>123372</v>
      </c>
      <c r="T32" s="7">
        <f t="shared" si="22"/>
        <v>68989</v>
      </c>
      <c r="U32" s="7">
        <f t="shared" si="22"/>
        <v>96599</v>
      </c>
      <c r="V32" s="7">
        <f t="shared" si="22"/>
        <v>51480</v>
      </c>
      <c r="W32" s="7">
        <f t="shared" si="22"/>
        <v>138937</v>
      </c>
      <c r="X32" s="7">
        <f t="shared" si="22"/>
        <v>74697</v>
      </c>
      <c r="Y32" s="7">
        <f t="shared" si="22"/>
        <v>41231</v>
      </c>
      <c r="Z32" s="7">
        <f t="shared" ref="Z32:AA32" si="23">+SUM(Z23:Z31)</f>
        <v>155186</v>
      </c>
      <c r="AA32" s="7">
        <f t="shared" si="23"/>
        <v>110081</v>
      </c>
      <c r="AB32" s="7">
        <f t="shared" ref="AB32:AC32" si="24">+SUM(AB23:AB31)</f>
        <v>178414</v>
      </c>
      <c r="AC32" s="7">
        <f t="shared" si="24"/>
        <v>211081</v>
      </c>
      <c r="AD32" s="7">
        <f t="shared" ref="AD32:AE32" si="25">+SUM(AD23:AD31)</f>
        <v>114388</v>
      </c>
      <c r="AE32" s="7">
        <f t="shared" si="25"/>
        <v>165864</v>
      </c>
      <c r="AF32" s="7">
        <f t="shared" ref="AF32:AG32" si="26">+SUM(AF23:AF31)</f>
        <v>153237</v>
      </c>
      <c r="AG32" s="7">
        <f t="shared" si="26"/>
        <v>140263</v>
      </c>
      <c r="AH32" s="7">
        <f t="shared" ref="AH32:AI32" si="27">+SUM(AH23:AH31)</f>
        <v>149414</v>
      </c>
      <c r="AI32" s="7">
        <f t="shared" si="27"/>
        <v>217117</v>
      </c>
    </row>
    <row r="33" spans="1:35"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
      <c r="A34" s="1" t="s">
        <v>123</v>
      </c>
      <c r="B34" s="3"/>
      <c r="C34" s="3"/>
      <c r="D34" s="3"/>
      <c r="E34" s="3">
        <v>0</v>
      </c>
      <c r="F34" s="3">
        <v>0</v>
      </c>
      <c r="G34" s="3"/>
      <c r="H34" s="3"/>
      <c r="I34" s="3"/>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row>
    <row r="35" spans="1:35" x14ac:dyDescent="0.3">
      <c r="A35" s="1" t="s">
        <v>124</v>
      </c>
      <c r="B35" s="3"/>
      <c r="C35" s="3"/>
      <c r="D35" s="3"/>
      <c r="E35" s="3">
        <v>14324197</v>
      </c>
      <c r="F35" s="3">
        <v>14758483</v>
      </c>
      <c r="G35" s="3">
        <v>14758467</v>
      </c>
      <c r="H35" s="3">
        <v>14939183</v>
      </c>
      <c r="I35" s="3">
        <v>15016938</v>
      </c>
      <c r="J35" s="3">
        <v>15156895</v>
      </c>
      <c r="K35" s="3">
        <v>15310830</v>
      </c>
      <c r="L35" s="3">
        <v>15363813</v>
      </c>
      <c r="M35" s="3">
        <v>15369932</v>
      </c>
      <c r="N35" s="3">
        <v>15564001</v>
      </c>
      <c r="O35" s="3">
        <v>15737703</v>
      </c>
      <c r="P35" s="3">
        <v>15906384</v>
      </c>
      <c r="Q35" s="3">
        <v>16109051</v>
      </c>
      <c r="R35" s="3">
        <v>16592707</v>
      </c>
      <c r="S35" s="3">
        <v>16986755</v>
      </c>
      <c r="T35" s="3">
        <v>17714400</v>
      </c>
      <c r="U35" s="3">
        <v>18341557</v>
      </c>
      <c r="V35" s="3">
        <v>18798112</v>
      </c>
      <c r="W35" s="3">
        <v>19046801</v>
      </c>
      <c r="X35" s="3">
        <v>19321993</v>
      </c>
      <c r="Y35" s="3">
        <v>19379842</v>
      </c>
      <c r="Z35" s="3">
        <v>19696702</v>
      </c>
      <c r="AA35" s="3">
        <v>19859547</v>
      </c>
      <c r="AB35" s="3">
        <v>20115646</v>
      </c>
      <c r="AC35" s="3">
        <v>20296908</v>
      </c>
      <c r="AD35" s="3">
        <v>20634692</v>
      </c>
      <c r="AE35" s="3">
        <v>20823567</v>
      </c>
      <c r="AF35" s="3">
        <v>21023246</v>
      </c>
      <c r="AG35" s="3">
        <v>21140272</v>
      </c>
      <c r="AH35" s="3">
        <v>21270003</v>
      </c>
      <c r="AI35" s="3">
        <v>21330910</v>
      </c>
    </row>
    <row r="36" spans="1:35" x14ac:dyDescent="0.3">
      <c r="A36" s="1" t="s">
        <v>125</v>
      </c>
      <c r="B36" s="3"/>
      <c r="C36" s="3"/>
      <c r="D36" s="3"/>
      <c r="E36" s="3">
        <v>1067946</v>
      </c>
      <c r="F36" s="3">
        <v>1195447</v>
      </c>
      <c r="G36" s="3">
        <v>1227760</v>
      </c>
      <c r="H36" s="3">
        <v>1276168</v>
      </c>
      <c r="I36" s="3">
        <v>1319597</v>
      </c>
      <c r="J36" s="3">
        <v>1779481</v>
      </c>
      <c r="K36" s="3">
        <v>1839010</v>
      </c>
      <c r="L36" s="3">
        <v>1877005</v>
      </c>
      <c r="M36" s="3">
        <v>1918897</v>
      </c>
      <c r="N36" s="3">
        <v>1910173</v>
      </c>
      <c r="O36" s="3">
        <v>1957745</v>
      </c>
      <c r="P36" s="3">
        <v>2008018</v>
      </c>
      <c r="Q36" s="3">
        <v>2058410</v>
      </c>
      <c r="R36" s="3">
        <v>1942116</v>
      </c>
      <c r="S36" s="3">
        <v>2002242</v>
      </c>
      <c r="T36" s="3">
        <v>2098996</v>
      </c>
      <c r="U36" s="3">
        <v>2181976</v>
      </c>
      <c r="V36" s="3">
        <v>2195346</v>
      </c>
      <c r="W36" s="3">
        <v>2257481</v>
      </c>
      <c r="X36" s="3">
        <v>2312763</v>
      </c>
      <c r="Y36" s="3">
        <v>2364241</v>
      </c>
      <c r="Z36" s="3">
        <v>2342244</v>
      </c>
      <c r="AA36" s="3">
        <v>2346080</v>
      </c>
      <c r="AB36" s="3">
        <v>2353389</v>
      </c>
      <c r="AC36" s="3">
        <v>2361874</v>
      </c>
      <c r="AD36" s="3">
        <v>2530588</v>
      </c>
      <c r="AE36" s="3">
        <v>2556938</v>
      </c>
      <c r="AF36" s="3">
        <v>2581853</v>
      </c>
      <c r="AG36" s="3">
        <v>2593520</v>
      </c>
      <c r="AH36" s="3">
        <v>2490819</v>
      </c>
      <c r="AI36" s="3">
        <v>2517486</v>
      </c>
    </row>
    <row r="37" spans="1:35" x14ac:dyDescent="0.3">
      <c r="A37" s="1" t="s">
        <v>126</v>
      </c>
      <c r="B37" s="3"/>
      <c r="C37" s="3"/>
      <c r="D37" s="3"/>
      <c r="E37" s="3">
        <v>126419</v>
      </c>
      <c r="F37" s="3">
        <v>131878</v>
      </c>
      <c r="G37" s="3">
        <v>134568</v>
      </c>
      <c r="H37" s="3">
        <v>137521</v>
      </c>
      <c r="I37" s="3">
        <v>138236</v>
      </c>
      <c r="J37" s="3">
        <v>111561</v>
      </c>
      <c r="K37" s="3">
        <v>112693</v>
      </c>
      <c r="L37" s="3">
        <v>113083</v>
      </c>
      <c r="M37" s="3">
        <v>113128</v>
      </c>
      <c r="N37" s="3">
        <v>114557</v>
      </c>
      <c r="O37" s="3">
        <v>115835</v>
      </c>
      <c r="P37" s="3">
        <v>117077</v>
      </c>
      <c r="Q37" s="3">
        <v>129072</v>
      </c>
      <c r="R37" s="3">
        <v>136708</v>
      </c>
      <c r="S37" s="3">
        <v>141285</v>
      </c>
      <c r="T37" s="3">
        <v>145041</v>
      </c>
      <c r="U37" s="3">
        <v>147186</v>
      </c>
      <c r="V37" s="3">
        <v>185714</v>
      </c>
      <c r="W37" s="3">
        <v>188171</v>
      </c>
      <c r="X37" s="3">
        <v>190890</v>
      </c>
      <c r="Y37" s="3">
        <v>200101</v>
      </c>
      <c r="Z37" s="3">
        <v>115932</v>
      </c>
      <c r="AA37" s="3">
        <v>216131</v>
      </c>
      <c r="AB37" s="3">
        <v>115689</v>
      </c>
      <c r="AC37" s="3">
        <v>135085</v>
      </c>
      <c r="AD37" s="3">
        <v>147335</v>
      </c>
      <c r="AE37" s="3">
        <v>149710</v>
      </c>
      <c r="AF37" s="3">
        <v>151146</v>
      </c>
      <c r="AG37" s="3">
        <v>166420</v>
      </c>
      <c r="AH37" s="3">
        <v>120918</v>
      </c>
      <c r="AI37" s="3">
        <v>121543</v>
      </c>
    </row>
    <row r="38" spans="1:35" s="6" customFormat="1" x14ac:dyDescent="0.3">
      <c r="A38" s="6" t="s">
        <v>28</v>
      </c>
      <c r="B38" s="7">
        <f>+SUM(B33:B37)</f>
        <v>0</v>
      </c>
      <c r="C38" s="7">
        <f t="shared" ref="C38:F38" si="28">+SUM(C33:C37)</f>
        <v>0</v>
      </c>
      <c r="D38" s="7">
        <f t="shared" si="28"/>
        <v>0</v>
      </c>
      <c r="E38" s="7">
        <f t="shared" si="28"/>
        <v>15518562</v>
      </c>
      <c r="F38" s="7">
        <f t="shared" si="28"/>
        <v>16085808</v>
      </c>
      <c r="G38" s="7">
        <f t="shared" ref="G38:Y38" si="29">+SUM(G33:G37)</f>
        <v>16120795</v>
      </c>
      <c r="H38" s="7">
        <f t="shared" si="29"/>
        <v>16352872</v>
      </c>
      <c r="I38" s="7">
        <f t="shared" si="29"/>
        <v>16474771</v>
      </c>
      <c r="J38" s="7">
        <f t="shared" si="29"/>
        <v>17047937</v>
      </c>
      <c r="K38" s="7">
        <f t="shared" si="29"/>
        <v>17262533</v>
      </c>
      <c r="L38" s="7">
        <f t="shared" si="29"/>
        <v>17353901</v>
      </c>
      <c r="M38" s="7">
        <f t="shared" si="29"/>
        <v>17401957</v>
      </c>
      <c r="N38" s="7">
        <f t="shared" si="29"/>
        <v>17588731</v>
      </c>
      <c r="O38" s="7">
        <f t="shared" si="29"/>
        <v>17811283</v>
      </c>
      <c r="P38" s="7">
        <f t="shared" si="29"/>
        <v>18031479</v>
      </c>
      <c r="Q38" s="7">
        <f t="shared" si="29"/>
        <v>18296533</v>
      </c>
      <c r="R38" s="7">
        <f t="shared" si="29"/>
        <v>18671531</v>
      </c>
      <c r="S38" s="7">
        <f t="shared" si="29"/>
        <v>19130282</v>
      </c>
      <c r="T38" s="7">
        <f t="shared" si="29"/>
        <v>19958437</v>
      </c>
      <c r="U38" s="7">
        <f t="shared" si="29"/>
        <v>20670719</v>
      </c>
      <c r="V38" s="7">
        <f t="shared" si="29"/>
        <v>21179172</v>
      </c>
      <c r="W38" s="7">
        <f t="shared" si="29"/>
        <v>21492453</v>
      </c>
      <c r="X38" s="7">
        <f t="shared" si="29"/>
        <v>21825646</v>
      </c>
      <c r="Y38" s="7">
        <f t="shared" si="29"/>
        <v>21944184</v>
      </c>
      <c r="Z38" s="7">
        <f t="shared" ref="Z38:AA38" si="30">+SUM(Z33:Z37)</f>
        <v>22154878</v>
      </c>
      <c r="AA38" s="7">
        <f t="shared" si="30"/>
        <v>22421758</v>
      </c>
      <c r="AB38" s="7">
        <f t="shared" ref="AB38:AC38" si="31">+SUM(AB33:AB37)</f>
        <v>22584724</v>
      </c>
      <c r="AC38" s="7">
        <f t="shared" si="31"/>
        <v>22793867</v>
      </c>
      <c r="AD38" s="7">
        <f t="shared" ref="AD38:AE38" si="32">+SUM(AD33:AD37)</f>
        <v>23312615</v>
      </c>
      <c r="AE38" s="7">
        <f t="shared" si="32"/>
        <v>23530215</v>
      </c>
      <c r="AF38" s="7">
        <f t="shared" ref="AF38:AG38" si="33">+SUM(AF33:AF37)</f>
        <v>23756245</v>
      </c>
      <c r="AG38" s="7">
        <f t="shared" si="33"/>
        <v>23900212</v>
      </c>
      <c r="AH38" s="7">
        <f t="shared" ref="AH38:AI38" si="34">+SUM(AH33:AH37)</f>
        <v>23881740</v>
      </c>
      <c r="AI38" s="7">
        <f t="shared" si="34"/>
        <v>23969939</v>
      </c>
    </row>
    <row r="39" spans="1:35" x14ac:dyDescent="0.3">
      <c r="A39" s="6" t="s">
        <v>29</v>
      </c>
      <c r="B39" s="7">
        <f>+B38+B32</f>
        <v>0</v>
      </c>
      <c r="C39" s="7">
        <f t="shared" ref="C39:F39" si="35">+C38+C32</f>
        <v>0</v>
      </c>
      <c r="D39" s="7">
        <f t="shared" si="35"/>
        <v>0</v>
      </c>
      <c r="E39" s="7">
        <f t="shared" si="35"/>
        <v>15677007</v>
      </c>
      <c r="F39" s="7">
        <f t="shared" si="35"/>
        <v>16128772</v>
      </c>
      <c r="G39" s="7">
        <f t="shared" ref="G39:Y39" si="36">+G38+G32</f>
        <v>16187483</v>
      </c>
      <c r="H39" s="7">
        <f t="shared" si="36"/>
        <v>16384387</v>
      </c>
      <c r="I39" s="7">
        <f t="shared" si="36"/>
        <v>16641784</v>
      </c>
      <c r="J39" s="7">
        <f t="shared" si="36"/>
        <v>17121014</v>
      </c>
      <c r="K39" s="7">
        <f t="shared" si="36"/>
        <v>17358166</v>
      </c>
      <c r="L39" s="7">
        <f t="shared" si="36"/>
        <v>17456272</v>
      </c>
      <c r="M39" s="7">
        <f t="shared" si="36"/>
        <v>17521261</v>
      </c>
      <c r="N39" s="7">
        <f t="shared" si="36"/>
        <v>17649307</v>
      </c>
      <c r="O39" s="7">
        <f t="shared" si="36"/>
        <v>17921288</v>
      </c>
      <c r="P39" s="7">
        <f t="shared" si="36"/>
        <v>18109469</v>
      </c>
      <c r="Q39" s="7">
        <f t="shared" si="36"/>
        <v>18404026</v>
      </c>
      <c r="R39" s="7">
        <f t="shared" si="36"/>
        <v>18773425</v>
      </c>
      <c r="S39" s="7">
        <f t="shared" si="36"/>
        <v>19253654</v>
      </c>
      <c r="T39" s="7">
        <f t="shared" si="36"/>
        <v>20027426</v>
      </c>
      <c r="U39" s="7">
        <f t="shared" si="36"/>
        <v>20767318</v>
      </c>
      <c r="V39" s="7">
        <f t="shared" si="36"/>
        <v>21230652</v>
      </c>
      <c r="W39" s="7">
        <f t="shared" si="36"/>
        <v>21631390</v>
      </c>
      <c r="X39" s="7">
        <f t="shared" si="36"/>
        <v>21900343</v>
      </c>
      <c r="Y39" s="7">
        <f t="shared" si="36"/>
        <v>21985415</v>
      </c>
      <c r="Z39" s="7">
        <f t="shared" ref="Z39:AA39" si="37">+Z38+Z32</f>
        <v>22310064</v>
      </c>
      <c r="AA39" s="7">
        <f t="shared" si="37"/>
        <v>22531839</v>
      </c>
      <c r="AB39" s="7">
        <f t="shared" ref="AB39:AC39" si="38">+AB38+AB32</f>
        <v>22763138</v>
      </c>
      <c r="AC39" s="7">
        <f t="shared" si="38"/>
        <v>23004948</v>
      </c>
      <c r="AD39" s="7">
        <f t="shared" ref="AD39:AE39" si="39">+AD38+AD32</f>
        <v>23427003</v>
      </c>
      <c r="AE39" s="7">
        <f t="shared" si="39"/>
        <v>23696079</v>
      </c>
      <c r="AF39" s="7">
        <f t="shared" ref="AF39:AG39" si="40">+AF38+AF32</f>
        <v>23909482</v>
      </c>
      <c r="AG39" s="7">
        <f t="shared" si="40"/>
        <v>24040475</v>
      </c>
      <c r="AH39" s="7">
        <f t="shared" ref="AH39:AI39" si="41">+AH38+AH32</f>
        <v>24031154</v>
      </c>
      <c r="AI39" s="7">
        <f t="shared" si="41"/>
        <v>24187056</v>
      </c>
    </row>
    <row r="40" spans="1:35"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
      <c r="A41" s="1" t="s">
        <v>128</v>
      </c>
      <c r="B41" s="3"/>
      <c r="C41" s="3"/>
      <c r="D41" s="3"/>
      <c r="E41" s="3">
        <v>1835000</v>
      </c>
      <c r="F41" s="3">
        <v>1835000</v>
      </c>
      <c r="G41" s="3">
        <v>1835000</v>
      </c>
      <c r="H41" s="3">
        <v>1835000</v>
      </c>
      <c r="I41" s="3">
        <v>1835000</v>
      </c>
      <c r="J41" s="3">
        <v>1835000</v>
      </c>
      <c r="K41" s="3">
        <v>1835000</v>
      </c>
      <c r="L41" s="3">
        <v>1835000</v>
      </c>
      <c r="M41" s="3">
        <v>1835000</v>
      </c>
      <c r="N41" s="3">
        <v>1835000</v>
      </c>
      <c r="O41" s="3">
        <v>1835000</v>
      </c>
      <c r="P41" s="3">
        <v>1835000</v>
      </c>
      <c r="Q41" s="3">
        <v>1835000</v>
      </c>
      <c r="R41" s="3">
        <v>1835000</v>
      </c>
      <c r="S41" s="3">
        <v>1835000</v>
      </c>
      <c r="T41" s="3">
        <v>1835000</v>
      </c>
      <c r="U41" s="3">
        <v>1835000</v>
      </c>
      <c r="V41" s="3">
        <v>1835000</v>
      </c>
      <c r="W41" s="3">
        <v>1835000</v>
      </c>
      <c r="X41" s="3">
        <v>1835000</v>
      </c>
      <c r="Y41" s="3">
        <v>1835000</v>
      </c>
      <c r="Z41" s="3">
        <v>1835000</v>
      </c>
      <c r="AA41" s="3">
        <v>1835000</v>
      </c>
      <c r="AB41" s="3">
        <v>1835000</v>
      </c>
      <c r="AC41" s="3">
        <v>1835000</v>
      </c>
      <c r="AD41" s="3">
        <v>1835000</v>
      </c>
      <c r="AE41" s="3">
        <v>1835000</v>
      </c>
      <c r="AF41" s="3">
        <v>1835000</v>
      </c>
      <c r="AG41" s="3">
        <v>1835000</v>
      </c>
      <c r="AH41" s="3">
        <v>1835000</v>
      </c>
      <c r="AI41" s="3">
        <v>1835000</v>
      </c>
    </row>
    <row r="42" spans="1:35" x14ac:dyDescent="0.3">
      <c r="A42" s="1" t="s">
        <v>32</v>
      </c>
      <c r="B42" s="3"/>
      <c r="C42" s="3"/>
      <c r="D42" s="3"/>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row>
    <row r="43" spans="1:35" x14ac:dyDescent="0.3">
      <c r="A43" s="1" t="s">
        <v>33</v>
      </c>
      <c r="B43" s="3"/>
      <c r="C43" s="3"/>
      <c r="D43" s="3"/>
      <c r="E43" s="3">
        <f>3130870-99090</f>
        <v>3031780</v>
      </c>
      <c r="F43" s="3">
        <v>3102200</v>
      </c>
      <c r="G43" s="3">
        <v>3095469</v>
      </c>
      <c r="H43" s="3">
        <v>3109528</v>
      </c>
      <c r="I43" s="3">
        <v>3102300</v>
      </c>
      <c r="J43" s="3">
        <v>3791492</v>
      </c>
      <c r="K43" s="3">
        <v>3799489</v>
      </c>
      <c r="L43" s="3">
        <v>3784788</v>
      </c>
      <c r="M43" s="3">
        <v>3790927</v>
      </c>
      <c r="N43" s="3">
        <v>3490676</v>
      </c>
      <c r="O43" s="3">
        <v>3518554</v>
      </c>
      <c r="P43" s="3">
        <v>3542364</v>
      </c>
      <c r="Q43" s="3">
        <v>3574256</v>
      </c>
      <c r="R43" s="3">
        <v>2966845</v>
      </c>
      <c r="S43" s="3">
        <v>2869349</v>
      </c>
      <c r="T43" s="3">
        <v>3055893</v>
      </c>
      <c r="U43" s="3">
        <v>3062886</v>
      </c>
      <c r="V43" s="3">
        <v>3018639</v>
      </c>
      <c r="W43" s="3">
        <v>3036716</v>
      </c>
      <c r="X43" s="3">
        <v>3073914</v>
      </c>
      <c r="Y43" s="3">
        <v>3075096</v>
      </c>
      <c r="Z43" s="3">
        <v>2936348</v>
      </c>
      <c r="AA43" s="3">
        <v>2942593</v>
      </c>
      <c r="AB43" s="3">
        <v>2975173</v>
      </c>
      <c r="AC43" s="3">
        <v>3013073</v>
      </c>
      <c r="AD43" s="3">
        <v>3524549</v>
      </c>
      <c r="AE43" s="3">
        <v>3626040</v>
      </c>
      <c r="AF43" s="3">
        <v>3714343</v>
      </c>
      <c r="AG43" s="3">
        <v>3757518</v>
      </c>
      <c r="AH43" s="3">
        <v>3469530</v>
      </c>
      <c r="AI43" s="3">
        <v>3464475</v>
      </c>
    </row>
    <row r="44" spans="1:35" s="6" customFormat="1" x14ac:dyDescent="0.3">
      <c r="A44" s="6" t="s">
        <v>129</v>
      </c>
      <c r="B44" s="7">
        <f t="shared" ref="B44:F44" si="42">+SUM(B40:B43)</f>
        <v>0</v>
      </c>
      <c r="C44" s="7">
        <f t="shared" si="42"/>
        <v>0</v>
      </c>
      <c r="D44" s="7">
        <f t="shared" si="42"/>
        <v>0</v>
      </c>
      <c r="E44" s="7">
        <f t="shared" si="42"/>
        <v>4866780</v>
      </c>
      <c r="F44" s="7">
        <f t="shared" si="42"/>
        <v>4937200</v>
      </c>
      <c r="G44" s="7">
        <f t="shared" ref="G44:Y44" si="43">+SUM(G40:G43)</f>
        <v>4930469</v>
      </c>
      <c r="H44" s="7">
        <f t="shared" si="43"/>
        <v>4944528</v>
      </c>
      <c r="I44" s="7">
        <f t="shared" si="43"/>
        <v>4937300</v>
      </c>
      <c r="J44" s="7">
        <f t="shared" si="43"/>
        <v>5626492</v>
      </c>
      <c r="K44" s="7">
        <f t="shared" si="43"/>
        <v>5634489</v>
      </c>
      <c r="L44" s="7">
        <f t="shared" si="43"/>
        <v>5619788</v>
      </c>
      <c r="M44" s="7">
        <f t="shared" si="43"/>
        <v>5625927</v>
      </c>
      <c r="N44" s="7">
        <f t="shared" si="43"/>
        <v>5325676</v>
      </c>
      <c r="O44" s="7">
        <f t="shared" si="43"/>
        <v>5353554</v>
      </c>
      <c r="P44" s="7">
        <f t="shared" si="43"/>
        <v>5377364</v>
      </c>
      <c r="Q44" s="7">
        <f t="shared" si="43"/>
        <v>5409256</v>
      </c>
      <c r="R44" s="7">
        <f t="shared" si="43"/>
        <v>4801845</v>
      </c>
      <c r="S44" s="7">
        <f t="shared" si="43"/>
        <v>4704349</v>
      </c>
      <c r="T44" s="7">
        <f t="shared" si="43"/>
        <v>4890893</v>
      </c>
      <c r="U44" s="7">
        <f t="shared" si="43"/>
        <v>4897886</v>
      </c>
      <c r="V44" s="7">
        <f t="shared" si="43"/>
        <v>4853639</v>
      </c>
      <c r="W44" s="7">
        <f t="shared" si="43"/>
        <v>4871716</v>
      </c>
      <c r="X44" s="7">
        <f t="shared" si="43"/>
        <v>4908914</v>
      </c>
      <c r="Y44" s="7">
        <f t="shared" si="43"/>
        <v>4910096</v>
      </c>
      <c r="Z44" s="7">
        <f t="shared" ref="Z44:AA44" si="44">+SUM(Z40:Z43)</f>
        <v>4771348</v>
      </c>
      <c r="AA44" s="7">
        <f t="shared" si="44"/>
        <v>4777593</v>
      </c>
      <c r="AB44" s="7">
        <f t="shared" ref="AB44:AC44" si="45">+SUM(AB40:AB43)</f>
        <v>4810173</v>
      </c>
      <c r="AC44" s="7">
        <f t="shared" si="45"/>
        <v>4848073</v>
      </c>
      <c r="AD44" s="7">
        <f t="shared" ref="AD44:AE44" si="46">+SUM(AD40:AD43)</f>
        <v>5359549</v>
      </c>
      <c r="AE44" s="7">
        <f t="shared" si="46"/>
        <v>5461040</v>
      </c>
      <c r="AF44" s="7">
        <f t="shared" ref="AF44:AG44" si="47">+SUM(AF40:AF43)</f>
        <v>5549343</v>
      </c>
      <c r="AG44" s="7">
        <f t="shared" si="47"/>
        <v>5592518</v>
      </c>
      <c r="AH44" s="7">
        <f t="shared" ref="AH44:AI44" si="48">+SUM(AH40:AH43)</f>
        <v>5304530</v>
      </c>
      <c r="AI44" s="7">
        <f t="shared" si="48"/>
        <v>5299475</v>
      </c>
    </row>
    <row r="45" spans="1:35"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3">
      <c r="A46" s="6" t="s">
        <v>131</v>
      </c>
      <c r="B46" s="7">
        <f>+B44+B39+B45</f>
        <v>0</v>
      </c>
      <c r="C46" s="7">
        <f t="shared" ref="C46:F46" si="49">+C44+C39+C45</f>
        <v>0</v>
      </c>
      <c r="D46" s="7">
        <f t="shared" si="49"/>
        <v>0</v>
      </c>
      <c r="E46" s="7">
        <f t="shared" si="49"/>
        <v>20543787</v>
      </c>
      <c r="F46" s="7">
        <f t="shared" si="49"/>
        <v>21065972</v>
      </c>
      <c r="G46" s="7">
        <f t="shared" ref="G46:Y46" si="50">+G44+G39+G45</f>
        <v>21117952</v>
      </c>
      <c r="H46" s="7">
        <f t="shared" si="50"/>
        <v>21328915</v>
      </c>
      <c r="I46" s="7">
        <f t="shared" si="50"/>
        <v>21579084</v>
      </c>
      <c r="J46" s="7">
        <f t="shared" si="50"/>
        <v>22747506</v>
      </c>
      <c r="K46" s="7">
        <f t="shared" si="50"/>
        <v>22992655</v>
      </c>
      <c r="L46" s="7">
        <f t="shared" si="50"/>
        <v>23076060</v>
      </c>
      <c r="M46" s="7">
        <f t="shared" si="50"/>
        <v>23147188</v>
      </c>
      <c r="N46" s="7">
        <f t="shared" si="50"/>
        <v>22974983</v>
      </c>
      <c r="O46" s="7">
        <f t="shared" si="50"/>
        <v>23274842</v>
      </c>
      <c r="P46" s="7">
        <f t="shared" si="50"/>
        <v>23486833</v>
      </c>
      <c r="Q46" s="7">
        <f t="shared" si="50"/>
        <v>23813282</v>
      </c>
      <c r="R46" s="7">
        <f t="shared" si="50"/>
        <v>23575270</v>
      </c>
      <c r="S46" s="7">
        <f t="shared" si="50"/>
        <v>23958003</v>
      </c>
      <c r="T46" s="7">
        <f t="shared" si="50"/>
        <v>24918319</v>
      </c>
      <c r="U46" s="7">
        <f t="shared" si="50"/>
        <v>25665204</v>
      </c>
      <c r="V46" s="7">
        <f t="shared" si="50"/>
        <v>26084291</v>
      </c>
      <c r="W46" s="7">
        <f t="shared" si="50"/>
        <v>26503106</v>
      </c>
      <c r="X46" s="7">
        <f t="shared" si="50"/>
        <v>26809257</v>
      </c>
      <c r="Y46" s="7">
        <f t="shared" si="50"/>
        <v>26895511</v>
      </c>
      <c r="Z46" s="7">
        <f t="shared" ref="Z46:AA46" si="51">+Z44+Z39+Z45</f>
        <v>27081412</v>
      </c>
      <c r="AA46" s="7">
        <f t="shared" si="51"/>
        <v>27309432</v>
      </c>
      <c r="AB46" s="7">
        <f t="shared" ref="AB46:AC46" si="52">+AB44+AB39+AB45</f>
        <v>27573311</v>
      </c>
      <c r="AC46" s="7">
        <f t="shared" si="52"/>
        <v>27853021</v>
      </c>
      <c r="AD46" s="7">
        <f t="shared" ref="AD46:AE46" si="53">+AD44+AD39+AD45</f>
        <v>28786552</v>
      </c>
      <c r="AE46" s="7">
        <f t="shared" si="53"/>
        <v>29157119</v>
      </c>
      <c r="AF46" s="7">
        <f t="shared" ref="AF46:AG46" si="54">+AF44+AF39+AF45</f>
        <v>29458825</v>
      </c>
      <c r="AG46" s="7">
        <f t="shared" si="54"/>
        <v>29632993</v>
      </c>
      <c r="AH46" s="7">
        <f t="shared" ref="AH46:AI46" si="55">+AH44+AH39+AH45</f>
        <v>29335684</v>
      </c>
      <c r="AI46" s="7">
        <f t="shared" si="55"/>
        <v>29486531</v>
      </c>
    </row>
    <row r="47" spans="1:35" x14ac:dyDescent="0.3">
      <c r="A47" s="1" t="s">
        <v>38</v>
      </c>
      <c r="B47" s="4" t="str">
        <f>IF((+B46-B22)=0,"ok","error")</f>
        <v>ok</v>
      </c>
      <c r="C47" s="4" t="str">
        <f>IF((+C46-C22)=0,"ok","error")</f>
        <v>ok</v>
      </c>
      <c r="D47" s="4" t="str">
        <f t="shared" ref="D47:F47" si="56">IF((+D46-D22)=0,"ok","error")</f>
        <v>ok</v>
      </c>
      <c r="E47" s="4" t="str">
        <f t="shared" si="56"/>
        <v>ok</v>
      </c>
      <c r="F47" s="4" t="str">
        <f t="shared" si="56"/>
        <v>ok</v>
      </c>
      <c r="G47" s="4" t="str">
        <f t="shared" ref="G47:Y47" si="57">IF((+G46-G22)=0,"ok","error")</f>
        <v>ok</v>
      </c>
      <c r="H47" s="4" t="str">
        <f t="shared" si="57"/>
        <v>ok</v>
      </c>
      <c r="I47" s="4" t="str">
        <f t="shared" si="57"/>
        <v>ok</v>
      </c>
      <c r="J47" s="4" t="str">
        <f t="shared" si="57"/>
        <v>ok</v>
      </c>
      <c r="K47" s="4" t="str">
        <f t="shared" si="57"/>
        <v>ok</v>
      </c>
      <c r="L47" s="4" t="str">
        <f t="shared" si="57"/>
        <v>ok</v>
      </c>
      <c r="M47" s="4" t="str">
        <f t="shared" si="57"/>
        <v>ok</v>
      </c>
      <c r="N47" s="4" t="str">
        <f t="shared" si="57"/>
        <v>ok</v>
      </c>
      <c r="O47" s="4" t="str">
        <f t="shared" si="57"/>
        <v>ok</v>
      </c>
      <c r="P47" s="4" t="str">
        <f t="shared" si="57"/>
        <v>ok</v>
      </c>
      <c r="Q47" s="4" t="str">
        <f t="shared" si="57"/>
        <v>ok</v>
      </c>
      <c r="R47" s="4" t="str">
        <f t="shared" si="57"/>
        <v>ok</v>
      </c>
      <c r="S47" s="4" t="str">
        <f t="shared" si="57"/>
        <v>ok</v>
      </c>
      <c r="T47" s="4" t="str">
        <f t="shared" si="57"/>
        <v>ok</v>
      </c>
      <c r="U47" s="4" t="str">
        <f t="shared" si="57"/>
        <v>ok</v>
      </c>
      <c r="V47" s="4" t="str">
        <f t="shared" si="57"/>
        <v>ok</v>
      </c>
      <c r="W47" s="4" t="str">
        <f t="shared" si="57"/>
        <v>ok</v>
      </c>
      <c r="X47" s="4" t="str">
        <f t="shared" si="57"/>
        <v>ok</v>
      </c>
      <c r="Y47" s="4" t="str">
        <f t="shared" si="57"/>
        <v>ok</v>
      </c>
      <c r="Z47" s="4" t="str">
        <f t="shared" ref="Z47:AA47" si="58">IF((+Z46-Z22)=0,"ok","error")</f>
        <v>ok</v>
      </c>
      <c r="AA47" s="4" t="str">
        <f t="shared" si="58"/>
        <v>ok</v>
      </c>
      <c r="AB47" s="4" t="str">
        <f t="shared" ref="AB47:AC47" si="59">IF((+AB46-AB22)=0,"ok","error")</f>
        <v>ok</v>
      </c>
      <c r="AC47" s="4" t="str">
        <f t="shared" si="59"/>
        <v>ok</v>
      </c>
      <c r="AD47" s="4" t="str">
        <f t="shared" ref="AD47:AE47" si="60">IF((+AD46-AD22)=0,"ok","error")</f>
        <v>ok</v>
      </c>
      <c r="AE47" s="4" t="str">
        <f t="shared" si="60"/>
        <v>ok</v>
      </c>
      <c r="AF47" s="4" t="str">
        <f t="shared" ref="AF47:AG47" si="61">IF((+AF46-AF22)=0,"ok","error")</f>
        <v>ok</v>
      </c>
      <c r="AG47" s="4" t="str">
        <f t="shared" si="61"/>
        <v>ok</v>
      </c>
      <c r="AH47" s="4" t="str">
        <f t="shared" ref="AH47:AI47" si="62">IF((+AH46-AH22)=0,"ok","error")</f>
        <v>ok</v>
      </c>
      <c r="AI47" s="4" t="str">
        <f t="shared" si="62"/>
        <v>ok</v>
      </c>
    </row>
    <row r="48" spans="1:35"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1:35"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
      <c r="A50" s="1" t="s">
        <v>134</v>
      </c>
      <c r="B50" s="3"/>
      <c r="C50" s="3"/>
      <c r="D50" s="3"/>
      <c r="E50" s="3">
        <v>1057318</v>
      </c>
      <c r="F50" s="3">
        <v>1377970</v>
      </c>
      <c r="G50" s="3">
        <v>364992</v>
      </c>
      <c r="H50" s="3">
        <v>738301</v>
      </c>
      <c r="I50" s="3">
        <v>1124721</v>
      </c>
      <c r="J50" s="3">
        <v>1511390</v>
      </c>
      <c r="K50" s="3">
        <v>389787</v>
      </c>
      <c r="L50" s="3">
        <v>764717</v>
      </c>
      <c r="M50" s="3">
        <v>1164714</v>
      </c>
      <c r="N50" s="3">
        <v>1563517</v>
      </c>
      <c r="O50" s="3">
        <v>346393</v>
      </c>
      <c r="P50" s="3">
        <v>699225</v>
      </c>
      <c r="Q50" s="3">
        <v>1056615</v>
      </c>
      <c r="R50" s="3">
        <v>1426341</v>
      </c>
      <c r="S50" s="3">
        <v>412365</v>
      </c>
      <c r="T50" s="3">
        <v>818757</v>
      </c>
      <c r="U50" s="3">
        <v>1268704</v>
      </c>
      <c r="V50" s="3">
        <v>1739187</v>
      </c>
      <c r="W50" s="3">
        <v>470436</v>
      </c>
      <c r="X50" s="3">
        <v>948285</v>
      </c>
      <c r="Y50" s="3">
        <v>1425123</v>
      </c>
      <c r="Z50" s="3">
        <v>1877211</v>
      </c>
      <c r="AA50" s="3">
        <v>344857</v>
      </c>
      <c r="AB50" s="3">
        <v>718542</v>
      </c>
      <c r="AC50" s="3">
        <v>1109882</v>
      </c>
      <c r="AD50" s="3">
        <v>1522337</v>
      </c>
      <c r="AE50" s="3">
        <v>434811</v>
      </c>
      <c r="AF50" s="3">
        <v>878504</v>
      </c>
      <c r="AG50" s="3">
        <v>1312250</v>
      </c>
      <c r="AH50" s="3">
        <v>1767510</v>
      </c>
      <c r="AI50" s="3">
        <v>483697</v>
      </c>
    </row>
    <row r="51" spans="1:35" x14ac:dyDescent="0.3">
      <c r="A51" s="1" t="s">
        <v>135</v>
      </c>
      <c r="B51" s="3"/>
      <c r="C51" s="3"/>
      <c r="D51" s="3"/>
      <c r="E51" s="3">
        <v>-546021</v>
      </c>
      <c r="F51" s="3">
        <v>-272862</v>
      </c>
      <c r="G51" s="3">
        <v>-71350</v>
      </c>
      <c r="H51" s="3">
        <v>-130777</v>
      </c>
      <c r="I51" s="3">
        <v>-193635</v>
      </c>
      <c r="J51" s="3">
        <v>-259092</v>
      </c>
      <c r="K51" s="3">
        <v>-74779</v>
      </c>
      <c r="L51" s="3">
        <v>-151354</v>
      </c>
      <c r="M51" s="3">
        <v>-226061</v>
      </c>
      <c r="N51" s="3">
        <v>-302171</v>
      </c>
      <c r="O51" s="3">
        <v>-89572</v>
      </c>
      <c r="P51" s="3">
        <v>-185607</v>
      </c>
      <c r="Q51" s="3">
        <v>-280505</v>
      </c>
      <c r="R51" s="3">
        <v>-370766</v>
      </c>
      <c r="S51" s="3">
        <v>-92032</v>
      </c>
      <c r="T51" s="3">
        <v>-181100</v>
      </c>
      <c r="U51" s="3">
        <v>-288887</v>
      </c>
      <c r="V51" s="3">
        <v>-377722</v>
      </c>
      <c r="W51" s="3">
        <v>-104280</v>
      </c>
      <c r="X51" s="3">
        <v>-235263</v>
      </c>
      <c r="Y51" s="3">
        <v>-319871</v>
      </c>
      <c r="Z51" s="3">
        <v>-449303</v>
      </c>
      <c r="AA51" s="3">
        <v>-142963</v>
      </c>
      <c r="AB51" s="3">
        <v>-313457</v>
      </c>
      <c r="AC51" s="3">
        <v>-460385</v>
      </c>
      <c r="AD51" s="3">
        <v>-607007</v>
      </c>
      <c r="AE51" s="3">
        <v>-150952</v>
      </c>
      <c r="AF51" s="3">
        <v>-297436</v>
      </c>
      <c r="AG51" s="3">
        <v>-456838</v>
      </c>
      <c r="AH51" s="3">
        <v>-599913</v>
      </c>
      <c r="AI51" s="3">
        <v>-139739</v>
      </c>
    </row>
    <row r="52" spans="1:35" s="6" customFormat="1" x14ac:dyDescent="0.3">
      <c r="A52" s="6" t="s">
        <v>136</v>
      </c>
      <c r="B52" s="7">
        <f>+SUM(B50:B51)</f>
        <v>0</v>
      </c>
      <c r="C52" s="7">
        <f t="shared" ref="C52:Y52" si="63">+SUM(C50:C51)</f>
        <v>0</v>
      </c>
      <c r="D52" s="7">
        <f t="shared" si="63"/>
        <v>0</v>
      </c>
      <c r="E52" s="7">
        <f t="shared" si="63"/>
        <v>511297</v>
      </c>
      <c r="F52" s="7">
        <f t="shared" si="63"/>
        <v>1105108</v>
      </c>
      <c r="G52" s="7">
        <f t="shared" si="63"/>
        <v>293642</v>
      </c>
      <c r="H52" s="7">
        <f t="shared" si="63"/>
        <v>607524</v>
      </c>
      <c r="I52" s="7">
        <f t="shared" si="63"/>
        <v>931086</v>
      </c>
      <c r="J52" s="7">
        <f t="shared" si="63"/>
        <v>1252298</v>
      </c>
      <c r="K52" s="7">
        <f t="shared" si="63"/>
        <v>315008</v>
      </c>
      <c r="L52" s="7">
        <f t="shared" si="63"/>
        <v>613363</v>
      </c>
      <c r="M52" s="7">
        <f t="shared" si="63"/>
        <v>938653</v>
      </c>
      <c r="N52" s="7">
        <f t="shared" si="63"/>
        <v>1261346</v>
      </c>
      <c r="O52" s="7">
        <f t="shared" si="63"/>
        <v>256821</v>
      </c>
      <c r="P52" s="7">
        <f t="shared" si="63"/>
        <v>513618</v>
      </c>
      <c r="Q52" s="7">
        <f t="shared" si="63"/>
        <v>776110</v>
      </c>
      <c r="R52" s="7">
        <f t="shared" si="63"/>
        <v>1055575</v>
      </c>
      <c r="S52" s="7">
        <f t="shared" si="63"/>
        <v>320333</v>
      </c>
      <c r="T52" s="7">
        <f t="shared" si="63"/>
        <v>637657</v>
      </c>
      <c r="U52" s="7">
        <f t="shared" si="63"/>
        <v>979817</v>
      </c>
      <c r="V52" s="7">
        <f t="shared" si="63"/>
        <v>1361465</v>
      </c>
      <c r="W52" s="7">
        <f t="shared" si="63"/>
        <v>366156</v>
      </c>
      <c r="X52" s="7">
        <f t="shared" si="63"/>
        <v>713022</v>
      </c>
      <c r="Y52" s="7">
        <f t="shared" si="63"/>
        <v>1105252</v>
      </c>
      <c r="Z52" s="7">
        <f t="shared" ref="Z52:AA52" si="64">+SUM(Z50:Z51)</f>
        <v>1427908</v>
      </c>
      <c r="AA52" s="7">
        <f t="shared" si="64"/>
        <v>201894</v>
      </c>
      <c r="AB52" s="7">
        <f t="shared" ref="AB52:AC52" si="65">+SUM(AB50:AB51)</f>
        <v>405085</v>
      </c>
      <c r="AC52" s="7">
        <f t="shared" si="65"/>
        <v>649497</v>
      </c>
      <c r="AD52" s="7">
        <f t="shared" ref="AD52:AE52" si="66">+SUM(AD50:AD51)</f>
        <v>915330</v>
      </c>
      <c r="AE52" s="7">
        <f t="shared" si="66"/>
        <v>283859</v>
      </c>
      <c r="AF52" s="7">
        <f t="shared" ref="AF52:AG52" si="67">+SUM(AF50:AF51)</f>
        <v>581068</v>
      </c>
      <c r="AG52" s="7">
        <f t="shared" si="67"/>
        <v>855412</v>
      </c>
      <c r="AH52" s="7">
        <f t="shared" ref="AH52:AI52" si="68">+SUM(AH50:AH51)</f>
        <v>1167597</v>
      </c>
      <c r="AI52" s="7">
        <f t="shared" si="68"/>
        <v>343958</v>
      </c>
    </row>
    <row r="53" spans="1:35" x14ac:dyDescent="0.3">
      <c r="A53" s="1" t="s">
        <v>137</v>
      </c>
      <c r="B53" s="3"/>
      <c r="C53" s="3"/>
      <c r="D53" s="3"/>
      <c r="E53" s="3">
        <v>524956</v>
      </c>
      <c r="F53" s="3">
        <v>2115</v>
      </c>
      <c r="G53" s="3">
        <v>0</v>
      </c>
      <c r="H53" s="3">
        <v>0</v>
      </c>
      <c r="I53" s="3">
        <v>0</v>
      </c>
      <c r="J53" s="3">
        <v>12</v>
      </c>
      <c r="K53" s="3">
        <v>0</v>
      </c>
      <c r="L53" s="3">
        <v>0</v>
      </c>
      <c r="M53" s="3">
        <v>0</v>
      </c>
      <c r="N53" s="3">
        <v>0</v>
      </c>
      <c r="O53" s="3">
        <v>0</v>
      </c>
      <c r="P53" s="3">
        <v>0</v>
      </c>
      <c r="Q53" s="3">
        <v>0</v>
      </c>
      <c r="R53" s="3">
        <v>0</v>
      </c>
      <c r="S53" s="3">
        <v>0</v>
      </c>
      <c r="T53" s="3">
        <v>0</v>
      </c>
      <c r="U53" s="3">
        <v>0</v>
      </c>
      <c r="V53" s="3">
        <v>13</v>
      </c>
      <c r="W53" s="3">
        <v>0</v>
      </c>
      <c r="X53" s="3">
        <v>0</v>
      </c>
      <c r="Y53" s="3">
        <v>0</v>
      </c>
      <c r="Z53" s="3">
        <v>15</v>
      </c>
      <c r="AA53" s="3">
        <v>0</v>
      </c>
      <c r="AB53" s="3">
        <v>0</v>
      </c>
      <c r="AC53" s="3">
        <v>0</v>
      </c>
      <c r="AD53" s="3">
        <v>0</v>
      </c>
      <c r="AE53" s="3">
        <v>0</v>
      </c>
      <c r="AF53" s="3">
        <v>0</v>
      </c>
      <c r="AG53" s="3">
        <v>0</v>
      </c>
      <c r="AH53" s="3">
        <v>0</v>
      </c>
      <c r="AI53" s="3">
        <v>0</v>
      </c>
    </row>
    <row r="54" spans="1:35" x14ac:dyDescent="0.3">
      <c r="A54" s="1" t="s">
        <v>138</v>
      </c>
      <c r="B54" s="3"/>
      <c r="C54" s="3"/>
      <c r="D54" s="3"/>
      <c r="E54" s="3">
        <v>-66673</v>
      </c>
      <c r="F54" s="3">
        <v>-55986</v>
      </c>
      <c r="G54" s="3">
        <v>-9887</v>
      </c>
      <c r="H54" s="3">
        <v>-20986</v>
      </c>
      <c r="I54" s="3">
        <v>-34377</v>
      </c>
      <c r="J54" s="3">
        <v>-44249</v>
      </c>
      <c r="K54" s="3">
        <v>-9193</v>
      </c>
      <c r="L54" s="3">
        <v>-45530</v>
      </c>
      <c r="M54" s="3">
        <v>-75125</v>
      </c>
      <c r="N54" s="3">
        <v>-139109</v>
      </c>
      <c r="O54" s="3">
        <v>-9998</v>
      </c>
      <c r="P54" s="3">
        <v>-10719</v>
      </c>
      <c r="Q54" s="3">
        <v>-22463</v>
      </c>
      <c r="R54" s="3">
        <v>-31976</v>
      </c>
      <c r="S54" s="3">
        <v>-12146</v>
      </c>
      <c r="T54" s="3">
        <v>15682</v>
      </c>
      <c r="U54" s="3">
        <v>11434</v>
      </c>
      <c r="V54" s="3">
        <v>-6945</v>
      </c>
      <c r="W54" s="3">
        <v>-7597</v>
      </c>
      <c r="X54" s="3">
        <v>-17421</v>
      </c>
      <c r="Y54" s="3">
        <v>-23907</v>
      </c>
      <c r="Z54" s="3">
        <v>-38719</v>
      </c>
      <c r="AA54" s="3">
        <v>-7296</v>
      </c>
      <c r="AB54" s="3">
        <v>-14598</v>
      </c>
      <c r="AC54" s="3">
        <v>-24837</v>
      </c>
      <c r="AD54" s="3">
        <v>-35850</v>
      </c>
      <c r="AE54" s="3">
        <v>-7527</v>
      </c>
      <c r="AF54" s="3">
        <v>-15272</v>
      </c>
      <c r="AG54" s="3">
        <v>-22646</v>
      </c>
      <c r="AH54" s="3">
        <v>-37080</v>
      </c>
      <c r="AI54" s="3">
        <v>-7902</v>
      </c>
    </row>
    <row r="55" spans="1:35" x14ac:dyDescent="0.3">
      <c r="A55" s="1" t="s">
        <v>139</v>
      </c>
      <c r="B55" s="3"/>
      <c r="C55" s="3"/>
      <c r="D55" s="3"/>
      <c r="E55" s="3">
        <v>0</v>
      </c>
      <c r="F55" s="3">
        <v>0</v>
      </c>
      <c r="G55" s="3">
        <v>0</v>
      </c>
      <c r="H55" s="3">
        <v>0</v>
      </c>
      <c r="I55" s="3">
        <v>-290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c r="AI55" s="3">
        <v>0</v>
      </c>
    </row>
    <row r="56" spans="1:35" x14ac:dyDescent="0.3">
      <c r="A56" s="1" t="s">
        <v>140</v>
      </c>
      <c r="B56" s="3"/>
      <c r="C56" s="3"/>
      <c r="D56" s="3"/>
      <c r="E56" s="3">
        <v>-10663</v>
      </c>
      <c r="F56" s="3">
        <v>-1528</v>
      </c>
      <c r="G56" s="3">
        <v>0</v>
      </c>
      <c r="H56" s="3">
        <v>0</v>
      </c>
      <c r="I56" s="3">
        <v>0</v>
      </c>
      <c r="J56" s="3">
        <v>-291</v>
      </c>
      <c r="K56" s="3">
        <v>0</v>
      </c>
      <c r="L56" s="3">
        <v>0</v>
      </c>
      <c r="M56" s="3">
        <v>0</v>
      </c>
      <c r="N56" s="3">
        <v>0</v>
      </c>
      <c r="O56" s="3">
        <v>0</v>
      </c>
      <c r="P56" s="3">
        <v>0</v>
      </c>
      <c r="Q56" s="3">
        <v>0</v>
      </c>
      <c r="R56" s="3">
        <v>0</v>
      </c>
      <c r="S56" s="3">
        <v>0</v>
      </c>
      <c r="T56" s="3">
        <v>0</v>
      </c>
      <c r="U56" s="3">
        <v>13</v>
      </c>
      <c r="V56" s="3">
        <v>0</v>
      </c>
      <c r="W56" s="3">
        <v>0</v>
      </c>
      <c r="X56" s="3">
        <v>0</v>
      </c>
      <c r="Y56" s="3">
        <v>0</v>
      </c>
      <c r="Z56" s="3">
        <v>0</v>
      </c>
      <c r="AA56" s="3">
        <v>0</v>
      </c>
      <c r="AB56" s="3">
        <v>0</v>
      </c>
      <c r="AC56" s="3">
        <v>0</v>
      </c>
      <c r="AD56" s="3">
        <v>0</v>
      </c>
      <c r="AE56" s="3">
        <v>0</v>
      </c>
      <c r="AF56" s="3">
        <v>0</v>
      </c>
      <c r="AG56" s="3">
        <v>0</v>
      </c>
      <c r="AH56" s="3">
        <v>0</v>
      </c>
      <c r="AI56" s="3">
        <v>0</v>
      </c>
    </row>
    <row r="57" spans="1:35" s="6" customFormat="1" x14ac:dyDescent="0.3">
      <c r="A57" s="6" t="s">
        <v>141</v>
      </c>
      <c r="B57" s="7">
        <f>+SUM(B52:B56)</f>
        <v>0</v>
      </c>
      <c r="C57" s="7">
        <f t="shared" ref="C57:Y57" si="69">+SUM(C52:C56)</f>
        <v>0</v>
      </c>
      <c r="D57" s="7">
        <f t="shared" si="69"/>
        <v>0</v>
      </c>
      <c r="E57" s="7">
        <f t="shared" si="69"/>
        <v>958917</v>
      </c>
      <c r="F57" s="7">
        <f t="shared" si="69"/>
        <v>1049709</v>
      </c>
      <c r="G57" s="7">
        <f t="shared" si="69"/>
        <v>283755</v>
      </c>
      <c r="H57" s="7">
        <f t="shared" si="69"/>
        <v>586538</v>
      </c>
      <c r="I57" s="7">
        <f t="shared" si="69"/>
        <v>896419</v>
      </c>
      <c r="J57" s="7">
        <f t="shared" si="69"/>
        <v>1207770</v>
      </c>
      <c r="K57" s="7">
        <f t="shared" si="69"/>
        <v>305815</v>
      </c>
      <c r="L57" s="7">
        <f t="shared" si="69"/>
        <v>567833</v>
      </c>
      <c r="M57" s="7">
        <f t="shared" si="69"/>
        <v>863528</v>
      </c>
      <c r="N57" s="7">
        <f t="shared" si="69"/>
        <v>1122237</v>
      </c>
      <c r="O57" s="7">
        <f t="shared" si="69"/>
        <v>246823</v>
      </c>
      <c r="P57" s="7">
        <f t="shared" si="69"/>
        <v>502899</v>
      </c>
      <c r="Q57" s="7">
        <f t="shared" si="69"/>
        <v>753647</v>
      </c>
      <c r="R57" s="7">
        <f t="shared" si="69"/>
        <v>1023599</v>
      </c>
      <c r="S57" s="7">
        <f t="shared" si="69"/>
        <v>308187</v>
      </c>
      <c r="T57" s="7">
        <f t="shared" si="69"/>
        <v>653339</v>
      </c>
      <c r="U57" s="7">
        <f t="shared" si="69"/>
        <v>991264</v>
      </c>
      <c r="V57" s="7">
        <f t="shared" si="69"/>
        <v>1354533</v>
      </c>
      <c r="W57" s="7">
        <f t="shared" si="69"/>
        <v>358559</v>
      </c>
      <c r="X57" s="7">
        <f t="shared" si="69"/>
        <v>695601</v>
      </c>
      <c r="Y57" s="7">
        <f t="shared" si="69"/>
        <v>1081345</v>
      </c>
      <c r="Z57" s="7">
        <f t="shared" ref="Z57:AA57" si="70">+SUM(Z52:Z56)</f>
        <v>1389204</v>
      </c>
      <c r="AA57" s="7">
        <f t="shared" si="70"/>
        <v>194598</v>
      </c>
      <c r="AB57" s="7">
        <f t="shared" ref="AB57:AC57" si="71">+SUM(AB52:AB56)</f>
        <v>390487</v>
      </c>
      <c r="AC57" s="7">
        <f t="shared" si="71"/>
        <v>624660</v>
      </c>
      <c r="AD57" s="7">
        <f t="shared" ref="AD57:AE57" si="72">+SUM(AD52:AD56)</f>
        <v>879480</v>
      </c>
      <c r="AE57" s="7">
        <f t="shared" si="72"/>
        <v>276332</v>
      </c>
      <c r="AF57" s="7">
        <f t="shared" ref="AF57:AG57" si="73">+SUM(AF52:AF56)</f>
        <v>565796</v>
      </c>
      <c r="AG57" s="7">
        <f t="shared" si="73"/>
        <v>832766</v>
      </c>
      <c r="AH57" s="7">
        <f t="shared" ref="AH57:AI57" si="74">+SUM(AH52:AH56)</f>
        <v>1130517</v>
      </c>
      <c r="AI57" s="7">
        <f t="shared" si="74"/>
        <v>336056</v>
      </c>
    </row>
    <row r="58" spans="1:35" x14ac:dyDescent="0.3">
      <c r="A58" s="1" t="s">
        <v>142</v>
      </c>
      <c r="B58" s="3"/>
      <c r="C58" s="3"/>
      <c r="D58" s="3"/>
      <c r="E58" s="3">
        <v>3884</v>
      </c>
      <c r="F58" s="3">
        <v>59</v>
      </c>
      <c r="G58" s="3">
        <v>0</v>
      </c>
      <c r="H58" s="3">
        <v>2416</v>
      </c>
      <c r="I58" s="3">
        <v>5202</v>
      </c>
      <c r="J58" s="3">
        <v>7707</v>
      </c>
      <c r="K58" s="3">
        <v>565</v>
      </c>
      <c r="L58" s="3">
        <v>827</v>
      </c>
      <c r="M58" s="3">
        <v>921</v>
      </c>
      <c r="N58" s="3">
        <v>988</v>
      </c>
      <c r="O58" s="3">
        <v>41</v>
      </c>
      <c r="P58" s="3">
        <v>91</v>
      </c>
      <c r="Q58" s="3">
        <v>23</v>
      </c>
      <c r="R58" s="3">
        <v>2240</v>
      </c>
      <c r="S58" s="3">
        <v>2886</v>
      </c>
      <c r="T58" s="3">
        <v>6235</v>
      </c>
      <c r="U58" s="3">
        <v>3856</v>
      </c>
      <c r="V58" s="3">
        <v>14766</v>
      </c>
      <c r="W58" s="3">
        <v>4563</v>
      </c>
      <c r="X58" s="3">
        <v>8588</v>
      </c>
      <c r="Y58" s="3">
        <v>12396</v>
      </c>
      <c r="Z58" s="3">
        <v>15536</v>
      </c>
      <c r="AA58" s="3">
        <v>1908</v>
      </c>
      <c r="AB58" s="3">
        <v>2768</v>
      </c>
      <c r="AC58" s="3">
        <v>3256</v>
      </c>
      <c r="AD58" s="3">
        <v>3447</v>
      </c>
      <c r="AE58" s="3">
        <v>618</v>
      </c>
      <c r="AF58" s="3">
        <f>1388</f>
        <v>1388</v>
      </c>
      <c r="AG58" s="3">
        <v>2278</v>
      </c>
      <c r="AH58" s="3">
        <v>3255</v>
      </c>
      <c r="AI58" s="3">
        <v>974</v>
      </c>
    </row>
    <row r="59" spans="1:35" x14ac:dyDescent="0.3">
      <c r="A59" s="1" t="s">
        <v>143</v>
      </c>
      <c r="B59" s="3"/>
      <c r="C59" s="3"/>
      <c r="D59" s="3"/>
      <c r="E59" s="3">
        <v>-676192</v>
      </c>
      <c r="F59" s="3">
        <v>-688325</v>
      </c>
      <c r="G59" s="3">
        <v>-164047</v>
      </c>
      <c r="H59" s="3">
        <v>-331232</v>
      </c>
      <c r="I59" s="3">
        <v>-501607</v>
      </c>
      <c r="J59" s="3">
        <v>-673204</v>
      </c>
      <c r="K59" s="3">
        <v>-139249</v>
      </c>
      <c r="L59" s="3">
        <v>-279644</v>
      </c>
      <c r="M59" s="3">
        <v>-421494</v>
      </c>
      <c r="N59" s="3">
        <v>-564799</v>
      </c>
      <c r="O59" s="3">
        <v>-131744</v>
      </c>
      <c r="P59" s="3">
        <v>-266492</v>
      </c>
      <c r="Q59" s="3">
        <v>-404189</v>
      </c>
      <c r="R59" s="3">
        <v>-545502</v>
      </c>
      <c r="S59" s="3">
        <v>-209755</v>
      </c>
      <c r="T59" s="3">
        <v>-429627</v>
      </c>
      <c r="U59" s="3">
        <v>-659982</v>
      </c>
      <c r="V59" s="3">
        <v>-897205</v>
      </c>
      <c r="W59" s="3">
        <v>-207293</v>
      </c>
      <c r="X59" s="3">
        <v>-420030</v>
      </c>
      <c r="Y59" s="3">
        <v>-635927</v>
      </c>
      <c r="Z59" s="3">
        <v>-854547</v>
      </c>
      <c r="AA59" s="3">
        <v>-244514</v>
      </c>
      <c r="AB59" s="3">
        <v>-492535</v>
      </c>
      <c r="AC59" s="3">
        <v>-745437</v>
      </c>
      <c r="AD59" s="3">
        <v>-1001458</v>
      </c>
      <c r="AE59" s="3">
        <v>-248147</v>
      </c>
      <c r="AF59" s="3">
        <v>-502529</v>
      </c>
      <c r="AG59" s="3">
        <v>-760825</v>
      </c>
      <c r="AH59" s="3">
        <v>-1021148</v>
      </c>
      <c r="AI59" s="3">
        <v>-255097</v>
      </c>
    </row>
    <row r="60" spans="1:35" ht="28.8" x14ac:dyDescent="0.3">
      <c r="A60" s="5" t="s">
        <v>144</v>
      </c>
      <c r="B60" s="3"/>
      <c r="C60" s="3"/>
      <c r="D60" s="3"/>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row>
    <row r="61" spans="1:35" x14ac:dyDescent="0.3">
      <c r="A61" s="1" t="s">
        <v>145</v>
      </c>
      <c r="B61" s="3"/>
      <c r="C61" s="3"/>
      <c r="D61" s="3"/>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c r="AI61" s="3">
        <v>0</v>
      </c>
    </row>
    <row r="62" spans="1:35" x14ac:dyDescent="0.3">
      <c r="A62" s="1" t="s">
        <v>146</v>
      </c>
      <c r="B62" s="3"/>
      <c r="C62" s="3"/>
      <c r="D62" s="3"/>
      <c r="E62" s="3">
        <v>-224847</v>
      </c>
      <c r="F62" s="3">
        <v>-387850</v>
      </c>
      <c r="G62" s="3">
        <v>-5</v>
      </c>
      <c r="H62" s="3">
        <v>-172243</v>
      </c>
      <c r="I62" s="3">
        <v>-248075</v>
      </c>
      <c r="J62" s="3">
        <v>-383803</v>
      </c>
      <c r="K62" s="3">
        <v>-149139</v>
      </c>
      <c r="L62" s="3">
        <v>-201499</v>
      </c>
      <c r="M62" s="3">
        <v>-207258</v>
      </c>
      <c r="N62" s="3">
        <v>-398364</v>
      </c>
      <c r="O62" s="3">
        <v>-170387</v>
      </c>
      <c r="P62" s="3">
        <v>-337285</v>
      </c>
      <c r="Q62" s="3">
        <v>-538762</v>
      </c>
      <c r="R62" s="3">
        <v>-1021021</v>
      </c>
      <c r="S62" s="3">
        <v>-394453</v>
      </c>
      <c r="T62" s="3">
        <v>-1125344</v>
      </c>
      <c r="U62" s="3">
        <v>-1757639</v>
      </c>
      <c r="V62" s="3">
        <v>-2218173</v>
      </c>
      <c r="W62" s="3">
        <v>-251403</v>
      </c>
      <c r="X62" s="3">
        <v>-529271</v>
      </c>
      <c r="Y62" s="3">
        <v>-587766</v>
      </c>
      <c r="Z62" s="3">
        <v>-907458</v>
      </c>
      <c r="AA62" s="3">
        <v>-164456</v>
      </c>
      <c r="AB62" s="3">
        <v>-423285</v>
      </c>
      <c r="AC62" s="3">
        <v>-606375</v>
      </c>
      <c r="AD62" s="3">
        <v>-880310</v>
      </c>
      <c r="AE62" s="3">
        <v>-257945</v>
      </c>
      <c r="AF62" s="3">
        <v>-459456</v>
      </c>
      <c r="AG62" s="3">
        <v>-577619</v>
      </c>
      <c r="AH62" s="3">
        <v>-708588</v>
      </c>
      <c r="AI62" s="3">
        <v>-61511</v>
      </c>
    </row>
    <row r="63" spans="1:35" x14ac:dyDescent="0.3">
      <c r="A63" s="1" t="s">
        <v>147</v>
      </c>
      <c r="B63" s="3"/>
      <c r="C63" s="3"/>
      <c r="D63" s="3"/>
      <c r="E63" s="3">
        <v>2381021</v>
      </c>
      <c r="F63" s="3">
        <v>590926</v>
      </c>
      <c r="G63" s="3">
        <v>-22</v>
      </c>
      <c r="H63" s="3">
        <v>244184</v>
      </c>
      <c r="I63" s="3">
        <v>349256</v>
      </c>
      <c r="J63" s="3">
        <v>2065753</v>
      </c>
      <c r="K63" s="3">
        <v>223529</v>
      </c>
      <c r="L63" s="3">
        <v>300464</v>
      </c>
      <c r="M63" s="3">
        <v>309350</v>
      </c>
      <c r="N63" s="3">
        <v>375629</v>
      </c>
      <c r="O63" s="3">
        <v>249827</v>
      </c>
      <c r="P63" s="3">
        <v>492430</v>
      </c>
      <c r="Q63" s="3">
        <v>783915</v>
      </c>
      <c r="R63" s="3">
        <v>737930</v>
      </c>
      <c r="S63" s="3">
        <v>549126</v>
      </c>
      <c r="T63" s="3">
        <v>1563136</v>
      </c>
      <c r="U63" s="3">
        <v>2437112</v>
      </c>
      <c r="V63" s="3">
        <v>2821564</v>
      </c>
      <c r="W63" s="3">
        <v>343230</v>
      </c>
      <c r="X63" s="3">
        <v>723037</v>
      </c>
      <c r="Y63" s="3">
        <v>802878</v>
      </c>
      <c r="Z63" s="3">
        <v>973509</v>
      </c>
      <c r="AA63" s="3">
        <v>222546</v>
      </c>
      <c r="AB63" s="3">
        <v>572536</v>
      </c>
      <c r="AC63" s="3">
        <v>820252</v>
      </c>
      <c r="AD63" s="3">
        <v>1775386</v>
      </c>
      <c r="AE63" s="3">
        <v>356984</v>
      </c>
      <c r="AF63" s="3">
        <v>635860</v>
      </c>
      <c r="AG63" s="3">
        <v>799300</v>
      </c>
      <c r="AH63" s="3">
        <v>527784</v>
      </c>
      <c r="AI63" s="3">
        <v>83766</v>
      </c>
    </row>
    <row r="64" spans="1:35" s="6" customFormat="1" x14ac:dyDescent="0.3">
      <c r="A64" s="6" t="s">
        <v>148</v>
      </c>
      <c r="B64" s="7">
        <f>+SUM(B57:B63)</f>
        <v>0</v>
      </c>
      <c r="C64" s="7">
        <f t="shared" ref="C64:Y64" si="75">+SUM(C57:C63)</f>
        <v>0</v>
      </c>
      <c r="D64" s="7">
        <f t="shared" si="75"/>
        <v>0</v>
      </c>
      <c r="E64" s="7">
        <f t="shared" si="75"/>
        <v>2442783</v>
      </c>
      <c r="F64" s="7">
        <f t="shared" si="75"/>
        <v>564519</v>
      </c>
      <c r="G64" s="7">
        <f t="shared" si="75"/>
        <v>119681</v>
      </c>
      <c r="H64" s="7">
        <f t="shared" si="75"/>
        <v>329663</v>
      </c>
      <c r="I64" s="7">
        <f t="shared" si="75"/>
        <v>501195</v>
      </c>
      <c r="J64" s="7">
        <f t="shared" si="75"/>
        <v>2224223</v>
      </c>
      <c r="K64" s="7">
        <f t="shared" si="75"/>
        <v>241521</v>
      </c>
      <c r="L64" s="7">
        <f t="shared" si="75"/>
        <v>387981</v>
      </c>
      <c r="M64" s="7">
        <f t="shared" si="75"/>
        <v>545047</v>
      </c>
      <c r="N64" s="7">
        <f t="shared" si="75"/>
        <v>535691</v>
      </c>
      <c r="O64" s="7">
        <f t="shared" si="75"/>
        <v>194560</v>
      </c>
      <c r="P64" s="7">
        <f t="shared" si="75"/>
        <v>391643</v>
      </c>
      <c r="Q64" s="7">
        <f t="shared" si="75"/>
        <v>594634</v>
      </c>
      <c r="R64" s="7">
        <f t="shared" si="75"/>
        <v>197246</v>
      </c>
      <c r="S64" s="7">
        <f t="shared" si="75"/>
        <v>255991</v>
      </c>
      <c r="T64" s="7">
        <f t="shared" si="75"/>
        <v>667739</v>
      </c>
      <c r="U64" s="7">
        <f t="shared" si="75"/>
        <v>1014611</v>
      </c>
      <c r="V64" s="7">
        <f t="shared" si="75"/>
        <v>1075485</v>
      </c>
      <c r="W64" s="7">
        <f t="shared" si="75"/>
        <v>247656</v>
      </c>
      <c r="X64" s="7">
        <f t="shared" si="75"/>
        <v>477925</v>
      </c>
      <c r="Y64" s="7">
        <f t="shared" si="75"/>
        <v>672926</v>
      </c>
      <c r="Z64" s="7">
        <f t="shared" ref="Z64:AA64" si="76">+SUM(Z57:Z63)</f>
        <v>616244</v>
      </c>
      <c r="AA64" s="7">
        <f t="shared" si="76"/>
        <v>10082</v>
      </c>
      <c r="AB64" s="7">
        <f t="shared" ref="AB64:AC64" si="77">+SUM(AB57:AB63)</f>
        <v>49971</v>
      </c>
      <c r="AC64" s="7">
        <f t="shared" si="77"/>
        <v>96356</v>
      </c>
      <c r="AD64" s="7">
        <f t="shared" ref="AD64:AE64" si="78">+SUM(AD57:AD63)</f>
        <v>776545</v>
      </c>
      <c r="AE64" s="7">
        <f t="shared" si="78"/>
        <v>127842</v>
      </c>
      <c r="AF64" s="7">
        <f t="shared" ref="AF64:AG64" si="79">+SUM(AF57:AF63)</f>
        <v>241059</v>
      </c>
      <c r="AG64" s="7">
        <f t="shared" si="79"/>
        <v>295900</v>
      </c>
      <c r="AH64" s="7">
        <f t="shared" ref="AH64:AI64" si="80">+SUM(AH57:AH63)</f>
        <v>-68180</v>
      </c>
      <c r="AI64" s="7">
        <f t="shared" si="80"/>
        <v>104188</v>
      </c>
    </row>
    <row r="65" spans="1:35" x14ac:dyDescent="0.3">
      <c r="A65" s="1" t="s">
        <v>149</v>
      </c>
      <c r="B65" s="3"/>
      <c r="C65" s="3"/>
      <c r="D65" s="3"/>
      <c r="E65" s="3">
        <v>-646782</v>
      </c>
      <c r="F65" s="3">
        <v>-127502</v>
      </c>
      <c r="G65" s="3">
        <v>-32314</v>
      </c>
      <c r="H65" s="3">
        <v>-80721</v>
      </c>
      <c r="I65" s="3">
        <v>-124150</v>
      </c>
      <c r="J65" s="3">
        <v>-584034</v>
      </c>
      <c r="K65" s="3">
        <v>-59529</v>
      </c>
      <c r="L65" s="3">
        <v>-97525</v>
      </c>
      <c r="M65" s="3">
        <v>-139416</v>
      </c>
      <c r="N65" s="3">
        <v>-130692</v>
      </c>
      <c r="O65" s="3">
        <v>-47572</v>
      </c>
      <c r="P65" s="3">
        <v>-97845</v>
      </c>
      <c r="Q65" s="3">
        <v>-148237</v>
      </c>
      <c r="R65" s="3">
        <v>-31943</v>
      </c>
      <c r="S65" s="3">
        <v>-60126</v>
      </c>
      <c r="T65" s="3">
        <v>-156880</v>
      </c>
      <c r="U65" s="3">
        <v>-239859</v>
      </c>
      <c r="V65" s="3">
        <v>-253230</v>
      </c>
      <c r="W65" s="3">
        <v>-62136</v>
      </c>
      <c r="X65" s="3">
        <v>-117417</v>
      </c>
      <c r="Y65" s="3">
        <v>-168895</v>
      </c>
      <c r="Z65" s="3">
        <v>-146898</v>
      </c>
      <c r="AA65" s="3">
        <v>-3836</v>
      </c>
      <c r="AB65" s="3">
        <v>-11145</v>
      </c>
      <c r="AC65" s="3">
        <v>-19630</v>
      </c>
      <c r="AD65" s="3">
        <v>-188344</v>
      </c>
      <c r="AE65" s="3">
        <v>-26351</v>
      </c>
      <c r="AF65" s="3">
        <v>-51265</v>
      </c>
      <c r="AG65" s="3">
        <v>-62931</v>
      </c>
      <c r="AH65" s="3">
        <v>39769</v>
      </c>
      <c r="AI65" s="3">
        <v>-26667</v>
      </c>
    </row>
    <row r="66" spans="1:35" x14ac:dyDescent="0.3">
      <c r="A66" s="1" t="s">
        <v>150</v>
      </c>
      <c r="B66" s="7">
        <f>+SUM(B64:B65)</f>
        <v>0</v>
      </c>
      <c r="C66" s="7">
        <f t="shared" ref="C66:Y66" si="81">+SUM(C64:C65)</f>
        <v>0</v>
      </c>
      <c r="D66" s="7">
        <f t="shared" si="81"/>
        <v>0</v>
      </c>
      <c r="E66" s="7">
        <f t="shared" si="81"/>
        <v>1796001</v>
      </c>
      <c r="F66" s="7">
        <f t="shared" si="81"/>
        <v>437017</v>
      </c>
      <c r="G66" s="7">
        <f t="shared" si="81"/>
        <v>87367</v>
      </c>
      <c r="H66" s="7">
        <f t="shared" si="81"/>
        <v>248942</v>
      </c>
      <c r="I66" s="7">
        <f t="shared" si="81"/>
        <v>377045</v>
      </c>
      <c r="J66" s="7">
        <f t="shared" si="81"/>
        <v>1640189</v>
      </c>
      <c r="K66" s="7">
        <f t="shared" si="81"/>
        <v>181992</v>
      </c>
      <c r="L66" s="7">
        <f t="shared" si="81"/>
        <v>290456</v>
      </c>
      <c r="M66" s="7">
        <f t="shared" si="81"/>
        <v>405631</v>
      </c>
      <c r="N66" s="7">
        <f t="shared" si="81"/>
        <v>404999</v>
      </c>
      <c r="O66" s="7">
        <f t="shared" si="81"/>
        <v>146988</v>
      </c>
      <c r="P66" s="7">
        <f t="shared" si="81"/>
        <v>293798</v>
      </c>
      <c r="Q66" s="7">
        <f t="shared" si="81"/>
        <v>446397</v>
      </c>
      <c r="R66" s="7">
        <f t="shared" si="81"/>
        <v>165303</v>
      </c>
      <c r="S66" s="7">
        <f t="shared" si="81"/>
        <v>195865</v>
      </c>
      <c r="T66" s="7">
        <f t="shared" si="81"/>
        <v>510859</v>
      </c>
      <c r="U66" s="7">
        <f t="shared" si="81"/>
        <v>774752</v>
      </c>
      <c r="V66" s="7">
        <f t="shared" si="81"/>
        <v>822255</v>
      </c>
      <c r="W66" s="7">
        <f t="shared" si="81"/>
        <v>185520</v>
      </c>
      <c r="X66" s="7">
        <f t="shared" si="81"/>
        <v>360508</v>
      </c>
      <c r="Y66" s="7">
        <f t="shared" si="81"/>
        <v>504031</v>
      </c>
      <c r="Z66" s="7">
        <f t="shared" ref="Z66:AA66" si="82">+SUM(Z64:Z65)</f>
        <v>469346</v>
      </c>
      <c r="AA66" s="7">
        <f t="shared" si="82"/>
        <v>6246</v>
      </c>
      <c r="AB66" s="7">
        <f t="shared" ref="AB66:AC66" si="83">+SUM(AB64:AB65)</f>
        <v>38826</v>
      </c>
      <c r="AC66" s="7">
        <f t="shared" si="83"/>
        <v>76726</v>
      </c>
      <c r="AD66" s="7">
        <f t="shared" ref="AD66:AE66" si="84">+SUM(AD64:AD65)</f>
        <v>588201</v>
      </c>
      <c r="AE66" s="7">
        <f t="shared" si="84"/>
        <v>101491</v>
      </c>
      <c r="AF66" s="7">
        <f t="shared" ref="AF66:AG66" si="85">+SUM(AF64:AF65)</f>
        <v>189794</v>
      </c>
      <c r="AG66" s="7">
        <f t="shared" si="85"/>
        <v>232969</v>
      </c>
      <c r="AH66" s="7">
        <f t="shared" ref="AH66:AI66" si="86">+SUM(AH64:AH65)</f>
        <v>-28411</v>
      </c>
      <c r="AI66" s="7">
        <f t="shared" si="86"/>
        <v>77521</v>
      </c>
    </row>
    <row r="67" spans="1:35" x14ac:dyDescent="0.3">
      <c r="A67" s="1" t="s">
        <v>151</v>
      </c>
      <c r="B67" s="3"/>
      <c r="C67" s="3"/>
      <c r="D67" s="3"/>
      <c r="E67" s="3">
        <v>0</v>
      </c>
      <c r="F67" s="3">
        <v>0</v>
      </c>
      <c r="G67" s="3">
        <v>0</v>
      </c>
      <c r="H67" s="3">
        <v>0</v>
      </c>
      <c r="I67" s="3">
        <v>0</v>
      </c>
      <c r="J67" s="3">
        <v>0</v>
      </c>
      <c r="K67" s="3"/>
      <c r="L67" s="3"/>
      <c r="M67" s="3"/>
      <c r="N67" s="3">
        <v>0</v>
      </c>
      <c r="O67" s="3"/>
      <c r="P67" s="3"/>
      <c r="Q67" s="3"/>
      <c r="R67" s="3">
        <v>0</v>
      </c>
      <c r="S67" s="3"/>
      <c r="T67" s="3"/>
      <c r="U67" s="3"/>
      <c r="V67" s="3">
        <v>0</v>
      </c>
      <c r="W67" s="3"/>
      <c r="X67" s="3"/>
      <c r="Y67" s="3"/>
      <c r="Z67" s="3"/>
      <c r="AA67" s="3"/>
      <c r="AB67" s="3"/>
      <c r="AC67" s="3"/>
      <c r="AD67" s="3"/>
      <c r="AE67" s="3"/>
      <c r="AF67" s="3"/>
      <c r="AG67" s="3"/>
      <c r="AH67" s="3"/>
      <c r="AI67" s="3"/>
    </row>
    <row r="68" spans="1:35" s="6" customFormat="1" x14ac:dyDescent="0.3">
      <c r="A68" s="6" t="s">
        <v>152</v>
      </c>
      <c r="B68" s="7">
        <f>+SUM(B66:B67)</f>
        <v>0</v>
      </c>
      <c r="C68" s="7">
        <f>+SUM(C66:C67)</f>
        <v>0</v>
      </c>
      <c r="D68" s="7">
        <f t="shared" ref="D68:Y68" si="87">+SUM(D66:D67)</f>
        <v>0</v>
      </c>
      <c r="E68" s="7">
        <f t="shared" si="87"/>
        <v>1796001</v>
      </c>
      <c r="F68" s="7">
        <f t="shared" si="87"/>
        <v>437017</v>
      </c>
      <c r="G68" s="7">
        <f t="shared" si="87"/>
        <v>87367</v>
      </c>
      <c r="H68" s="7">
        <f t="shared" si="87"/>
        <v>248942</v>
      </c>
      <c r="I68" s="7">
        <f t="shared" si="87"/>
        <v>377045</v>
      </c>
      <c r="J68" s="7">
        <f t="shared" si="87"/>
        <v>1640189</v>
      </c>
      <c r="K68" s="7">
        <f t="shared" si="87"/>
        <v>181992</v>
      </c>
      <c r="L68" s="7">
        <f t="shared" si="87"/>
        <v>290456</v>
      </c>
      <c r="M68" s="7">
        <f t="shared" si="87"/>
        <v>405631</v>
      </c>
      <c r="N68" s="7">
        <f t="shared" si="87"/>
        <v>404999</v>
      </c>
      <c r="O68" s="7">
        <f t="shared" si="87"/>
        <v>146988</v>
      </c>
      <c r="P68" s="7">
        <f t="shared" si="87"/>
        <v>293798</v>
      </c>
      <c r="Q68" s="7">
        <f t="shared" si="87"/>
        <v>446397</v>
      </c>
      <c r="R68" s="7">
        <f t="shared" si="87"/>
        <v>165303</v>
      </c>
      <c r="S68" s="7">
        <f t="shared" si="87"/>
        <v>195865</v>
      </c>
      <c r="T68" s="7">
        <f t="shared" si="87"/>
        <v>510859</v>
      </c>
      <c r="U68" s="7">
        <f t="shared" si="87"/>
        <v>774752</v>
      </c>
      <c r="V68" s="7">
        <f t="shared" si="87"/>
        <v>822255</v>
      </c>
      <c r="W68" s="7">
        <f t="shared" si="87"/>
        <v>185520</v>
      </c>
      <c r="X68" s="7">
        <f t="shared" si="87"/>
        <v>360508</v>
      </c>
      <c r="Y68" s="7">
        <f t="shared" si="87"/>
        <v>504031</v>
      </c>
      <c r="Z68" s="7">
        <f t="shared" ref="Z68:AA68" si="88">+SUM(Z66:Z67)</f>
        <v>469346</v>
      </c>
      <c r="AA68" s="7">
        <f t="shared" si="88"/>
        <v>6246</v>
      </c>
      <c r="AB68" s="7">
        <f t="shared" ref="AB68:AC68" si="89">+SUM(AB66:AB67)</f>
        <v>38826</v>
      </c>
      <c r="AC68" s="7">
        <f t="shared" si="89"/>
        <v>76726</v>
      </c>
      <c r="AD68" s="7">
        <f t="shared" ref="AD68:AE68" si="90">+SUM(AD66:AD67)</f>
        <v>588201</v>
      </c>
      <c r="AE68" s="7">
        <f t="shared" si="90"/>
        <v>101491</v>
      </c>
      <c r="AF68" s="7">
        <f t="shared" ref="AF68:AG68" si="91">+SUM(AF66:AF67)</f>
        <v>189794</v>
      </c>
      <c r="AG68" s="7">
        <f t="shared" si="91"/>
        <v>232969</v>
      </c>
      <c r="AH68" s="7">
        <f t="shared" ref="AH68:AI68" si="92">+SUM(AH66:AH67)</f>
        <v>-28411</v>
      </c>
      <c r="AI68" s="7">
        <f t="shared" si="92"/>
        <v>77521</v>
      </c>
    </row>
    <row r="71" spans="1:35"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
      <c r="A72" s="1" t="s">
        <v>80</v>
      </c>
      <c r="B72" s="3"/>
      <c r="C72" s="3"/>
      <c r="D72" s="3"/>
      <c r="E72" s="3">
        <v>0</v>
      </c>
      <c r="F72" s="3">
        <v>138217</v>
      </c>
      <c r="G72" s="3">
        <v>35977</v>
      </c>
      <c r="H72" s="3">
        <v>68337</v>
      </c>
      <c r="I72" s="3">
        <v>102987</v>
      </c>
      <c r="J72" s="3">
        <v>137918</v>
      </c>
      <c r="K72" s="3">
        <v>36498</v>
      </c>
      <c r="L72" s="3">
        <v>73297</v>
      </c>
      <c r="M72" s="3">
        <v>110056</v>
      </c>
      <c r="N72" s="3">
        <v>147344</v>
      </c>
      <c r="O72" s="3">
        <v>36114</v>
      </c>
      <c r="P72" s="3">
        <v>72669</v>
      </c>
      <c r="Q72" s="3">
        <v>109628</v>
      </c>
      <c r="R72" s="3">
        <v>147554</v>
      </c>
      <c r="S72" s="3">
        <v>38095</v>
      </c>
      <c r="T72" s="3">
        <v>77338</v>
      </c>
      <c r="U72" s="3">
        <v>118130</v>
      </c>
      <c r="V72" s="3">
        <v>160907</v>
      </c>
      <c r="W72" s="3">
        <v>48253</v>
      </c>
      <c r="X72" s="3">
        <v>95961</v>
      </c>
      <c r="Y72" s="3">
        <v>145254</v>
      </c>
      <c r="Z72" s="3">
        <v>195478</v>
      </c>
      <c r="AA72" s="3">
        <v>56728</v>
      </c>
      <c r="AB72" s="3">
        <v>114681</v>
      </c>
      <c r="AC72" s="3">
        <v>173705</v>
      </c>
      <c r="AD72" s="3">
        <v>234571</v>
      </c>
      <c r="AE72" s="3">
        <v>65527</v>
      </c>
      <c r="AF72" s="3">
        <v>131903</v>
      </c>
      <c r="AG72" s="3">
        <v>198578</v>
      </c>
      <c r="AH72" s="3">
        <v>265912</v>
      </c>
      <c r="AI72" s="3">
        <v>66542</v>
      </c>
    </row>
    <row r="73" spans="1:35" x14ac:dyDescent="0.3">
      <c r="A73" s="1" t="s">
        <v>81</v>
      </c>
      <c r="B73" s="3"/>
      <c r="C73" s="3"/>
      <c r="D73" s="3"/>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c r="AI73" s="3">
        <v>0</v>
      </c>
    </row>
    <row r="74" spans="1:35" x14ac:dyDescent="0.3">
      <c r="A74" s="1" t="s">
        <v>82</v>
      </c>
      <c r="B74" s="3"/>
      <c r="C74" s="3"/>
      <c r="D74" s="3"/>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c r="AI74" s="3">
        <v>0</v>
      </c>
    </row>
    <row r="75" spans="1:35" x14ac:dyDescent="0.3">
      <c r="A75" s="1" t="s">
        <v>83</v>
      </c>
      <c r="B75" s="3"/>
      <c r="C75" s="3"/>
      <c r="D75" s="3"/>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c r="AI75" s="3">
        <v>0</v>
      </c>
    </row>
    <row r="76" spans="1:35" x14ac:dyDescent="0.3">
      <c r="A76" s="1" t="s">
        <v>84</v>
      </c>
      <c r="B76" s="3"/>
      <c r="C76" s="3"/>
      <c r="D76" s="3"/>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row>
    <row r="77" spans="1:35" x14ac:dyDescent="0.3">
      <c r="A77" s="1" t="s">
        <v>85</v>
      </c>
      <c r="B77" s="3"/>
      <c r="C77" s="3"/>
      <c r="D77" s="3"/>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row>
    <row r="78" spans="1:35" x14ac:dyDescent="0.3">
      <c r="A78" s="1" t="s">
        <v>86</v>
      </c>
      <c r="B78" s="3"/>
      <c r="C78" s="3"/>
      <c r="D78" s="3"/>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row>
    <row r="79" spans="1:35" x14ac:dyDescent="0.3">
      <c r="A79" s="1" t="s">
        <v>87</v>
      </c>
      <c r="B79" s="3"/>
      <c r="C79" s="3"/>
      <c r="D79" s="3"/>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c r="AI79" s="3">
        <v>0</v>
      </c>
    </row>
    <row r="80" spans="1:35" x14ac:dyDescent="0.3">
      <c r="A80" s="1" t="s">
        <v>88</v>
      </c>
      <c r="B80" s="3"/>
      <c r="C80" s="3"/>
      <c r="D80" s="3"/>
      <c r="E80" s="3">
        <v>0</v>
      </c>
      <c r="F80" s="3">
        <v>19147</v>
      </c>
      <c r="G80" s="3">
        <v>0</v>
      </c>
      <c r="H80" s="3">
        <v>0</v>
      </c>
      <c r="I80" s="3">
        <v>0</v>
      </c>
      <c r="J80" s="3">
        <v>16259</v>
      </c>
      <c r="K80" s="3">
        <v>0</v>
      </c>
      <c r="L80" s="3">
        <v>0</v>
      </c>
      <c r="M80" s="3">
        <v>0</v>
      </c>
      <c r="N80" s="3">
        <v>2016</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c r="AI80" s="3">
        <v>0</v>
      </c>
    </row>
    <row r="81" spans="1:35" x14ac:dyDescent="0.3">
      <c r="A81" s="1" t="s">
        <v>89</v>
      </c>
      <c r="B81" s="3"/>
      <c r="C81" s="3"/>
      <c r="D81" s="3"/>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c r="AI81" s="3">
        <v>0</v>
      </c>
    </row>
    <row r="82" spans="1:35" x14ac:dyDescent="0.3">
      <c r="A82" s="1" t="s">
        <v>153</v>
      </c>
      <c r="B82" s="3"/>
      <c r="C82" s="3"/>
      <c r="D82" s="3"/>
      <c r="E82" s="3">
        <v>0</v>
      </c>
      <c r="F82" s="3">
        <f>36839</f>
        <v>36839</v>
      </c>
      <c r="G82" s="3">
        <v>11234</v>
      </c>
      <c r="H82" s="3">
        <v>12808</v>
      </c>
      <c r="I82" s="3">
        <v>22147</v>
      </c>
      <c r="J82" s="3">
        <v>27990</v>
      </c>
      <c r="K82" s="3">
        <v>5141</v>
      </c>
      <c r="L82" s="3">
        <v>11355</v>
      </c>
      <c r="M82" s="3">
        <v>16978</v>
      </c>
      <c r="N82" s="3">
        <v>21911</v>
      </c>
      <c r="O82" s="3">
        <v>5626</v>
      </c>
      <c r="P82" s="3">
        <v>12793</v>
      </c>
      <c r="Q82" s="3">
        <v>18186</v>
      </c>
      <c r="R82" s="3">
        <v>23798</v>
      </c>
      <c r="S82" s="3">
        <v>8326</v>
      </c>
      <c r="T82" s="3">
        <v>14174</v>
      </c>
      <c r="U82" s="3">
        <v>22569</v>
      </c>
      <c r="V82" s="3">
        <f>31930+-37380+2689+9706</f>
        <v>6945</v>
      </c>
      <c r="W82" s="3">
        <v>6413</v>
      </c>
      <c r="X82" s="3">
        <v>15525</v>
      </c>
      <c r="Y82" s="3">
        <v>21339</v>
      </c>
      <c r="Z82" s="3">
        <f>35574</f>
        <v>35574</v>
      </c>
      <c r="AA82" s="3">
        <v>7698</v>
      </c>
      <c r="AB82" s="3">
        <f>1076+11103+1972+519</f>
        <v>14670</v>
      </c>
      <c r="AC82" s="3">
        <v>24055</v>
      </c>
      <c r="AD82" s="3">
        <v>35850</v>
      </c>
      <c r="AE82" s="3">
        <v>7047</v>
      </c>
      <c r="AF82" s="3">
        <v>14213</v>
      </c>
      <c r="AG82" s="3">
        <v>21088</v>
      </c>
      <c r="AH82" s="3">
        <v>33538</v>
      </c>
      <c r="AI82" s="3">
        <v>7161</v>
      </c>
    </row>
    <row r="83" spans="1:35" x14ac:dyDescent="0.3">
      <c r="A83" s="1" t="s">
        <v>90</v>
      </c>
      <c r="B83" s="3"/>
      <c r="C83" s="3"/>
      <c r="D83" s="3"/>
      <c r="E83" s="3">
        <f>32888+22276+13956+66673</f>
        <v>135793</v>
      </c>
      <c r="F83" s="3">
        <f>2304</f>
        <v>2304</v>
      </c>
      <c r="G83" s="3">
        <f>7026-68</f>
        <v>6958</v>
      </c>
      <c r="H83" s="3">
        <v>16202</v>
      </c>
      <c r="I83" s="3">
        <v>20819</v>
      </c>
      <c r="J83" s="3">
        <f>8049</f>
        <v>8049</v>
      </c>
      <c r="K83" s="3">
        <v>4696</v>
      </c>
      <c r="L83" s="3">
        <v>35630</v>
      </c>
      <c r="M83" s="3">
        <v>60209</v>
      </c>
      <c r="N83" s="3">
        <f>16535+99078+16104</f>
        <v>131717</v>
      </c>
      <c r="O83" s="3">
        <v>18445</v>
      </c>
      <c r="P83" s="3">
        <v>28034</v>
      </c>
      <c r="Q83" s="3">
        <v>48551</v>
      </c>
      <c r="R83" s="3">
        <f>79112-9265+14319+3124</f>
        <v>87290</v>
      </c>
      <c r="S83" s="3">
        <v>9351</v>
      </c>
      <c r="T83" s="3">
        <v>-21300</v>
      </c>
      <c r="U83" s="3">
        <v>-7761</v>
      </c>
      <c r="V83" s="3">
        <f>31031</f>
        <v>31031</v>
      </c>
      <c r="W83" s="3">
        <v>1921</v>
      </c>
      <c r="X83" s="3">
        <v>9894</v>
      </c>
      <c r="Y83" s="3">
        <v>5095</v>
      </c>
      <c r="Z83" s="3">
        <f>60513+1731</f>
        <v>62244</v>
      </c>
      <c r="AA83" s="3">
        <v>8930</v>
      </c>
      <c r="AB83" s="3">
        <f>8256+789+215</f>
        <v>9260</v>
      </c>
      <c r="AC83" s="3">
        <v>10113</v>
      </c>
      <c r="AD83" s="3">
        <f>159969</f>
        <v>159969</v>
      </c>
      <c r="AE83" s="3">
        <v>481</v>
      </c>
      <c r="AF83" s="3">
        <v>46442</v>
      </c>
      <c r="AG83" s="3">
        <v>1557</v>
      </c>
      <c r="AH83" s="3">
        <f>98163+3542</f>
        <v>101705</v>
      </c>
      <c r="AI83" s="3">
        <v>6785</v>
      </c>
    </row>
    <row r="84" spans="1:35" x14ac:dyDescent="0.3">
      <c r="A84" s="1" t="s">
        <v>154</v>
      </c>
      <c r="B84" s="3"/>
      <c r="C84" s="3"/>
      <c r="D84" s="3"/>
      <c r="E84" s="3">
        <v>345131</v>
      </c>
      <c r="F84" s="3">
        <v>109882</v>
      </c>
      <c r="G84" s="3">
        <v>27000</v>
      </c>
      <c r="H84" s="3">
        <v>54277</v>
      </c>
      <c r="I84" s="3">
        <v>81850</v>
      </c>
      <c r="J84" s="3">
        <v>109423</v>
      </c>
      <c r="K84" s="3">
        <v>33900</v>
      </c>
      <c r="L84" s="3">
        <v>68350</v>
      </c>
      <c r="M84" s="3">
        <v>102020</v>
      </c>
      <c r="N84" s="3">
        <v>135412</v>
      </c>
      <c r="O84" s="3">
        <v>34511</v>
      </c>
      <c r="P84" s="3">
        <v>70392</v>
      </c>
      <c r="Q84" s="3">
        <v>108110</v>
      </c>
      <c r="R84" s="3">
        <v>143894</v>
      </c>
      <c r="S84" s="3">
        <v>40101</v>
      </c>
      <c r="T84" s="3">
        <v>78406</v>
      </c>
      <c r="U84" s="3">
        <v>118926</v>
      </c>
      <c r="V84" s="3">
        <v>159446</v>
      </c>
      <c r="W84" s="3">
        <v>47958</v>
      </c>
      <c r="X84" s="3">
        <v>111903</v>
      </c>
      <c r="Y84" s="3">
        <v>144614</v>
      </c>
      <c r="Z84" s="3">
        <v>193312</v>
      </c>
      <c r="AA84" s="3">
        <v>48697</v>
      </c>
      <c r="AB84" s="3">
        <v>99667</v>
      </c>
      <c r="AC84" s="3">
        <v>150379</v>
      </c>
      <c r="AD84" s="3">
        <v>201090</v>
      </c>
      <c r="AE84" s="3">
        <v>50712</v>
      </c>
      <c r="AF84" s="3">
        <v>104196</v>
      </c>
      <c r="AG84" s="3">
        <v>157021</v>
      </c>
      <c r="AH84" s="3">
        <v>209845</v>
      </c>
      <c r="AI84" s="3">
        <v>52825</v>
      </c>
    </row>
    <row r="85" spans="1:35" x14ac:dyDescent="0.3">
      <c r="A85" s="1" t="s">
        <v>155</v>
      </c>
      <c r="B85" s="3"/>
      <c r="C85" s="3"/>
      <c r="D85" s="3"/>
      <c r="E85" s="3">
        <v>0</v>
      </c>
      <c r="F85" s="3">
        <v>0</v>
      </c>
      <c r="G85" s="3">
        <v>68</v>
      </c>
      <c r="H85" s="3">
        <v>138</v>
      </c>
      <c r="I85" s="3">
        <v>209</v>
      </c>
      <c r="J85" s="3">
        <v>0</v>
      </c>
      <c r="K85" s="3">
        <v>3737</v>
      </c>
      <c r="L85" s="3">
        <v>8252</v>
      </c>
      <c r="M85" s="3">
        <v>11923</v>
      </c>
      <c r="N85" s="3">
        <v>0</v>
      </c>
      <c r="O85" s="3">
        <v>4874</v>
      </c>
      <c r="P85" s="3">
        <v>12288</v>
      </c>
      <c r="Q85" s="3">
        <v>18288</v>
      </c>
      <c r="R85" s="3">
        <v>0</v>
      </c>
      <c r="S85" s="3">
        <v>8081</v>
      </c>
      <c r="T85" s="3">
        <v>15325</v>
      </c>
      <c r="U85" s="3">
        <v>23064</v>
      </c>
      <c r="V85" s="3">
        <v>0</v>
      </c>
      <c r="W85" s="3">
        <v>7332</v>
      </c>
      <c r="X85" s="3">
        <v>19401</v>
      </c>
      <c r="Y85" s="3">
        <v>27476</v>
      </c>
      <c r="Z85" s="3">
        <v>0</v>
      </c>
      <c r="AA85" s="3">
        <v>7736</v>
      </c>
      <c r="AB85" s="3">
        <v>15672</v>
      </c>
      <c r="AC85" s="3">
        <v>21478</v>
      </c>
      <c r="AD85" s="3">
        <v>0</v>
      </c>
      <c r="AE85" s="3">
        <v>5449</v>
      </c>
      <c r="AF85" s="3">
        <v>11065</v>
      </c>
      <c r="AG85" s="3">
        <v>16783</v>
      </c>
      <c r="AH85" s="3">
        <v>0</v>
      </c>
      <c r="AI85" s="3">
        <v>0</v>
      </c>
    </row>
    <row r="86" spans="1:35" x14ac:dyDescent="0.3">
      <c r="A86" s="1" t="s">
        <v>91</v>
      </c>
      <c r="B86" s="3"/>
      <c r="C86" s="3"/>
      <c r="D86" s="3"/>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c r="AI86" s="3">
        <v>0</v>
      </c>
    </row>
    <row r="87" spans="1:35" x14ac:dyDescent="0.3">
      <c r="A87" s="1" t="s">
        <v>156</v>
      </c>
      <c r="B87" s="3"/>
      <c r="C87" s="3"/>
      <c r="D87" s="3"/>
      <c r="E87" s="3">
        <v>0</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20470</v>
      </c>
      <c r="AB87" s="3">
        <v>63318</v>
      </c>
      <c r="AC87" s="3">
        <v>94115</v>
      </c>
      <c r="AD87" s="3">
        <v>0</v>
      </c>
      <c r="AE87" s="3">
        <v>24375</v>
      </c>
      <c r="AF87" s="3">
        <v>0</v>
      </c>
      <c r="AG87" s="3">
        <v>61215</v>
      </c>
      <c r="AH87" s="3">
        <v>0</v>
      </c>
      <c r="AI87" s="3">
        <v>13625</v>
      </c>
    </row>
    <row r="88" spans="1:35" x14ac:dyDescent="0.3">
      <c r="A88" s="1" t="s">
        <v>157</v>
      </c>
      <c r="B88" s="3"/>
      <c r="C88" s="3"/>
      <c r="D88" s="3"/>
      <c r="E88" s="3">
        <v>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0</v>
      </c>
      <c r="AH88" s="3">
        <v>0</v>
      </c>
      <c r="AI88" s="3">
        <v>0</v>
      </c>
    </row>
    <row r="89" spans="1:35" x14ac:dyDescent="0.3">
      <c r="A89" s="1" t="s">
        <v>158</v>
      </c>
      <c r="B89" s="3"/>
      <c r="C89" s="3"/>
      <c r="D89" s="3"/>
      <c r="E89" s="3">
        <f>69358+53248</f>
        <v>122606</v>
      </c>
      <c r="F89" s="3">
        <v>22459</v>
      </c>
      <c r="G89" s="3">
        <v>0</v>
      </c>
      <c r="H89" s="3">
        <v>0</v>
      </c>
      <c r="I89" s="3">
        <v>0</v>
      </c>
      <c r="J89" s="3">
        <v>3702</v>
      </c>
      <c r="K89" s="3">
        <v>0</v>
      </c>
      <c r="L89" s="3">
        <v>0</v>
      </c>
      <c r="M89" s="3">
        <v>0</v>
      </c>
      <c r="N89" s="3">
        <v>2880</v>
      </c>
      <c r="O89" s="3">
        <v>0</v>
      </c>
      <c r="P89" s="3">
        <v>150</v>
      </c>
      <c r="Q89" s="3">
        <v>205</v>
      </c>
      <c r="R89" s="3">
        <v>206</v>
      </c>
      <c r="S89" s="3">
        <v>224</v>
      </c>
      <c r="T89" s="3">
        <v>1475</v>
      </c>
      <c r="U89" s="3">
        <v>2525</v>
      </c>
      <c r="V89" s="3">
        <f>26338</f>
        <v>26338</v>
      </c>
      <c r="W89" s="3">
        <v>0</v>
      </c>
      <c r="X89" s="3">
        <v>0</v>
      </c>
      <c r="Y89" s="3">
        <v>0</v>
      </c>
      <c r="Z89" s="3">
        <v>0</v>
      </c>
      <c r="AA89" s="3">
        <v>0</v>
      </c>
      <c r="AB89" s="3">
        <f>10788</f>
        <v>10788</v>
      </c>
      <c r="AC89" s="3">
        <v>11377</v>
      </c>
      <c r="AD89" s="3">
        <v>11377</v>
      </c>
      <c r="AE89" s="3">
        <v>4888</v>
      </c>
      <c r="AF89" s="3">
        <v>4888</v>
      </c>
      <c r="AG89" s="3">
        <v>23243</v>
      </c>
      <c r="AH89" s="3">
        <v>25993</v>
      </c>
      <c r="AI89" s="3">
        <v>457</v>
      </c>
    </row>
    <row r="90" spans="1:35" x14ac:dyDescent="0.3">
      <c r="A90" s="1" t="s">
        <v>159</v>
      </c>
      <c r="B90" s="3"/>
      <c r="C90" s="3"/>
      <c r="D90" s="3"/>
      <c r="E90" s="3">
        <v>9164</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1414</v>
      </c>
      <c r="AA90" s="3">
        <v>0</v>
      </c>
      <c r="AB90" s="3">
        <v>0</v>
      </c>
      <c r="AC90" s="3">
        <v>0</v>
      </c>
      <c r="AD90" s="3">
        <v>0</v>
      </c>
      <c r="AE90" s="3">
        <v>0</v>
      </c>
      <c r="AF90" s="3">
        <v>0</v>
      </c>
      <c r="AG90" s="3">
        <v>0</v>
      </c>
      <c r="AH90" s="3">
        <v>0</v>
      </c>
      <c r="AI90" s="3">
        <v>245</v>
      </c>
    </row>
    <row r="91" spans="1:35"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5" x14ac:dyDescent="0.3">
      <c r="A92" s="6" t="s">
        <v>92</v>
      </c>
      <c r="B92" s="7">
        <f>SUM(B72:B91)</f>
        <v>0</v>
      </c>
      <c r="C92" s="7">
        <f t="shared" ref="C92:Y92" si="93">SUM(C72:C91)</f>
        <v>0</v>
      </c>
      <c r="D92" s="7">
        <f t="shared" si="93"/>
        <v>0</v>
      </c>
      <c r="E92" s="7">
        <f t="shared" si="93"/>
        <v>612694</v>
      </c>
      <c r="F92" s="7">
        <f t="shared" si="93"/>
        <v>328848</v>
      </c>
      <c r="G92" s="7">
        <f t="shared" si="93"/>
        <v>81237</v>
      </c>
      <c r="H92" s="7">
        <f t="shared" si="93"/>
        <v>151762</v>
      </c>
      <c r="I92" s="7">
        <f t="shared" si="93"/>
        <v>228012</v>
      </c>
      <c r="J92" s="7">
        <f t="shared" si="93"/>
        <v>303341</v>
      </c>
      <c r="K92" s="7">
        <f t="shared" si="93"/>
        <v>83972</v>
      </c>
      <c r="L92" s="7">
        <f t="shared" si="93"/>
        <v>196884</v>
      </c>
      <c r="M92" s="7">
        <f t="shared" si="93"/>
        <v>301186</v>
      </c>
      <c r="N92" s="7">
        <f t="shared" si="93"/>
        <v>441280</v>
      </c>
      <c r="O92" s="7">
        <f t="shared" si="93"/>
        <v>99570</v>
      </c>
      <c r="P92" s="7">
        <f t="shared" si="93"/>
        <v>196326</v>
      </c>
      <c r="Q92" s="7">
        <f t="shared" si="93"/>
        <v>302968</v>
      </c>
      <c r="R92" s="7">
        <f t="shared" si="93"/>
        <v>402742</v>
      </c>
      <c r="S92" s="7">
        <f t="shared" si="93"/>
        <v>104178</v>
      </c>
      <c r="T92" s="7">
        <f t="shared" si="93"/>
        <v>165418</v>
      </c>
      <c r="U92" s="7">
        <f t="shared" si="93"/>
        <v>277453</v>
      </c>
      <c r="V92" s="7">
        <f t="shared" si="93"/>
        <v>384667</v>
      </c>
      <c r="W92" s="7">
        <f t="shared" si="93"/>
        <v>111877</v>
      </c>
      <c r="X92" s="7">
        <f t="shared" si="93"/>
        <v>252684</v>
      </c>
      <c r="Y92" s="7">
        <f t="shared" si="93"/>
        <v>343778</v>
      </c>
      <c r="Z92" s="7">
        <f t="shared" ref="Z92:AA92" si="94">SUM(Z72:Z91)</f>
        <v>488022</v>
      </c>
      <c r="AA92" s="7">
        <f t="shared" si="94"/>
        <v>150259</v>
      </c>
      <c r="AB92" s="7">
        <f t="shared" ref="AB92:AC92" si="95">SUM(AB72:AB91)</f>
        <v>328056</v>
      </c>
      <c r="AC92" s="7">
        <f t="shared" si="95"/>
        <v>485222</v>
      </c>
      <c r="AD92" s="7">
        <f t="shared" ref="AD92:AE92" si="96">SUM(AD72:AD91)</f>
        <v>642857</v>
      </c>
      <c r="AE92" s="7">
        <f t="shared" si="96"/>
        <v>158479</v>
      </c>
      <c r="AF92" s="7">
        <f t="shared" ref="AF92:AG92" si="97">SUM(AF72:AF91)</f>
        <v>312707</v>
      </c>
      <c r="AG92" s="7">
        <f t="shared" si="97"/>
        <v>479485</v>
      </c>
      <c r="AH92" s="7">
        <f t="shared" ref="AH92:AI92" si="98">SUM(AH72:AH91)</f>
        <v>636993</v>
      </c>
      <c r="AI92" s="7">
        <f t="shared" si="98"/>
        <v>147640</v>
      </c>
    </row>
    <row r="94" spans="1:35"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5" x14ac:dyDescent="0.3">
      <c r="A95" s="1" t="s">
        <v>94</v>
      </c>
      <c r="B95" s="3"/>
      <c r="C95" s="3"/>
      <c r="D95" s="3"/>
      <c r="E95" s="3">
        <v>675894</v>
      </c>
      <c r="F95" s="3">
        <v>686228</v>
      </c>
      <c r="G95" s="3">
        <v>164035</v>
      </c>
      <c r="H95" s="3">
        <v>331214</v>
      </c>
      <c r="I95" s="3">
        <v>501580</v>
      </c>
      <c r="J95" s="3">
        <v>673171</v>
      </c>
      <c r="K95" s="3">
        <v>139241</v>
      </c>
      <c r="L95" s="3">
        <v>279630</v>
      </c>
      <c r="M95" s="3">
        <v>421480</v>
      </c>
      <c r="N95" s="3">
        <v>564785</v>
      </c>
      <c r="O95" s="3">
        <v>131746</v>
      </c>
      <c r="P95" s="3">
        <v>266492</v>
      </c>
      <c r="Q95" s="3">
        <v>404189</v>
      </c>
      <c r="R95" s="3">
        <v>545502</v>
      </c>
      <c r="S95" s="3">
        <v>209755</v>
      </c>
      <c r="T95" s="3">
        <v>429627</v>
      </c>
      <c r="U95" s="3">
        <v>659982</v>
      </c>
      <c r="V95" s="3">
        <v>897205</v>
      </c>
      <c r="W95" s="3">
        <v>207293</v>
      </c>
      <c r="X95" s="3">
        <v>420030</v>
      </c>
      <c r="Y95" s="3">
        <v>635927</v>
      </c>
      <c r="Z95" s="3">
        <v>854547</v>
      </c>
      <c r="AA95" s="3">
        <v>244514</v>
      </c>
      <c r="AB95" s="3">
        <v>492534</v>
      </c>
      <c r="AC95" s="3">
        <v>745437</v>
      </c>
      <c r="AD95" s="3">
        <v>1001458</v>
      </c>
      <c r="AE95" s="3">
        <v>248147</v>
      </c>
      <c r="AF95" s="3">
        <v>502530</v>
      </c>
      <c r="AG95" s="3">
        <v>760824</v>
      </c>
      <c r="AH95" s="3">
        <v>1021148</v>
      </c>
      <c r="AI95" s="3">
        <v>255098</v>
      </c>
    </row>
    <row r="96" spans="1:35" x14ac:dyDescent="0.3">
      <c r="A96" s="1" t="s">
        <v>167</v>
      </c>
      <c r="B96" s="3"/>
      <c r="C96" s="3"/>
      <c r="D96" s="3"/>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0</v>
      </c>
      <c r="AI96" s="3">
        <v>0</v>
      </c>
    </row>
    <row r="97" spans="1:35" x14ac:dyDescent="0.3">
      <c r="A97" s="1" t="s">
        <v>96</v>
      </c>
      <c r="B97" s="3"/>
      <c r="C97" s="3"/>
      <c r="D97" s="3"/>
      <c r="E97" s="3">
        <v>0</v>
      </c>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0</v>
      </c>
      <c r="AI97" s="3">
        <v>0</v>
      </c>
    </row>
    <row r="98" spans="1:35" x14ac:dyDescent="0.3">
      <c r="A98" s="1" t="s">
        <v>97</v>
      </c>
      <c r="B98" s="3"/>
      <c r="C98" s="3"/>
      <c r="D98" s="3"/>
      <c r="E98" s="3">
        <v>298</v>
      </c>
      <c r="F98" s="3">
        <v>2097</v>
      </c>
      <c r="G98" s="3">
        <v>12</v>
      </c>
      <c r="H98" s="3">
        <v>19</v>
      </c>
      <c r="I98" s="3">
        <v>27</v>
      </c>
      <c r="J98" s="3">
        <v>33</v>
      </c>
      <c r="K98" s="3">
        <v>8</v>
      </c>
      <c r="L98" s="3">
        <v>14</v>
      </c>
      <c r="M98" s="3">
        <v>14</v>
      </c>
      <c r="N98" s="3">
        <v>14</v>
      </c>
      <c r="O98" s="3">
        <v>-2</v>
      </c>
      <c r="P98" s="3">
        <v>0</v>
      </c>
      <c r="Q98" s="3">
        <v>0</v>
      </c>
      <c r="R98" s="3">
        <v>0</v>
      </c>
      <c r="S98" s="3">
        <v>0</v>
      </c>
      <c r="T98" s="3">
        <v>0</v>
      </c>
      <c r="U98" s="3">
        <v>0</v>
      </c>
      <c r="V98" s="3">
        <v>0</v>
      </c>
      <c r="W98" s="3">
        <v>0</v>
      </c>
      <c r="X98" s="3">
        <v>0</v>
      </c>
      <c r="Y98" s="3">
        <v>0</v>
      </c>
      <c r="Z98" s="3">
        <v>0</v>
      </c>
      <c r="AA98" s="3">
        <v>0</v>
      </c>
      <c r="AB98" s="3">
        <v>0</v>
      </c>
      <c r="AC98" s="3">
        <v>0</v>
      </c>
      <c r="AD98" s="3">
        <v>0</v>
      </c>
      <c r="AE98" s="3">
        <v>0</v>
      </c>
      <c r="AF98" s="3">
        <v>0</v>
      </c>
      <c r="AG98" s="3">
        <v>0</v>
      </c>
      <c r="AH98" s="3">
        <v>0</v>
      </c>
      <c r="AI98" s="3">
        <v>0</v>
      </c>
    </row>
    <row r="99" spans="1:35" x14ac:dyDescent="0.3">
      <c r="A99" s="6" t="s">
        <v>92</v>
      </c>
      <c r="B99" s="7">
        <f>SUM(B95:B98)</f>
        <v>0</v>
      </c>
      <c r="C99" s="7">
        <f>SUM(C95:C98)</f>
        <v>0</v>
      </c>
      <c r="D99" s="7">
        <f t="shared" ref="D99:F99" si="99">SUM(D95:D98)</f>
        <v>0</v>
      </c>
      <c r="E99" s="7">
        <f t="shared" si="99"/>
        <v>676192</v>
      </c>
      <c r="F99" s="7">
        <f t="shared" si="99"/>
        <v>688325</v>
      </c>
      <c r="G99" s="7">
        <f t="shared" ref="G99:Z99" si="100">SUM(G95:G98)</f>
        <v>164047</v>
      </c>
      <c r="H99" s="7">
        <f t="shared" si="100"/>
        <v>331233</v>
      </c>
      <c r="I99" s="7">
        <f t="shared" si="100"/>
        <v>501607</v>
      </c>
      <c r="J99" s="7">
        <f t="shared" si="100"/>
        <v>673204</v>
      </c>
      <c r="K99" s="7">
        <f t="shared" si="100"/>
        <v>139249</v>
      </c>
      <c r="L99" s="7">
        <f t="shared" si="100"/>
        <v>279644</v>
      </c>
      <c r="M99" s="7">
        <f t="shared" si="100"/>
        <v>421494</v>
      </c>
      <c r="N99" s="7">
        <f t="shared" si="100"/>
        <v>564799</v>
      </c>
      <c r="O99" s="7">
        <f t="shared" si="100"/>
        <v>131744</v>
      </c>
      <c r="P99" s="7">
        <f t="shared" si="100"/>
        <v>266492</v>
      </c>
      <c r="Q99" s="7">
        <f t="shared" si="100"/>
        <v>404189</v>
      </c>
      <c r="R99" s="7">
        <f t="shared" si="100"/>
        <v>545502</v>
      </c>
      <c r="S99" s="7">
        <f t="shared" si="100"/>
        <v>209755</v>
      </c>
      <c r="T99" s="7">
        <f t="shared" si="100"/>
        <v>429627</v>
      </c>
      <c r="U99" s="7">
        <f t="shared" si="100"/>
        <v>659982</v>
      </c>
      <c r="V99" s="7">
        <f t="shared" si="100"/>
        <v>897205</v>
      </c>
      <c r="W99" s="7">
        <f t="shared" si="100"/>
        <v>207293</v>
      </c>
      <c r="X99" s="7">
        <f t="shared" si="100"/>
        <v>420030</v>
      </c>
      <c r="Y99" s="7">
        <f t="shared" si="100"/>
        <v>635927</v>
      </c>
      <c r="Z99" s="7">
        <f t="shared" si="100"/>
        <v>854547</v>
      </c>
      <c r="AA99" s="7">
        <f t="shared" ref="AA99:AB99" si="101">SUM(AA95:AA98)</f>
        <v>244514</v>
      </c>
      <c r="AB99" s="7">
        <f t="shared" si="101"/>
        <v>492534</v>
      </c>
      <c r="AC99" s="7">
        <f t="shared" ref="AC99:AD99" si="102">SUM(AC95:AC98)</f>
        <v>745437</v>
      </c>
      <c r="AD99" s="7">
        <f t="shared" si="102"/>
        <v>1001458</v>
      </c>
      <c r="AE99" s="7">
        <f t="shared" ref="AE99:AF99" si="103">SUM(AE95:AE98)</f>
        <v>248147</v>
      </c>
      <c r="AF99" s="7">
        <f t="shared" si="103"/>
        <v>502530</v>
      </c>
      <c r="AG99" s="7">
        <f t="shared" ref="AG99:AH99" si="104">SUM(AG95:AG98)</f>
        <v>760824</v>
      </c>
      <c r="AH99" s="7">
        <f t="shared" si="104"/>
        <v>1021148</v>
      </c>
      <c r="AI99" s="7">
        <f t="shared" ref="AI99" si="105">SUM(AI95:AI98)</f>
        <v>255098</v>
      </c>
    </row>
    <row r="101" spans="1:35" x14ac:dyDescent="0.3">
      <c r="A101" s="1" t="s">
        <v>98</v>
      </c>
      <c r="B101" s="3">
        <f>+B92+B99+B59+B51+B54</f>
        <v>0</v>
      </c>
      <c r="C101" s="3">
        <f t="shared" ref="C101:F101" si="106">+C92+C99+C59+C51+C54</f>
        <v>0</v>
      </c>
      <c r="D101" s="3">
        <f t="shared" si="106"/>
        <v>0</v>
      </c>
      <c r="E101" s="3">
        <f t="shared" si="106"/>
        <v>0</v>
      </c>
      <c r="F101" s="3">
        <f t="shared" si="106"/>
        <v>0</v>
      </c>
      <c r="G101" s="3">
        <f t="shared" ref="G101:Z101" si="107">+G92+G99+G59+G51+G54</f>
        <v>0</v>
      </c>
      <c r="H101" s="3">
        <f t="shared" si="107"/>
        <v>0</v>
      </c>
      <c r="I101" s="3">
        <f t="shared" si="107"/>
        <v>0</v>
      </c>
      <c r="J101" s="3">
        <f t="shared" si="107"/>
        <v>0</v>
      </c>
      <c r="K101" s="3">
        <f t="shared" si="107"/>
        <v>0</v>
      </c>
      <c r="L101" s="3">
        <f t="shared" si="107"/>
        <v>0</v>
      </c>
      <c r="M101" s="3">
        <f t="shared" si="107"/>
        <v>0</v>
      </c>
      <c r="N101" s="3">
        <f t="shared" si="107"/>
        <v>0</v>
      </c>
      <c r="O101" s="3">
        <f t="shared" si="107"/>
        <v>0</v>
      </c>
      <c r="P101" s="3">
        <f t="shared" si="107"/>
        <v>0</v>
      </c>
      <c r="Q101" s="3">
        <f t="shared" si="107"/>
        <v>0</v>
      </c>
      <c r="R101" s="3">
        <f t="shared" si="107"/>
        <v>0</v>
      </c>
      <c r="S101" s="3">
        <f t="shared" si="107"/>
        <v>0</v>
      </c>
      <c r="T101" s="3">
        <f t="shared" si="107"/>
        <v>0</v>
      </c>
      <c r="U101" s="3">
        <f t="shared" si="107"/>
        <v>0</v>
      </c>
      <c r="V101" s="3">
        <f t="shared" si="107"/>
        <v>0</v>
      </c>
      <c r="W101" s="3">
        <f t="shared" si="107"/>
        <v>0</v>
      </c>
      <c r="X101" s="3">
        <f t="shared" si="107"/>
        <v>0</v>
      </c>
      <c r="Y101" s="3">
        <f t="shared" si="107"/>
        <v>0</v>
      </c>
      <c r="Z101" s="3">
        <f t="shared" si="107"/>
        <v>0</v>
      </c>
      <c r="AA101" s="3">
        <f t="shared" ref="AA101:AB101" si="108">+AA92+AA99+AA59+AA51+AA54</f>
        <v>0</v>
      </c>
      <c r="AB101" s="3">
        <f t="shared" si="108"/>
        <v>0</v>
      </c>
      <c r="AC101" s="3">
        <f t="shared" ref="AC101:AD101" si="109">+AC92+AC99+AC59+AC51+AC54</f>
        <v>0</v>
      </c>
      <c r="AD101" s="3">
        <f t="shared" si="109"/>
        <v>0</v>
      </c>
      <c r="AE101" s="3">
        <f t="shared" ref="AE101:AF101" si="110">+AE92+AE99+AE59+AE51+AE54</f>
        <v>0</v>
      </c>
      <c r="AF101" s="3">
        <f t="shared" si="110"/>
        <v>0</v>
      </c>
      <c r="AG101" s="3">
        <f t="shared" ref="AG101:AH101" si="111">+AG92+AG99+AG59+AG51+AG54</f>
        <v>0</v>
      </c>
      <c r="AH101" s="3">
        <f t="shared" si="111"/>
        <v>0</v>
      </c>
      <c r="AI101" s="3">
        <f t="shared" ref="AI101" si="112">+AI92+AI99+AI59+AI51+AI54</f>
        <v>0</v>
      </c>
    </row>
    <row r="102" spans="1:35" s="8" customFormat="1" x14ac:dyDescent="0.3">
      <c r="A102" s="8" t="s">
        <v>160</v>
      </c>
      <c r="B102" s="22">
        <v>0</v>
      </c>
      <c r="C102" s="22">
        <v>0</v>
      </c>
      <c r="D102" s="22">
        <v>0</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c r="AI102" s="22">
        <v>1</v>
      </c>
    </row>
    <row r="103" spans="1:35" x14ac:dyDescent="0.3">
      <c r="A103" s="1" t="s">
        <v>99</v>
      </c>
    </row>
    <row r="104" spans="1:35" x14ac:dyDescent="0.3">
      <c r="A104" s="1" t="s">
        <v>174</v>
      </c>
    </row>
    <row r="105" spans="1:35" x14ac:dyDescent="0.3">
      <c r="A105" s="1" t="s">
        <v>175</v>
      </c>
    </row>
  </sheetData>
  <pageMargins left="0.7" right="0.7" top="0.75" bottom="0.75" header="0.3" footer="0.3"/>
  <pageSetup scale="32"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DE09D-75E8-480D-B89E-9EB5CB404C63}">
  <sheetPr>
    <pageSetUpPr fitToPage="1"/>
  </sheetPr>
  <dimension ref="A1:AI105"/>
  <sheetViews>
    <sheetView workbookViewId="0">
      <pane xSplit="1" ySplit="1" topLeftCell="AA74" activePane="bottomRight" state="frozen"/>
      <selection pane="topRight" activeCell="E93" sqref="E93"/>
      <selection pane="bottomLeft" activeCell="E93" sqref="E93"/>
      <selection pane="bottomRight" activeCell="AD99" sqref="AD99"/>
    </sheetView>
  </sheetViews>
  <sheetFormatPr baseColWidth="10" defaultColWidth="11.44140625" defaultRowHeight="14.4" x14ac:dyDescent="0.3"/>
  <cols>
    <col min="1" max="1" width="56.88671875" style="1" customWidth="1"/>
    <col min="2" max="35" width="12.88671875" style="1" customWidth="1"/>
    <col min="36" max="16384" width="11.44140625" style="1"/>
  </cols>
  <sheetData>
    <row r="1" spans="1:35"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+Bucarest!AC1</f>
        <v>45565</v>
      </c>
      <c r="AD1" s="2">
        <f>+Bucarest!AD1</f>
        <v>45657</v>
      </c>
      <c r="AE1" s="2">
        <f>+Bucarest!AE1</f>
        <v>45747</v>
      </c>
      <c r="AF1" s="2">
        <f>+Bucarest!AF1</f>
        <v>45838</v>
      </c>
      <c r="AG1" s="2">
        <f>+Bucarest!AG1</f>
        <v>45930</v>
      </c>
      <c r="AH1" s="2">
        <f>+Bucarest!AH1</f>
        <v>46022</v>
      </c>
      <c r="AI1" s="2">
        <f>+Bucarest!AI1</f>
        <v>46112</v>
      </c>
    </row>
    <row r="2" spans="1:35" s="6" customFormat="1" x14ac:dyDescent="0.3">
      <c r="A2" s="6" t="s">
        <v>275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x14ac:dyDescent="0.3">
      <c r="A5" s="1" t="s">
        <v>11</v>
      </c>
      <c r="B5" s="3"/>
      <c r="C5" s="3"/>
      <c r="D5" s="3"/>
      <c r="E5" s="3"/>
      <c r="F5" s="3">
        <v>23131</v>
      </c>
      <c r="G5" s="3">
        <v>467491</v>
      </c>
      <c r="H5" s="3">
        <v>506539</v>
      </c>
      <c r="I5" s="3">
        <v>397157</v>
      </c>
      <c r="J5" s="3">
        <v>551949</v>
      </c>
      <c r="K5" s="3">
        <v>516047</v>
      </c>
      <c r="L5" s="3">
        <v>685964</v>
      </c>
      <c r="M5" s="3">
        <v>373471</v>
      </c>
      <c r="N5" s="3">
        <v>454270</v>
      </c>
      <c r="O5" s="3">
        <v>404332</v>
      </c>
      <c r="P5" s="3">
        <v>617565</v>
      </c>
      <c r="Q5" s="3">
        <v>661749</v>
      </c>
      <c r="R5" s="3">
        <v>969922</v>
      </c>
      <c r="S5" s="3">
        <v>210874</v>
      </c>
      <c r="T5" s="3">
        <v>301193</v>
      </c>
      <c r="U5" s="3">
        <v>233828</v>
      </c>
      <c r="V5" s="3">
        <v>327329</v>
      </c>
      <c r="W5" s="3">
        <v>107760</v>
      </c>
      <c r="X5" s="3">
        <v>144004</v>
      </c>
      <c r="Y5" s="3">
        <v>429024</v>
      </c>
      <c r="Z5" s="3">
        <v>1579</v>
      </c>
      <c r="AA5" s="3">
        <v>271185</v>
      </c>
      <c r="AB5" s="3">
        <v>11104</v>
      </c>
      <c r="AC5" s="3">
        <v>225259</v>
      </c>
      <c r="AD5" s="3">
        <v>103937</v>
      </c>
      <c r="AE5" s="3">
        <v>48665</v>
      </c>
      <c r="AF5" s="3">
        <v>176825</v>
      </c>
      <c r="AG5" s="3">
        <v>6536</v>
      </c>
      <c r="AH5" s="3">
        <v>411214</v>
      </c>
      <c r="AI5" s="3">
        <v>324476</v>
      </c>
    </row>
    <row r="6" spans="1:35" x14ac:dyDescent="0.3">
      <c r="A6" s="1" t="s">
        <v>101</v>
      </c>
      <c r="B6" s="3"/>
      <c r="C6" s="3"/>
      <c r="D6" s="3"/>
      <c r="E6" s="3"/>
      <c r="F6" s="3">
        <v>0</v>
      </c>
      <c r="G6" s="3">
        <v>0</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row>
    <row r="7" spans="1:35" x14ac:dyDescent="0.3">
      <c r="A7" s="1" t="s">
        <v>102</v>
      </c>
      <c r="B7" s="3"/>
      <c r="C7" s="3"/>
      <c r="D7" s="3"/>
      <c r="E7" s="3"/>
      <c r="F7" s="3">
        <v>0</v>
      </c>
      <c r="G7" s="3">
        <v>0</v>
      </c>
      <c r="H7" s="3">
        <v>3677</v>
      </c>
      <c r="I7" s="3">
        <v>2056</v>
      </c>
      <c r="J7" s="3">
        <v>109383</v>
      </c>
      <c r="K7" s="3">
        <v>38062</v>
      </c>
      <c r="L7" s="3">
        <v>9169</v>
      </c>
      <c r="M7" s="3">
        <v>3905</v>
      </c>
      <c r="N7" s="3">
        <v>11131</v>
      </c>
      <c r="O7" s="3">
        <v>15152</v>
      </c>
      <c r="P7" s="3">
        <v>6396</v>
      </c>
      <c r="Q7" s="3">
        <v>26155</v>
      </c>
      <c r="R7" s="3">
        <v>38965</v>
      </c>
      <c r="S7" s="3">
        <v>30443</v>
      </c>
      <c r="T7" s="3">
        <v>21785</v>
      </c>
      <c r="U7" s="3">
        <v>12362</v>
      </c>
      <c r="V7" s="3">
        <v>1742</v>
      </c>
      <c r="W7" s="3">
        <v>47617</v>
      </c>
      <c r="X7" s="3">
        <v>38992</v>
      </c>
      <c r="Y7" s="3">
        <v>29897</v>
      </c>
      <c r="Z7" s="3">
        <v>20552</v>
      </c>
      <c r="AA7" s="3">
        <v>11150</v>
      </c>
      <c r="AB7" s="3">
        <v>1750</v>
      </c>
      <c r="AC7" s="3">
        <v>36475</v>
      </c>
      <c r="AD7" s="3">
        <v>29735</v>
      </c>
      <c r="AE7" s="3">
        <v>23192</v>
      </c>
      <c r="AF7" s="3">
        <v>16283</v>
      </c>
      <c r="AG7" s="3">
        <v>9121</v>
      </c>
      <c r="AH7" s="3">
        <v>3023</v>
      </c>
      <c r="AI7" s="3">
        <v>27658</v>
      </c>
    </row>
    <row r="8" spans="1:35" x14ac:dyDescent="0.3">
      <c r="A8" s="1" t="s">
        <v>103</v>
      </c>
      <c r="B8" s="3"/>
      <c r="C8" s="3"/>
      <c r="D8" s="3"/>
      <c r="E8" s="3"/>
      <c r="F8" s="3">
        <v>20804</v>
      </c>
      <c r="G8" s="3">
        <v>20803</v>
      </c>
      <c r="H8" s="3">
        <v>20804</v>
      </c>
      <c r="I8" s="3">
        <v>20804</v>
      </c>
      <c r="J8" s="3">
        <v>0</v>
      </c>
      <c r="K8" s="3">
        <v>0</v>
      </c>
      <c r="L8" s="3">
        <v>98704</v>
      </c>
      <c r="M8" s="3">
        <v>131620</v>
      </c>
      <c r="N8" s="3">
        <v>135067</v>
      </c>
      <c r="O8" s="3">
        <v>102238</v>
      </c>
      <c r="P8" s="3">
        <v>34909</v>
      </c>
      <c r="Q8" s="3">
        <v>2018</v>
      </c>
      <c r="R8" s="3">
        <v>1871</v>
      </c>
      <c r="S8" s="3">
        <v>0</v>
      </c>
      <c r="T8" s="3">
        <v>2395</v>
      </c>
      <c r="U8" s="3">
        <v>0</v>
      </c>
      <c r="V8" s="3">
        <v>0</v>
      </c>
      <c r="W8" s="3">
        <v>0</v>
      </c>
      <c r="X8" s="3">
        <v>0</v>
      </c>
      <c r="Y8" s="3">
        <v>0</v>
      </c>
      <c r="Z8" s="3">
        <v>0</v>
      </c>
      <c r="AA8" s="3">
        <v>0</v>
      </c>
      <c r="AB8" s="3">
        <v>0</v>
      </c>
      <c r="AC8" s="3">
        <v>10510</v>
      </c>
      <c r="AD8" s="3">
        <v>7196</v>
      </c>
      <c r="AE8" s="3">
        <v>10513</v>
      </c>
      <c r="AF8" s="3">
        <v>0</v>
      </c>
      <c r="AG8" s="3">
        <v>0</v>
      </c>
      <c r="AH8" s="3">
        <v>3651</v>
      </c>
      <c r="AI8" s="3">
        <v>14130</v>
      </c>
    </row>
    <row r="9" spans="1:35" x14ac:dyDescent="0.3">
      <c r="A9" s="1" t="s">
        <v>104</v>
      </c>
      <c r="B9" s="3"/>
      <c r="C9" s="3"/>
      <c r="D9" s="3"/>
      <c r="E9" s="3"/>
      <c r="F9" s="3">
        <v>350000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row>
    <row r="10" spans="1:35" x14ac:dyDescent="0.3">
      <c r="A10" s="1" t="s">
        <v>105</v>
      </c>
      <c r="B10" s="3"/>
      <c r="C10" s="3"/>
      <c r="D10" s="3"/>
      <c r="E10" s="3"/>
      <c r="F10" s="3">
        <v>8456</v>
      </c>
      <c r="G10" s="3">
        <v>12390</v>
      </c>
      <c r="H10" s="3">
        <v>14009</v>
      </c>
      <c r="I10" s="3">
        <v>22526</v>
      </c>
      <c r="J10" s="3">
        <v>30927</v>
      </c>
      <c r="K10" s="3">
        <v>39570</v>
      </c>
      <c r="L10" s="3">
        <v>5751</v>
      </c>
      <c r="M10" s="3">
        <v>5751</v>
      </c>
      <c r="N10" s="3">
        <v>5751</v>
      </c>
      <c r="O10" s="3">
        <v>5751</v>
      </c>
      <c r="P10" s="3">
        <v>0</v>
      </c>
      <c r="Q10" s="3">
        <v>0</v>
      </c>
      <c r="R10" s="3">
        <v>0</v>
      </c>
      <c r="S10" s="3">
        <v>0</v>
      </c>
      <c r="T10" s="3">
        <v>0</v>
      </c>
      <c r="U10" s="3">
        <v>0</v>
      </c>
      <c r="V10" s="3">
        <v>0</v>
      </c>
      <c r="W10" s="3">
        <v>0</v>
      </c>
      <c r="X10" s="3">
        <v>0</v>
      </c>
      <c r="Y10" s="3">
        <v>0</v>
      </c>
      <c r="Z10" s="3">
        <v>0</v>
      </c>
      <c r="AA10" s="3">
        <v>0</v>
      </c>
      <c r="AB10" s="3">
        <v>0</v>
      </c>
      <c r="AC10" s="3">
        <v>0</v>
      </c>
      <c r="AD10" s="3">
        <v>0</v>
      </c>
      <c r="AE10" s="3">
        <v>189</v>
      </c>
      <c r="AF10" s="3">
        <v>103</v>
      </c>
      <c r="AG10" s="3">
        <v>0</v>
      </c>
      <c r="AH10" s="3">
        <v>0</v>
      </c>
      <c r="AI10" s="3">
        <v>0</v>
      </c>
    </row>
    <row r="11" spans="1:35" x14ac:dyDescent="0.3">
      <c r="A11" s="1" t="s">
        <v>106</v>
      </c>
      <c r="B11" s="3"/>
      <c r="C11" s="3"/>
      <c r="D11" s="3"/>
      <c r="E11" s="3"/>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row>
    <row r="12" spans="1:35" s="6" customFormat="1" x14ac:dyDescent="0.3">
      <c r="A12" s="6" t="s">
        <v>15</v>
      </c>
      <c r="B12" s="7">
        <f>+SUM(B2:B11)</f>
        <v>0</v>
      </c>
      <c r="C12" s="7">
        <f t="shared" ref="C12:R12" si="0">+SUM(C2:C11)</f>
        <v>0</v>
      </c>
      <c r="D12" s="7">
        <f t="shared" si="0"/>
        <v>0</v>
      </c>
      <c r="E12" s="7">
        <f t="shared" si="0"/>
        <v>0</v>
      </c>
      <c r="F12" s="7">
        <f t="shared" si="0"/>
        <v>402391</v>
      </c>
      <c r="G12" s="7">
        <f t="shared" si="0"/>
        <v>500684</v>
      </c>
      <c r="H12" s="7">
        <f t="shared" si="0"/>
        <v>545029</v>
      </c>
      <c r="I12" s="7">
        <f t="shared" si="0"/>
        <v>442543</v>
      </c>
      <c r="J12" s="7">
        <f t="shared" si="0"/>
        <v>692259</v>
      </c>
      <c r="K12" s="7">
        <f t="shared" si="0"/>
        <v>593679</v>
      </c>
      <c r="L12" s="7">
        <f t="shared" ref="L12:M12" si="1">+SUM(L2:L11)</f>
        <v>799588</v>
      </c>
      <c r="M12" s="7">
        <f t="shared" si="1"/>
        <v>514747</v>
      </c>
      <c r="N12" s="7">
        <f t="shared" si="0"/>
        <v>606219</v>
      </c>
      <c r="O12" s="7">
        <f t="shared" si="0"/>
        <v>527473</v>
      </c>
      <c r="P12" s="7">
        <f t="shared" si="0"/>
        <v>658870</v>
      </c>
      <c r="Q12" s="7">
        <f t="shared" si="0"/>
        <v>689922</v>
      </c>
      <c r="R12" s="7">
        <f t="shared" si="0"/>
        <v>1010758</v>
      </c>
      <c r="S12" s="7">
        <f t="shared" ref="S12:U12" si="2">+SUM(S2:S11)</f>
        <v>241317</v>
      </c>
      <c r="T12" s="7">
        <f t="shared" si="2"/>
        <v>325373</v>
      </c>
      <c r="U12" s="7">
        <f t="shared" si="2"/>
        <v>246190</v>
      </c>
      <c r="V12" s="7">
        <f t="shared" ref="V12" si="3">+SUM(V2:V11)</f>
        <v>329071</v>
      </c>
      <c r="W12" s="7">
        <f t="shared" ref="W12:Z12" si="4">+SUM(W2:W11)</f>
        <v>155377</v>
      </c>
      <c r="X12" s="7">
        <f t="shared" si="4"/>
        <v>182996</v>
      </c>
      <c r="Y12" s="7">
        <f t="shared" si="4"/>
        <v>458921</v>
      </c>
      <c r="Z12" s="7">
        <f t="shared" si="4"/>
        <v>22131</v>
      </c>
      <c r="AA12" s="7">
        <f t="shared" ref="AA12:AB12" si="5">+SUM(AA2:AA11)</f>
        <v>282335</v>
      </c>
      <c r="AB12" s="7">
        <f t="shared" si="5"/>
        <v>12854</v>
      </c>
      <c r="AC12" s="7">
        <f t="shared" ref="AC12:AD12" si="6">+SUM(AC2:AC11)</f>
        <v>272244</v>
      </c>
      <c r="AD12" s="7">
        <f t="shared" si="6"/>
        <v>140868</v>
      </c>
      <c r="AE12" s="7">
        <f t="shared" ref="AE12:AF12" si="7">+SUM(AE2:AE11)</f>
        <v>82559</v>
      </c>
      <c r="AF12" s="7">
        <f t="shared" si="7"/>
        <v>193211</v>
      </c>
      <c r="AG12" s="7">
        <f t="shared" ref="AG12:AH12" si="8">+SUM(AG2:AG11)</f>
        <v>15657</v>
      </c>
      <c r="AH12" s="7">
        <f t="shared" si="8"/>
        <v>417888</v>
      </c>
      <c r="AI12" s="7">
        <f t="shared" ref="AI12" si="9">+SUM(AI2:AI11)</f>
        <v>366264</v>
      </c>
    </row>
    <row r="13" spans="1:35" x14ac:dyDescent="0.3">
      <c r="A13" s="1" t="s">
        <v>16</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x14ac:dyDescent="0.3">
      <c r="A14" s="1" t="s">
        <v>107</v>
      </c>
      <c r="B14" s="3"/>
      <c r="C14" s="3"/>
      <c r="D14" s="3"/>
      <c r="E14" s="3"/>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row>
    <row r="15" spans="1:35" x14ac:dyDescent="0.3">
      <c r="A15" s="1" t="s">
        <v>108</v>
      </c>
      <c r="B15" s="3"/>
      <c r="C15" s="3"/>
      <c r="D15" s="3"/>
      <c r="E15" s="3"/>
      <c r="F15" s="3">
        <v>0</v>
      </c>
      <c r="G15" s="3">
        <v>0</v>
      </c>
      <c r="H15" s="3">
        <v>0</v>
      </c>
      <c r="I15" s="3">
        <v>0</v>
      </c>
      <c r="J15" s="3">
        <v>20804</v>
      </c>
      <c r="K15" s="3">
        <v>20804</v>
      </c>
      <c r="L15" s="3">
        <v>20804</v>
      </c>
      <c r="M15" s="3">
        <v>20804</v>
      </c>
      <c r="N15" s="3">
        <v>20804</v>
      </c>
      <c r="O15" s="3">
        <v>20804</v>
      </c>
      <c r="P15" s="3">
        <v>20804</v>
      </c>
      <c r="Q15" s="3">
        <v>20804</v>
      </c>
      <c r="R15" s="3">
        <v>20804</v>
      </c>
      <c r="S15" s="3">
        <v>20804</v>
      </c>
      <c r="T15" s="3">
        <v>20804</v>
      </c>
      <c r="U15" s="3">
        <v>20804</v>
      </c>
      <c r="V15" s="3">
        <v>20804</v>
      </c>
      <c r="W15" s="3">
        <v>20804</v>
      </c>
      <c r="X15" s="3">
        <v>20804</v>
      </c>
      <c r="Y15" s="3">
        <v>20804</v>
      </c>
      <c r="Z15" s="3">
        <v>20804</v>
      </c>
      <c r="AA15" s="3">
        <v>20804</v>
      </c>
      <c r="AB15" s="3">
        <v>20804</v>
      </c>
      <c r="AC15" s="3">
        <v>20804</v>
      </c>
      <c r="AD15" s="3">
        <v>20804</v>
      </c>
      <c r="AE15" s="3">
        <v>20804</v>
      </c>
      <c r="AF15" s="3">
        <v>20804</v>
      </c>
      <c r="AG15" s="3">
        <v>20804</v>
      </c>
      <c r="AH15" s="3">
        <v>20804</v>
      </c>
      <c r="AI15" s="3">
        <v>20804</v>
      </c>
    </row>
    <row r="16" spans="1:35" x14ac:dyDescent="0.3">
      <c r="A16" s="1" t="s">
        <v>109</v>
      </c>
      <c r="B16" s="3"/>
      <c r="C16" s="3"/>
      <c r="D16" s="3"/>
      <c r="E16" s="3"/>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row>
    <row r="17" spans="1:35" ht="28.8" x14ac:dyDescent="0.3">
      <c r="A17" s="13" t="s">
        <v>110</v>
      </c>
      <c r="B17" s="3"/>
      <c r="C17" s="3"/>
      <c r="D17" s="3"/>
      <c r="E17" s="3"/>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row>
    <row r="18" spans="1:35" x14ac:dyDescent="0.3">
      <c r="A18" s="13" t="s">
        <v>111</v>
      </c>
      <c r="B18" s="3"/>
      <c r="C18" s="3"/>
      <c r="D18" s="3"/>
      <c r="E18" s="3"/>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row>
    <row r="19" spans="1:35" x14ac:dyDescent="0.3">
      <c r="A19" s="1" t="s">
        <v>112</v>
      </c>
      <c r="B19" s="3"/>
      <c r="C19" s="3"/>
      <c r="D19" s="3"/>
      <c r="E19" s="3"/>
      <c r="F19" s="3">
        <v>44906345</v>
      </c>
      <c r="G19" s="3">
        <v>44906296</v>
      </c>
      <c r="H19" s="3">
        <v>45501651</v>
      </c>
      <c r="I19" s="3">
        <v>45738476</v>
      </c>
      <c r="J19" s="3">
        <v>46040739</v>
      </c>
      <c r="K19" s="3">
        <v>46508335</v>
      </c>
      <c r="L19" s="3">
        <v>46713812</v>
      </c>
      <c r="M19" s="3">
        <v>46732418</v>
      </c>
      <c r="N19" s="3">
        <v>47322486</v>
      </c>
      <c r="O19" s="3">
        <v>47850629</v>
      </c>
      <c r="P19" s="3">
        <v>46556878</v>
      </c>
      <c r="Q19" s="3">
        <v>47150100</v>
      </c>
      <c r="R19" s="3">
        <v>48565730</v>
      </c>
      <c r="S19" s="3">
        <v>49719082</v>
      </c>
      <c r="T19" s="3">
        <v>50202846</v>
      </c>
      <c r="U19" s="3">
        <v>51980218</v>
      </c>
      <c r="V19" s="3">
        <v>53274101</v>
      </c>
      <c r="W19" s="3">
        <v>53978889</v>
      </c>
      <c r="X19" s="3">
        <v>54409071</v>
      </c>
      <c r="Y19" s="3">
        <v>54568504</v>
      </c>
      <c r="Z19" s="3">
        <v>55480927</v>
      </c>
      <c r="AA19" s="3">
        <v>55939356</v>
      </c>
      <c r="AB19" s="3">
        <v>50682220</v>
      </c>
      <c r="AC19" s="3">
        <v>51138455</v>
      </c>
      <c r="AD19" s="3">
        <v>51769333</v>
      </c>
      <c r="AE19" s="3">
        <v>52430358</v>
      </c>
      <c r="AF19" s="3">
        <v>54926108</v>
      </c>
      <c r="AG19" s="3">
        <v>55275194</v>
      </c>
      <c r="AH19" s="3">
        <v>55614043</v>
      </c>
      <c r="AI19" s="3">
        <v>55772727</v>
      </c>
    </row>
    <row r="20" spans="1:35" x14ac:dyDescent="0.3">
      <c r="A20" s="1" t="s">
        <v>113</v>
      </c>
      <c r="B20" s="3"/>
      <c r="C20" s="3"/>
      <c r="D20" s="3"/>
      <c r="E20" s="3"/>
      <c r="F20" s="3">
        <v>0</v>
      </c>
      <c r="G20" s="3">
        <v>0</v>
      </c>
      <c r="H20" s="3">
        <v>0</v>
      </c>
      <c r="I20" s="3">
        <v>0</v>
      </c>
      <c r="J20" s="3">
        <v>0</v>
      </c>
      <c r="K20" s="3">
        <v>0</v>
      </c>
      <c r="L20" s="3">
        <v>0</v>
      </c>
      <c r="M20" s="3">
        <v>0</v>
      </c>
      <c r="N20" s="3">
        <v>0</v>
      </c>
      <c r="O20" s="3">
        <v>0</v>
      </c>
      <c r="P20" s="3">
        <v>280661</v>
      </c>
      <c r="Q20" s="3">
        <v>317196</v>
      </c>
      <c r="R20" s="3">
        <v>0</v>
      </c>
      <c r="S20" s="3">
        <v>461774</v>
      </c>
      <c r="T20" s="3">
        <v>544994</v>
      </c>
      <c r="U20" s="3">
        <v>650706</v>
      </c>
      <c r="V20" s="3">
        <v>533414</v>
      </c>
      <c r="W20" s="3">
        <v>905427</v>
      </c>
      <c r="X20" s="3">
        <v>999449</v>
      </c>
      <c r="Y20" s="3">
        <v>1100902</v>
      </c>
      <c r="Z20" s="3">
        <v>733422</v>
      </c>
      <c r="AA20" s="3">
        <v>770907</v>
      </c>
      <c r="AB20" s="3">
        <v>2385557</v>
      </c>
      <c r="AC20" s="3">
        <v>2482421</v>
      </c>
      <c r="AD20" s="3">
        <v>2619415</v>
      </c>
      <c r="AE20" s="3">
        <v>2676401</v>
      </c>
      <c r="AF20" s="3">
        <v>2164066</v>
      </c>
      <c r="AG20" s="3">
        <v>2153558</v>
      </c>
      <c r="AH20" s="3">
        <v>2147386</v>
      </c>
      <c r="AI20" s="3">
        <v>2122582</v>
      </c>
    </row>
    <row r="21" spans="1:35" s="6" customFormat="1" x14ac:dyDescent="0.3">
      <c r="A21" s="6" t="s">
        <v>18</v>
      </c>
      <c r="B21" s="7">
        <f>+SUM(B13:B20)</f>
        <v>0</v>
      </c>
      <c r="C21" s="7">
        <f>+SUM(C13:C20)</f>
        <v>0</v>
      </c>
      <c r="D21" s="7">
        <f t="shared" ref="D21:U21" si="10">+SUM(D13:D20)</f>
        <v>0</v>
      </c>
      <c r="E21" s="7">
        <f t="shared" si="10"/>
        <v>0</v>
      </c>
      <c r="F21" s="7">
        <f t="shared" si="10"/>
        <v>44906345</v>
      </c>
      <c r="G21" s="7">
        <f t="shared" ref="G21:I21" si="11">+SUM(G13:G20)</f>
        <v>44906296</v>
      </c>
      <c r="H21" s="7">
        <f t="shared" si="11"/>
        <v>45501651</v>
      </c>
      <c r="I21" s="7">
        <f t="shared" si="11"/>
        <v>45738476</v>
      </c>
      <c r="J21" s="7">
        <f t="shared" si="10"/>
        <v>46061543</v>
      </c>
      <c r="K21" s="7">
        <f t="shared" ref="K21" si="12">+SUM(K13:K20)</f>
        <v>46529139</v>
      </c>
      <c r="L21" s="7">
        <f t="shared" si="10"/>
        <v>46734616</v>
      </c>
      <c r="M21" s="7">
        <f t="shared" si="10"/>
        <v>46753222</v>
      </c>
      <c r="N21" s="7">
        <f t="shared" si="10"/>
        <v>47343290</v>
      </c>
      <c r="O21" s="7">
        <f t="shared" ref="O21:Q21" si="13">+SUM(O13:O20)</f>
        <v>47871433</v>
      </c>
      <c r="P21" s="7">
        <f t="shared" si="13"/>
        <v>46858343</v>
      </c>
      <c r="Q21" s="7">
        <f t="shared" si="13"/>
        <v>47488100</v>
      </c>
      <c r="R21" s="7">
        <f t="shared" si="10"/>
        <v>48586534</v>
      </c>
      <c r="S21" s="7">
        <f t="shared" si="10"/>
        <v>50201660</v>
      </c>
      <c r="T21" s="7">
        <f t="shared" si="10"/>
        <v>50768644</v>
      </c>
      <c r="U21" s="7">
        <f t="shared" si="10"/>
        <v>52651728</v>
      </c>
      <c r="V21" s="7">
        <f t="shared" ref="V21:Z21" si="14">+SUM(V13:V20)</f>
        <v>53828319</v>
      </c>
      <c r="W21" s="7">
        <f t="shared" si="14"/>
        <v>54905120</v>
      </c>
      <c r="X21" s="7">
        <f t="shared" si="14"/>
        <v>55429324</v>
      </c>
      <c r="Y21" s="7">
        <f t="shared" si="14"/>
        <v>55690210</v>
      </c>
      <c r="Z21" s="7">
        <f t="shared" si="14"/>
        <v>56235153</v>
      </c>
      <c r="AA21" s="7">
        <f t="shared" ref="AA21:AB21" si="15">+SUM(AA13:AA20)</f>
        <v>56731067</v>
      </c>
      <c r="AB21" s="7">
        <f t="shared" si="15"/>
        <v>53088581</v>
      </c>
      <c r="AC21" s="7">
        <f t="shared" ref="AC21:AD21" si="16">+SUM(AC13:AC20)</f>
        <v>53641680</v>
      </c>
      <c r="AD21" s="7">
        <f t="shared" si="16"/>
        <v>54409552</v>
      </c>
      <c r="AE21" s="7">
        <f t="shared" ref="AE21:AF21" si="17">+SUM(AE13:AE20)</f>
        <v>55127563</v>
      </c>
      <c r="AF21" s="7">
        <f t="shared" si="17"/>
        <v>57110978</v>
      </c>
      <c r="AG21" s="7">
        <f t="shared" ref="AG21:AH21" si="18">+SUM(AG13:AG20)</f>
        <v>57449556</v>
      </c>
      <c r="AH21" s="7">
        <f t="shared" si="18"/>
        <v>57782233</v>
      </c>
      <c r="AI21" s="7">
        <f t="shared" ref="AI21" si="19">+SUM(AI13:AI20)</f>
        <v>57916113</v>
      </c>
    </row>
    <row r="22" spans="1:35" s="6" customFormat="1" x14ac:dyDescent="0.3">
      <c r="A22" s="6" t="s">
        <v>19</v>
      </c>
      <c r="B22" s="7">
        <f t="shared" ref="B22:U22" si="20">+B21+B12</f>
        <v>0</v>
      </c>
      <c r="C22" s="7">
        <f t="shared" si="20"/>
        <v>0</v>
      </c>
      <c r="D22" s="7">
        <f t="shared" si="20"/>
        <v>0</v>
      </c>
      <c r="E22" s="7">
        <f t="shared" si="20"/>
        <v>0</v>
      </c>
      <c r="F22" s="7">
        <f t="shared" si="20"/>
        <v>45308736</v>
      </c>
      <c r="G22" s="7">
        <f t="shared" ref="G22:I22" si="21">+G21+G12</f>
        <v>45406980</v>
      </c>
      <c r="H22" s="7">
        <f t="shared" si="21"/>
        <v>46046680</v>
      </c>
      <c r="I22" s="7">
        <f t="shared" si="21"/>
        <v>46181019</v>
      </c>
      <c r="J22" s="7">
        <f t="shared" si="20"/>
        <v>46753802</v>
      </c>
      <c r="K22" s="7">
        <f t="shared" ref="K22" si="22">+K21+K12</f>
        <v>47122818</v>
      </c>
      <c r="L22" s="7">
        <f t="shared" si="20"/>
        <v>47534204</v>
      </c>
      <c r="M22" s="7">
        <f t="shared" si="20"/>
        <v>47267969</v>
      </c>
      <c r="N22" s="7">
        <f t="shared" si="20"/>
        <v>47949509</v>
      </c>
      <c r="O22" s="7">
        <f t="shared" ref="O22:Q22" si="23">+O21+O12</f>
        <v>48398906</v>
      </c>
      <c r="P22" s="7">
        <f t="shared" si="23"/>
        <v>47517213</v>
      </c>
      <c r="Q22" s="7">
        <f t="shared" si="23"/>
        <v>48178022</v>
      </c>
      <c r="R22" s="7">
        <f t="shared" si="20"/>
        <v>49597292</v>
      </c>
      <c r="S22" s="7">
        <f t="shared" si="20"/>
        <v>50442977</v>
      </c>
      <c r="T22" s="7">
        <f t="shared" si="20"/>
        <v>51094017</v>
      </c>
      <c r="U22" s="7">
        <f t="shared" si="20"/>
        <v>52897918</v>
      </c>
      <c r="V22" s="7">
        <f t="shared" ref="V22:Z22" si="24">+V21+V12</f>
        <v>54157390</v>
      </c>
      <c r="W22" s="7">
        <f t="shared" si="24"/>
        <v>55060497</v>
      </c>
      <c r="X22" s="7">
        <f t="shared" si="24"/>
        <v>55612320</v>
      </c>
      <c r="Y22" s="7">
        <f t="shared" si="24"/>
        <v>56149131</v>
      </c>
      <c r="Z22" s="7">
        <f t="shared" si="24"/>
        <v>56257284</v>
      </c>
      <c r="AA22" s="7">
        <f t="shared" ref="AA22:AB22" si="25">+AA21+AA12</f>
        <v>57013402</v>
      </c>
      <c r="AB22" s="7">
        <f t="shared" si="25"/>
        <v>53101435</v>
      </c>
      <c r="AC22" s="7">
        <f t="shared" ref="AC22:AD22" si="26">+AC21+AC12</f>
        <v>53913924</v>
      </c>
      <c r="AD22" s="7">
        <f t="shared" si="26"/>
        <v>54550420</v>
      </c>
      <c r="AE22" s="7">
        <f t="shared" ref="AE22:AF22" si="27">+AE21+AE12</f>
        <v>55210122</v>
      </c>
      <c r="AF22" s="7">
        <f t="shared" si="27"/>
        <v>57304189</v>
      </c>
      <c r="AG22" s="7">
        <f t="shared" ref="AG22:AH22" si="28">+AG21+AG12</f>
        <v>57465213</v>
      </c>
      <c r="AH22" s="7">
        <f t="shared" si="28"/>
        <v>58200121</v>
      </c>
      <c r="AI22" s="7">
        <f t="shared" ref="AI22" si="29">+AI21+AI12</f>
        <v>58282377</v>
      </c>
    </row>
    <row r="23" spans="1:35"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3">
      <c r="A25" s="1" t="s">
        <v>115</v>
      </c>
      <c r="B25" s="3"/>
      <c r="C25" s="3"/>
      <c r="D25" s="3"/>
      <c r="E25" s="3"/>
      <c r="F25" s="3">
        <v>27597766</v>
      </c>
      <c r="G25" s="3">
        <v>27663312</v>
      </c>
      <c r="H25" s="3">
        <v>28174853</v>
      </c>
      <c r="I25" s="3">
        <v>28151608</v>
      </c>
      <c r="J25" s="3">
        <v>281291</v>
      </c>
      <c r="K25" s="3">
        <v>103149</v>
      </c>
      <c r="L25" s="3">
        <v>281225</v>
      </c>
      <c r="M25" s="3">
        <v>0</v>
      </c>
      <c r="N25" s="3">
        <v>154525</v>
      </c>
      <c r="O25" s="3">
        <v>1698</v>
      </c>
      <c r="P25" s="3">
        <v>157924</v>
      </c>
      <c r="Q25" s="3">
        <v>0</v>
      </c>
      <c r="R25" s="3">
        <v>164738</v>
      </c>
      <c r="S25" s="3">
        <v>1865</v>
      </c>
      <c r="T25" s="3">
        <v>183131</v>
      </c>
      <c r="U25" s="3">
        <v>13483</v>
      </c>
      <c r="V25" s="3">
        <v>186634</v>
      </c>
      <c r="W25" s="3">
        <v>2055</v>
      </c>
      <c r="X25" s="3">
        <v>191836</v>
      </c>
      <c r="Y25" s="3">
        <v>384820</v>
      </c>
      <c r="Z25" s="3">
        <v>191305</v>
      </c>
      <c r="AA25" s="3">
        <v>387916</v>
      </c>
      <c r="AB25" s="3">
        <v>195374</v>
      </c>
      <c r="AC25" s="3">
        <v>37910420</v>
      </c>
      <c r="AD25" s="3">
        <v>38620896</v>
      </c>
      <c r="AE25" s="3">
        <v>39303103</v>
      </c>
      <c r="AF25" s="3">
        <v>39473528</v>
      </c>
      <c r="AG25" s="3">
        <v>39485650</v>
      </c>
      <c r="AH25" s="3">
        <v>253818</v>
      </c>
      <c r="AI25" s="3">
        <v>249011</v>
      </c>
    </row>
    <row r="26" spans="1:35" x14ac:dyDescent="0.3">
      <c r="A26" s="1" t="s">
        <v>116</v>
      </c>
      <c r="B26" s="3"/>
      <c r="C26" s="3"/>
      <c r="D26" s="3"/>
      <c r="E26" s="3"/>
      <c r="F26" s="3">
        <v>25527</v>
      </c>
      <c r="G26" s="3">
        <v>30178</v>
      </c>
      <c r="H26" s="3">
        <v>30541</v>
      </c>
      <c r="I26" s="3">
        <v>60546</v>
      </c>
      <c r="J26" s="3">
        <v>51083</v>
      </c>
      <c r="K26" s="3">
        <v>31835</v>
      </c>
      <c r="L26" s="3">
        <v>57762</v>
      </c>
      <c r="M26" s="3">
        <v>96964</v>
      </c>
      <c r="N26" s="3">
        <v>31417</v>
      </c>
      <c r="O26" s="3">
        <v>36290</v>
      </c>
      <c r="P26" s="3">
        <v>33724</v>
      </c>
      <c r="Q26" s="3">
        <v>62751</v>
      </c>
      <c r="R26" s="3">
        <v>60389</v>
      </c>
      <c r="S26" s="3">
        <v>38285</v>
      </c>
      <c r="T26" s="3">
        <v>32889</v>
      </c>
      <c r="U26" s="3">
        <v>143197</v>
      </c>
      <c r="V26" s="3">
        <v>38225</v>
      </c>
      <c r="W26" s="3">
        <v>91659</v>
      </c>
      <c r="X26" s="3">
        <v>49045</v>
      </c>
      <c r="Y26" s="3">
        <v>79276</v>
      </c>
      <c r="Z26" s="3">
        <v>42501</v>
      </c>
      <c r="AA26" s="3">
        <v>48255</v>
      </c>
      <c r="AB26" s="3">
        <v>26154</v>
      </c>
      <c r="AC26" s="3">
        <v>100071</v>
      </c>
      <c r="AD26" s="3">
        <v>169335</v>
      </c>
      <c r="AE26" s="3">
        <v>-401218</v>
      </c>
      <c r="AF26" s="3">
        <v>45807</v>
      </c>
      <c r="AG26" s="3">
        <v>41953</v>
      </c>
      <c r="AH26" s="3">
        <v>82841</v>
      </c>
      <c r="AI26" s="3">
        <v>92762</v>
      </c>
    </row>
    <row r="27" spans="1:35" x14ac:dyDescent="0.3">
      <c r="A27" s="1" t="s">
        <v>117</v>
      </c>
      <c r="B27" s="3"/>
      <c r="C27" s="3"/>
      <c r="D27" s="3"/>
      <c r="E27" s="3"/>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150000</v>
      </c>
      <c r="Z27" s="3">
        <v>0</v>
      </c>
      <c r="AA27" s="3">
        <v>0</v>
      </c>
      <c r="AB27" s="3">
        <v>20000</v>
      </c>
      <c r="AC27" s="3">
        <v>100000</v>
      </c>
      <c r="AD27" s="3">
        <v>0</v>
      </c>
      <c r="AE27" s="3">
        <v>0</v>
      </c>
      <c r="AF27" s="3">
        <v>0</v>
      </c>
      <c r="AG27" s="3">
        <v>0</v>
      </c>
      <c r="AH27" s="3">
        <v>0</v>
      </c>
      <c r="AI27" s="3">
        <v>0</v>
      </c>
    </row>
    <row r="28" spans="1:35" x14ac:dyDescent="0.3">
      <c r="A28" s="1" t="s">
        <v>118</v>
      </c>
      <c r="B28" s="3"/>
      <c r="C28" s="3"/>
      <c r="D28" s="3"/>
      <c r="E28" s="3"/>
      <c r="F28" s="3">
        <v>16525</v>
      </c>
      <c r="G28" s="3">
        <v>14270</v>
      </c>
      <c r="H28" s="3">
        <v>2707</v>
      </c>
      <c r="I28" s="3">
        <v>2842</v>
      </c>
      <c r="J28" s="3">
        <v>2868</v>
      </c>
      <c r="K28" s="3">
        <v>2892</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row>
    <row r="29" spans="1:35" x14ac:dyDescent="0.3">
      <c r="A29" s="1" t="s">
        <v>119</v>
      </c>
      <c r="B29" s="3"/>
      <c r="C29" s="3"/>
      <c r="D29" s="3"/>
      <c r="E29" s="3"/>
      <c r="F29" s="3">
        <v>3308</v>
      </c>
      <c r="G29" s="3">
        <v>39765</v>
      </c>
      <c r="H29" s="3">
        <v>1895</v>
      </c>
      <c r="I29" s="3">
        <v>2079</v>
      </c>
      <c r="J29" s="3">
        <v>2831</v>
      </c>
      <c r="K29" s="3">
        <v>52546</v>
      </c>
      <c r="L29" s="3">
        <v>2021</v>
      </c>
      <c r="M29" s="3">
        <v>2151</v>
      </c>
      <c r="N29" s="3">
        <v>2807</v>
      </c>
      <c r="O29" s="3">
        <v>54025</v>
      </c>
      <c r="P29" s="3">
        <v>5773</v>
      </c>
      <c r="Q29" s="3">
        <v>5455</v>
      </c>
      <c r="R29" s="3">
        <v>5136</v>
      </c>
      <c r="S29" s="3">
        <v>67967</v>
      </c>
      <c r="T29" s="3">
        <v>14034</v>
      </c>
      <c r="U29" s="3">
        <v>6920</v>
      </c>
      <c r="V29" s="3">
        <v>3128</v>
      </c>
      <c r="W29" s="3">
        <v>73438</v>
      </c>
      <c r="X29" s="3">
        <v>36658</v>
      </c>
      <c r="Y29" s="3">
        <v>12314</v>
      </c>
      <c r="Z29" s="3">
        <v>15763</v>
      </c>
      <c r="AA29" s="3">
        <v>87731</v>
      </c>
      <c r="AB29" s="3">
        <v>53839</v>
      </c>
      <c r="AC29" s="3">
        <v>13370</v>
      </c>
      <c r="AD29" s="3">
        <v>23995</v>
      </c>
      <c r="AE29" s="3">
        <v>106541</v>
      </c>
      <c r="AF29" s="3">
        <v>12960</v>
      </c>
      <c r="AG29" s="3">
        <v>8408</v>
      </c>
      <c r="AH29" s="3">
        <v>6998</v>
      </c>
      <c r="AI29" s="3">
        <v>83841</v>
      </c>
    </row>
    <row r="30" spans="1:35" x14ac:dyDescent="0.3">
      <c r="A30" s="1" t="s">
        <v>120</v>
      </c>
      <c r="B30" s="3"/>
      <c r="C30" s="3"/>
      <c r="D30" s="3"/>
      <c r="E30" s="3"/>
      <c r="F30" s="3">
        <v>13257</v>
      </c>
      <c r="G30" s="3">
        <v>13257</v>
      </c>
      <c r="H30" s="3">
        <v>13420</v>
      </c>
      <c r="I30" s="3">
        <v>0</v>
      </c>
      <c r="J30" s="3">
        <v>0</v>
      </c>
      <c r="K30" s="3">
        <v>0</v>
      </c>
      <c r="L30" s="3">
        <v>0</v>
      </c>
      <c r="M30" s="3">
        <v>0</v>
      </c>
      <c r="N30" s="3">
        <v>114126</v>
      </c>
      <c r="O30" s="3">
        <v>115400</v>
      </c>
      <c r="P30" s="3">
        <v>116637</v>
      </c>
      <c r="Q30" s="3">
        <v>118123</v>
      </c>
      <c r="R30" s="3">
        <v>133673</v>
      </c>
      <c r="S30" s="3">
        <v>73137</v>
      </c>
      <c r="T30" s="3">
        <v>76271</v>
      </c>
      <c r="U30" s="3">
        <v>86564</v>
      </c>
      <c r="V30" s="3">
        <v>123785</v>
      </c>
      <c r="W30" s="3">
        <v>40087</v>
      </c>
      <c r="X30" s="3">
        <v>40666</v>
      </c>
      <c r="Y30" s="3">
        <v>40788</v>
      </c>
      <c r="Z30" s="3">
        <v>135247</v>
      </c>
      <c r="AA30" s="3">
        <v>41798</v>
      </c>
      <c r="AB30" s="3">
        <v>141154</v>
      </c>
      <c r="AC30" s="3">
        <v>142426</v>
      </c>
      <c r="AD30" s="3">
        <v>61045</v>
      </c>
      <c r="AE30" s="3">
        <v>53206</v>
      </c>
      <c r="AF30" s="3">
        <v>9469</v>
      </c>
      <c r="AG30" s="3">
        <v>9675</v>
      </c>
      <c r="AH30" s="3">
        <v>14000</v>
      </c>
      <c r="AI30" s="3">
        <v>14040</v>
      </c>
    </row>
    <row r="31" spans="1:35" x14ac:dyDescent="0.3">
      <c r="A31" s="1" t="s">
        <v>121</v>
      </c>
      <c r="B31" s="3"/>
      <c r="C31" s="3"/>
      <c r="D31" s="3"/>
      <c r="E31" s="3"/>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row>
    <row r="32" spans="1:35" s="6" customFormat="1" x14ac:dyDescent="0.3">
      <c r="A32" s="6" t="s">
        <v>122</v>
      </c>
      <c r="B32" s="7">
        <f t="shared" ref="B32:C32" si="30">+SUM(B23:B31)</f>
        <v>0</v>
      </c>
      <c r="C32" s="7">
        <f t="shared" si="30"/>
        <v>0</v>
      </c>
      <c r="D32" s="7">
        <f>+SUM(D23:D31)</f>
        <v>0</v>
      </c>
      <c r="E32" s="7">
        <f t="shared" ref="E32:R32" si="31">+SUM(E23:E31)</f>
        <v>0</v>
      </c>
      <c r="F32" s="7">
        <f t="shared" si="31"/>
        <v>27656383</v>
      </c>
      <c r="G32" s="7">
        <f t="shared" si="31"/>
        <v>27760782</v>
      </c>
      <c r="H32" s="7">
        <f t="shared" si="31"/>
        <v>28223416</v>
      </c>
      <c r="I32" s="7">
        <f t="shared" si="31"/>
        <v>28217075</v>
      </c>
      <c r="J32" s="7">
        <f t="shared" si="31"/>
        <v>338073</v>
      </c>
      <c r="K32" s="7">
        <f t="shared" si="31"/>
        <v>190422</v>
      </c>
      <c r="L32" s="7">
        <f t="shared" ref="L32:M32" si="32">+SUM(L23:L31)</f>
        <v>341008</v>
      </c>
      <c r="M32" s="7">
        <f t="shared" si="32"/>
        <v>99115</v>
      </c>
      <c r="N32" s="7">
        <f t="shared" si="31"/>
        <v>302875</v>
      </c>
      <c r="O32" s="7">
        <f t="shared" si="31"/>
        <v>207413</v>
      </c>
      <c r="P32" s="7">
        <f t="shared" si="31"/>
        <v>314058</v>
      </c>
      <c r="Q32" s="7">
        <f t="shared" si="31"/>
        <v>186329</v>
      </c>
      <c r="R32" s="7">
        <f t="shared" si="31"/>
        <v>363936</v>
      </c>
      <c r="S32" s="7">
        <f t="shared" ref="S32:U32" si="33">+SUM(S23:S31)</f>
        <v>181254</v>
      </c>
      <c r="T32" s="7">
        <f t="shared" si="33"/>
        <v>306325</v>
      </c>
      <c r="U32" s="7">
        <f t="shared" si="33"/>
        <v>250164</v>
      </c>
      <c r="V32" s="7">
        <f t="shared" ref="V32:Z32" si="34">+SUM(V23:V31)</f>
        <v>351772</v>
      </c>
      <c r="W32" s="7">
        <f t="shared" si="34"/>
        <v>207239</v>
      </c>
      <c r="X32" s="7">
        <f t="shared" si="34"/>
        <v>318205</v>
      </c>
      <c r="Y32" s="7">
        <f t="shared" si="34"/>
        <v>667198</v>
      </c>
      <c r="Z32" s="7">
        <f t="shared" si="34"/>
        <v>384816</v>
      </c>
      <c r="AA32" s="7">
        <f t="shared" ref="AA32:AB32" si="35">+SUM(AA23:AA31)</f>
        <v>565700</v>
      </c>
      <c r="AB32" s="7">
        <f t="shared" si="35"/>
        <v>436521</v>
      </c>
      <c r="AC32" s="7">
        <f t="shared" ref="AC32:AD32" si="36">+SUM(AC23:AC31)</f>
        <v>38266287</v>
      </c>
      <c r="AD32" s="7">
        <f t="shared" si="36"/>
        <v>38875271</v>
      </c>
      <c r="AE32" s="7">
        <f t="shared" ref="AE32:AF32" si="37">+SUM(AE23:AE31)</f>
        <v>39061632</v>
      </c>
      <c r="AF32" s="7">
        <f t="shared" si="37"/>
        <v>39541764</v>
      </c>
      <c r="AG32" s="7">
        <f t="shared" ref="AG32:AH32" si="38">+SUM(AG23:AG31)</f>
        <v>39545686</v>
      </c>
      <c r="AH32" s="7">
        <f t="shared" si="38"/>
        <v>357657</v>
      </c>
      <c r="AI32" s="7">
        <f t="shared" ref="AI32" si="39">+SUM(AI23:AI31)</f>
        <v>439654</v>
      </c>
    </row>
    <row r="33" spans="1:35"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
      <c r="A34" s="1" t="s">
        <v>123</v>
      </c>
      <c r="B34" s="3"/>
      <c r="C34" s="3"/>
      <c r="D34" s="3"/>
      <c r="E34" s="3"/>
      <c r="F34" s="3">
        <v>0</v>
      </c>
      <c r="G34" s="3">
        <v>0</v>
      </c>
      <c r="H34" s="3">
        <v>0</v>
      </c>
      <c r="I34" s="3">
        <v>0</v>
      </c>
      <c r="J34" s="3">
        <v>28309940</v>
      </c>
      <c r="K34" s="3">
        <v>28597460</v>
      </c>
      <c r="L34" s="3">
        <v>28696420</v>
      </c>
      <c r="M34" s="3">
        <v>28707850</v>
      </c>
      <c r="N34" s="3">
        <v>29070330</v>
      </c>
      <c r="O34" s="3">
        <v>29394770</v>
      </c>
      <c r="P34" s="3">
        <v>29709830</v>
      </c>
      <c r="Q34" s="3">
        <v>30088370</v>
      </c>
      <c r="R34" s="3">
        <v>30991740</v>
      </c>
      <c r="S34" s="3">
        <v>31727740</v>
      </c>
      <c r="T34" s="3">
        <v>33086830</v>
      </c>
      <c r="U34" s="3">
        <v>34258230</v>
      </c>
      <c r="V34" s="3">
        <v>35110980</v>
      </c>
      <c r="W34" s="3">
        <v>35575480</v>
      </c>
      <c r="X34" s="3">
        <v>36089480</v>
      </c>
      <c r="Y34" s="3">
        <v>36197530</v>
      </c>
      <c r="Z34" s="3">
        <v>36789360</v>
      </c>
      <c r="AA34" s="3">
        <v>37093520</v>
      </c>
      <c r="AB34" s="3">
        <v>37571860</v>
      </c>
      <c r="AC34" s="3">
        <v>0</v>
      </c>
      <c r="AD34" s="3">
        <v>0</v>
      </c>
      <c r="AE34" s="3">
        <v>0</v>
      </c>
      <c r="AF34" s="3">
        <v>0</v>
      </c>
      <c r="AG34" s="3">
        <v>0</v>
      </c>
      <c r="AH34" s="3">
        <v>39727960</v>
      </c>
      <c r="AI34" s="3">
        <v>39595476</v>
      </c>
    </row>
    <row r="35" spans="1:35" x14ac:dyDescent="0.3">
      <c r="A35" s="1" t="s">
        <v>124</v>
      </c>
      <c r="B35" s="3"/>
      <c r="C35" s="3"/>
      <c r="D35" s="3"/>
      <c r="E35" s="3"/>
      <c r="F35" s="3">
        <v>15141764</v>
      </c>
      <c r="G35" s="3">
        <v>15141747</v>
      </c>
      <c r="H35" s="3">
        <v>15327156</v>
      </c>
      <c r="I35" s="3">
        <v>15406930</v>
      </c>
      <c r="J35" s="3">
        <v>15550522</v>
      </c>
      <c r="K35" s="3">
        <v>15708455</v>
      </c>
      <c r="L35" s="3">
        <v>15762814</v>
      </c>
      <c r="M35" s="3">
        <v>15769092</v>
      </c>
      <c r="N35" s="3">
        <v>15968201</v>
      </c>
      <c r="O35" s="3">
        <v>16146414</v>
      </c>
      <c r="P35" s="3">
        <v>16319475</v>
      </c>
      <c r="Q35" s="3">
        <v>16527405</v>
      </c>
      <c r="R35" s="3">
        <v>16745984</v>
      </c>
      <c r="S35" s="3">
        <v>16648529</v>
      </c>
      <c r="T35" s="3">
        <v>17361686</v>
      </c>
      <c r="U35" s="3">
        <v>17976355</v>
      </c>
      <c r="V35" s="3">
        <v>18423820</v>
      </c>
      <c r="W35" s="3">
        <v>18667557</v>
      </c>
      <c r="X35" s="3">
        <v>18233524</v>
      </c>
      <c r="Y35" s="3">
        <v>18288109</v>
      </c>
      <c r="Z35" s="3">
        <v>18590120</v>
      </c>
      <c r="AA35" s="3">
        <v>18740791</v>
      </c>
      <c r="AB35" s="3">
        <v>18982463</v>
      </c>
      <c r="AC35" s="3">
        <v>11395434</v>
      </c>
      <c r="AD35" s="3">
        <v>11547613</v>
      </c>
      <c r="AE35" s="3">
        <v>11982825</v>
      </c>
      <c r="AF35" s="3">
        <v>12097729</v>
      </c>
      <c r="AG35" s="3">
        <v>12165070</v>
      </c>
      <c r="AH35" s="3">
        <v>12239725</v>
      </c>
      <c r="AI35" s="3">
        <v>12274773</v>
      </c>
    </row>
    <row r="36" spans="1:35" x14ac:dyDescent="0.3">
      <c r="A36" s="1" t="s">
        <v>125</v>
      </c>
      <c r="B36" s="3"/>
      <c r="C36" s="3"/>
      <c r="D36" s="3"/>
      <c r="E36" s="3"/>
      <c r="F36" s="3">
        <v>122503</v>
      </c>
      <c r="G36" s="3">
        <v>118443</v>
      </c>
      <c r="H36" s="3">
        <v>153202</v>
      </c>
      <c r="I36" s="3">
        <v>182665</v>
      </c>
      <c r="J36" s="3">
        <v>179885</v>
      </c>
      <c r="K36" s="3">
        <v>219270</v>
      </c>
      <c r="L36" s="3">
        <v>273802</v>
      </c>
      <c r="M36" s="3">
        <v>313248</v>
      </c>
      <c r="N36" s="3">
        <v>344587</v>
      </c>
      <c r="O36" s="3">
        <v>387467</v>
      </c>
      <c r="P36" s="3">
        <v>224859</v>
      </c>
      <c r="Q36" s="3">
        <v>302672</v>
      </c>
      <c r="R36" s="3">
        <v>20171</v>
      </c>
      <c r="S36" s="3">
        <v>449119</v>
      </c>
      <c r="T36" s="3">
        <v>65135</v>
      </c>
      <c r="U36" s="3">
        <v>136786</v>
      </c>
      <c r="V36" s="3">
        <v>0</v>
      </c>
      <c r="W36" s="3">
        <v>355134</v>
      </c>
      <c r="X36" s="3">
        <v>312747</v>
      </c>
      <c r="Y36" s="3">
        <v>393822</v>
      </c>
      <c r="Z36" s="3">
        <v>0</v>
      </c>
      <c r="AA36" s="3">
        <v>0</v>
      </c>
      <c r="AB36" s="3">
        <v>0</v>
      </c>
      <c r="AC36" s="3">
        <v>0</v>
      </c>
      <c r="AD36" s="3">
        <v>0</v>
      </c>
      <c r="AE36" s="3">
        <v>0</v>
      </c>
      <c r="AF36" s="3">
        <v>0</v>
      </c>
      <c r="AG36" s="3">
        <v>0</v>
      </c>
      <c r="AH36" s="3">
        <v>0</v>
      </c>
      <c r="AI36" s="3">
        <v>0</v>
      </c>
    </row>
    <row r="37" spans="1:35" x14ac:dyDescent="0.3">
      <c r="A37" s="1" t="s">
        <v>126</v>
      </c>
      <c r="B37" s="3"/>
      <c r="C37" s="3"/>
      <c r="D37" s="3"/>
      <c r="E37" s="3"/>
      <c r="F37" s="3">
        <v>185502</v>
      </c>
      <c r="G37" s="3">
        <v>194403</v>
      </c>
      <c r="H37" s="3">
        <v>196784</v>
      </c>
      <c r="I37" s="3">
        <v>171202</v>
      </c>
      <c r="J37" s="3">
        <v>172798</v>
      </c>
      <c r="K37" s="3">
        <v>174553</v>
      </c>
      <c r="L37" s="3">
        <v>175157</v>
      </c>
      <c r="M37" s="3">
        <v>175227</v>
      </c>
      <c r="N37" s="3">
        <v>63313</v>
      </c>
      <c r="O37" s="3">
        <v>64020</v>
      </c>
      <c r="P37" s="3">
        <v>64706</v>
      </c>
      <c r="Q37" s="3">
        <v>65530</v>
      </c>
      <c r="R37" s="3">
        <v>67498</v>
      </c>
      <c r="S37" s="3">
        <v>79052</v>
      </c>
      <c r="T37" s="3">
        <v>124510</v>
      </c>
      <c r="U37" s="3">
        <v>167506</v>
      </c>
      <c r="V37" s="3">
        <v>179457</v>
      </c>
      <c r="W37" s="3">
        <v>181832</v>
      </c>
      <c r="X37" s="3">
        <v>191006</v>
      </c>
      <c r="Y37" s="3">
        <v>197061</v>
      </c>
      <c r="Z37" s="3">
        <v>106491</v>
      </c>
      <c r="AA37" s="3">
        <v>202328</v>
      </c>
      <c r="AB37" s="3">
        <v>111416</v>
      </c>
      <c r="AC37" s="3">
        <v>135450</v>
      </c>
      <c r="AD37" s="3">
        <v>168912</v>
      </c>
      <c r="AE37" s="3">
        <v>217586</v>
      </c>
      <c r="AF37" s="3">
        <v>230342</v>
      </c>
      <c r="AG37" s="3">
        <v>238194</v>
      </c>
      <c r="AH37" s="3">
        <v>264003</v>
      </c>
      <c r="AI37" s="3">
        <v>272066</v>
      </c>
    </row>
    <row r="38" spans="1:35" s="6" customFormat="1" x14ac:dyDescent="0.3">
      <c r="A38" s="6" t="s">
        <v>28</v>
      </c>
      <c r="B38" s="7">
        <f>+SUM(B33:B37)</f>
        <v>0</v>
      </c>
      <c r="C38" s="7">
        <f t="shared" ref="C38:U38" si="40">+SUM(C33:C37)</f>
        <v>0</v>
      </c>
      <c r="D38" s="7">
        <f t="shared" si="40"/>
        <v>0</v>
      </c>
      <c r="E38" s="7">
        <f t="shared" si="40"/>
        <v>0</v>
      </c>
      <c r="F38" s="7">
        <f t="shared" si="40"/>
        <v>15449769</v>
      </c>
      <c r="G38" s="7">
        <f t="shared" ref="G38:I38" si="41">+SUM(G33:G37)</f>
        <v>15454593</v>
      </c>
      <c r="H38" s="7">
        <f t="shared" si="41"/>
        <v>15677142</v>
      </c>
      <c r="I38" s="7">
        <f t="shared" si="41"/>
        <v>15760797</v>
      </c>
      <c r="J38" s="7">
        <f t="shared" si="40"/>
        <v>44213145</v>
      </c>
      <c r="K38" s="7">
        <f t="shared" ref="K38" si="42">+SUM(K33:K37)</f>
        <v>44699738</v>
      </c>
      <c r="L38" s="7">
        <f t="shared" si="40"/>
        <v>44908193</v>
      </c>
      <c r="M38" s="7">
        <f t="shared" si="40"/>
        <v>44965417</v>
      </c>
      <c r="N38" s="7">
        <f t="shared" si="40"/>
        <v>45446431</v>
      </c>
      <c r="O38" s="7">
        <f t="shared" ref="O38:Q38" si="43">+SUM(O33:O37)</f>
        <v>45992671</v>
      </c>
      <c r="P38" s="7">
        <f t="shared" si="43"/>
        <v>46318870</v>
      </c>
      <c r="Q38" s="7">
        <f t="shared" si="43"/>
        <v>46983977</v>
      </c>
      <c r="R38" s="7">
        <f t="shared" si="40"/>
        <v>47825393</v>
      </c>
      <c r="S38" s="7">
        <f t="shared" si="40"/>
        <v>48904440</v>
      </c>
      <c r="T38" s="7">
        <f t="shared" si="40"/>
        <v>50638161</v>
      </c>
      <c r="U38" s="7">
        <f t="shared" si="40"/>
        <v>52538877</v>
      </c>
      <c r="V38" s="7">
        <f t="shared" ref="V38:Z38" si="44">+SUM(V33:V37)</f>
        <v>53714257</v>
      </c>
      <c r="W38" s="7">
        <f t="shared" si="44"/>
        <v>54780003</v>
      </c>
      <c r="X38" s="7">
        <f t="shared" si="44"/>
        <v>54826757</v>
      </c>
      <c r="Y38" s="7">
        <f t="shared" si="44"/>
        <v>55076522</v>
      </c>
      <c r="Z38" s="7">
        <f t="shared" si="44"/>
        <v>55485971</v>
      </c>
      <c r="AA38" s="7">
        <f t="shared" ref="AA38:AB38" si="45">+SUM(AA33:AA37)</f>
        <v>56036639</v>
      </c>
      <c r="AB38" s="7">
        <f t="shared" si="45"/>
        <v>56665739</v>
      </c>
      <c r="AC38" s="7">
        <f t="shared" ref="AC38:AD38" si="46">+SUM(AC33:AC37)</f>
        <v>11530884</v>
      </c>
      <c r="AD38" s="7">
        <f t="shared" si="46"/>
        <v>11716525</v>
      </c>
      <c r="AE38" s="7">
        <f t="shared" ref="AE38:AF38" si="47">+SUM(AE33:AE37)</f>
        <v>12200411</v>
      </c>
      <c r="AF38" s="7">
        <f t="shared" si="47"/>
        <v>12328071</v>
      </c>
      <c r="AG38" s="7">
        <f t="shared" ref="AG38:AH38" si="48">+SUM(AG33:AG37)</f>
        <v>12403264</v>
      </c>
      <c r="AH38" s="7">
        <f t="shared" si="48"/>
        <v>52231688</v>
      </c>
      <c r="AI38" s="7">
        <f t="shared" ref="AI38" si="49">+SUM(AI33:AI37)</f>
        <v>52142315</v>
      </c>
    </row>
    <row r="39" spans="1:35" x14ac:dyDescent="0.3">
      <c r="A39" s="6" t="s">
        <v>29</v>
      </c>
      <c r="B39" s="7">
        <f>+B38+B32</f>
        <v>0</v>
      </c>
      <c r="C39" s="7">
        <f t="shared" ref="C39:U39" si="50">+C38+C32</f>
        <v>0</v>
      </c>
      <c r="D39" s="7">
        <f t="shared" si="50"/>
        <v>0</v>
      </c>
      <c r="E39" s="7">
        <f t="shared" si="50"/>
        <v>0</v>
      </c>
      <c r="F39" s="7">
        <f t="shared" si="50"/>
        <v>43106152</v>
      </c>
      <c r="G39" s="7">
        <f t="shared" ref="G39:I39" si="51">+G38+G32</f>
        <v>43215375</v>
      </c>
      <c r="H39" s="7">
        <f t="shared" si="51"/>
        <v>43900558</v>
      </c>
      <c r="I39" s="7">
        <f t="shared" si="51"/>
        <v>43977872</v>
      </c>
      <c r="J39" s="7">
        <f t="shared" si="50"/>
        <v>44551218</v>
      </c>
      <c r="K39" s="7">
        <f t="shared" ref="K39" si="52">+K38+K32</f>
        <v>44890160</v>
      </c>
      <c r="L39" s="7">
        <f t="shared" si="50"/>
        <v>45249201</v>
      </c>
      <c r="M39" s="7">
        <f t="shared" si="50"/>
        <v>45064532</v>
      </c>
      <c r="N39" s="7">
        <f t="shared" si="50"/>
        <v>45749306</v>
      </c>
      <c r="O39" s="7">
        <f t="shared" ref="O39:Q39" si="53">+O38+O32</f>
        <v>46200084</v>
      </c>
      <c r="P39" s="7">
        <f t="shared" si="53"/>
        <v>46632928</v>
      </c>
      <c r="Q39" s="7">
        <f t="shared" si="53"/>
        <v>47170306</v>
      </c>
      <c r="R39" s="7">
        <f t="shared" si="50"/>
        <v>48189329</v>
      </c>
      <c r="S39" s="7">
        <f t="shared" si="50"/>
        <v>49085694</v>
      </c>
      <c r="T39" s="7">
        <f t="shared" si="50"/>
        <v>50944486</v>
      </c>
      <c r="U39" s="7">
        <f t="shared" si="50"/>
        <v>52789041</v>
      </c>
      <c r="V39" s="7">
        <f t="shared" ref="V39:Z39" si="54">+V38+V32</f>
        <v>54066029</v>
      </c>
      <c r="W39" s="7">
        <f t="shared" si="54"/>
        <v>54987242</v>
      </c>
      <c r="X39" s="7">
        <f t="shared" si="54"/>
        <v>55144962</v>
      </c>
      <c r="Y39" s="7">
        <f t="shared" si="54"/>
        <v>55743720</v>
      </c>
      <c r="Z39" s="7">
        <f t="shared" si="54"/>
        <v>55870787</v>
      </c>
      <c r="AA39" s="7">
        <f t="shared" ref="AA39:AB39" si="55">+AA38+AA32</f>
        <v>56602339</v>
      </c>
      <c r="AB39" s="7">
        <f t="shared" si="55"/>
        <v>57102260</v>
      </c>
      <c r="AC39" s="7">
        <f t="shared" ref="AC39:AD39" si="56">+AC38+AC32</f>
        <v>49797171</v>
      </c>
      <c r="AD39" s="7">
        <f t="shared" si="56"/>
        <v>50591796</v>
      </c>
      <c r="AE39" s="7">
        <f t="shared" ref="AE39:AF39" si="57">+AE38+AE32</f>
        <v>51262043</v>
      </c>
      <c r="AF39" s="7">
        <f t="shared" si="57"/>
        <v>51869835</v>
      </c>
      <c r="AG39" s="7">
        <f t="shared" ref="AG39:AH39" si="58">+AG38+AG32</f>
        <v>51948950</v>
      </c>
      <c r="AH39" s="7">
        <f t="shared" si="58"/>
        <v>52589345</v>
      </c>
      <c r="AI39" s="7">
        <f t="shared" ref="AI39" si="59">+AI38+AI32</f>
        <v>52581969</v>
      </c>
    </row>
    <row r="40" spans="1:35"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
      <c r="A41" s="1" t="s">
        <v>128</v>
      </c>
      <c r="B41" s="3"/>
      <c r="C41" s="3"/>
      <c r="D41" s="3"/>
      <c r="E41" s="3"/>
      <c r="F41" s="3">
        <v>2200000</v>
      </c>
      <c r="G41" s="3">
        <v>2200000</v>
      </c>
      <c r="H41" s="3">
        <v>2200000</v>
      </c>
      <c r="I41" s="3">
        <v>2200000</v>
      </c>
      <c r="J41" s="3">
        <v>2200000</v>
      </c>
      <c r="K41" s="3">
        <v>2200000</v>
      </c>
      <c r="L41" s="3">
        <v>2200000</v>
      </c>
      <c r="M41" s="3">
        <v>2200000</v>
      </c>
      <c r="N41" s="3">
        <v>2200000</v>
      </c>
      <c r="O41" s="3">
        <v>2200000</v>
      </c>
      <c r="P41" s="3">
        <v>2200000</v>
      </c>
      <c r="Q41" s="3">
        <v>2200000</v>
      </c>
      <c r="R41" s="3">
        <v>2200000</v>
      </c>
      <c r="S41" s="3">
        <v>2200000</v>
      </c>
      <c r="T41" s="3">
        <v>2200000</v>
      </c>
      <c r="U41" s="3">
        <v>2200000</v>
      </c>
      <c r="V41" s="3">
        <v>2200000</v>
      </c>
      <c r="W41" s="3">
        <v>2200000</v>
      </c>
      <c r="X41" s="3">
        <v>2903745</v>
      </c>
      <c r="Y41" s="3">
        <v>2903750</v>
      </c>
      <c r="Z41" s="3">
        <v>2903750</v>
      </c>
      <c r="AA41" s="3">
        <v>2903750</v>
      </c>
      <c r="AB41" s="3">
        <v>2903750</v>
      </c>
      <c r="AC41" s="3">
        <v>11243750</v>
      </c>
      <c r="AD41" s="3">
        <v>11243750</v>
      </c>
      <c r="AE41" s="3">
        <v>11243750</v>
      </c>
      <c r="AF41" s="3">
        <v>11243750</v>
      </c>
      <c r="AG41" s="3">
        <v>11243750</v>
      </c>
      <c r="AH41" s="3">
        <v>11243750</v>
      </c>
      <c r="AI41" s="3">
        <v>11243750</v>
      </c>
    </row>
    <row r="42" spans="1:35" x14ac:dyDescent="0.3">
      <c r="A42" s="1" t="s">
        <v>32</v>
      </c>
      <c r="B42" s="3"/>
      <c r="C42" s="3"/>
      <c r="D42" s="3"/>
      <c r="E42" s="3"/>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row>
    <row r="43" spans="1:35" x14ac:dyDescent="0.3">
      <c r="A43" s="1" t="s">
        <v>33</v>
      </c>
      <c r="B43" s="3"/>
      <c r="C43" s="3"/>
      <c r="D43" s="3"/>
      <c r="E43" s="3"/>
      <c r="F43" s="3">
        <v>2584</v>
      </c>
      <c r="G43" s="3">
        <v>-8395</v>
      </c>
      <c r="H43" s="3">
        <v>-53878</v>
      </c>
      <c r="I43" s="3">
        <v>3147</v>
      </c>
      <c r="J43" s="3">
        <v>2584</v>
      </c>
      <c r="K43" s="3">
        <v>32658</v>
      </c>
      <c r="L43" s="3">
        <v>85003</v>
      </c>
      <c r="M43" s="3">
        <v>3437</v>
      </c>
      <c r="N43" s="3">
        <v>203</v>
      </c>
      <c r="O43" s="3">
        <v>-1178</v>
      </c>
      <c r="P43" s="3">
        <v>-1315715</v>
      </c>
      <c r="Q43" s="3">
        <v>-1192284</v>
      </c>
      <c r="R43" s="3">
        <v>-792037</v>
      </c>
      <c r="S43" s="3">
        <v>-842717</v>
      </c>
      <c r="T43" s="3">
        <v>-2050469</v>
      </c>
      <c r="U43" s="3">
        <v>-2091123</v>
      </c>
      <c r="V43" s="3">
        <v>-2108639</v>
      </c>
      <c r="W43" s="3">
        <v>-2126745</v>
      </c>
      <c r="X43" s="3">
        <v>-2436387</v>
      </c>
      <c r="Y43" s="3">
        <v>-2498339</v>
      </c>
      <c r="Z43" s="3">
        <v>-2517253</v>
      </c>
      <c r="AA43" s="3">
        <v>-2492687</v>
      </c>
      <c r="AB43" s="3">
        <v>-6904575</v>
      </c>
      <c r="AC43" s="3">
        <v>-7126997</v>
      </c>
      <c r="AD43" s="3">
        <v>-7285126</v>
      </c>
      <c r="AE43" s="3">
        <v>-7295671</v>
      </c>
      <c r="AF43" s="3">
        <v>-5809396</v>
      </c>
      <c r="AG43" s="3">
        <v>-5727487</v>
      </c>
      <c r="AH43" s="3">
        <v>-5632974</v>
      </c>
      <c r="AI43" s="3">
        <v>-5543342</v>
      </c>
    </row>
    <row r="44" spans="1:35" s="6" customFormat="1" x14ac:dyDescent="0.3">
      <c r="A44" s="6" t="s">
        <v>129</v>
      </c>
      <c r="B44" s="7">
        <f>+SUM(B40:B43)</f>
        <v>0</v>
      </c>
      <c r="C44" s="7">
        <f>+SUM(C40:C43)</f>
        <v>0</v>
      </c>
      <c r="D44" s="7">
        <f>+SUM(D40:D43)</f>
        <v>0</v>
      </c>
      <c r="E44" s="7">
        <f>+SUM(E40:E43)</f>
        <v>0</v>
      </c>
      <c r="F44" s="7">
        <f>+SUM(F40:F43)</f>
        <v>2202584</v>
      </c>
      <c r="G44" s="7">
        <f t="shared" ref="G44:H44" si="60">+SUM(G40:G43)</f>
        <v>2191605</v>
      </c>
      <c r="H44" s="7">
        <f t="shared" si="60"/>
        <v>2146122</v>
      </c>
      <c r="I44" s="7">
        <f t="shared" ref="I44" si="61">+SUM(I40:I43)</f>
        <v>2203147</v>
      </c>
      <c r="J44" s="7">
        <f>+SUM(J40:J43)</f>
        <v>2202584</v>
      </c>
      <c r="K44" s="7">
        <f t="shared" ref="K44:L44" si="62">+SUM(K40:K43)</f>
        <v>2232658</v>
      </c>
      <c r="L44" s="7">
        <f t="shared" si="62"/>
        <v>2285003</v>
      </c>
      <c r="M44" s="7">
        <f t="shared" ref="M44" si="63">+SUM(M40:M43)</f>
        <v>2203437</v>
      </c>
      <c r="N44" s="7">
        <f>+SUM(N40:N43)</f>
        <v>2200203</v>
      </c>
      <c r="O44" s="7">
        <f t="shared" ref="O44" si="64">+SUM(O40:O43)</f>
        <v>2198822</v>
      </c>
      <c r="P44" s="7">
        <f t="shared" ref="P44" si="65">+SUM(P40:P43)</f>
        <v>884285</v>
      </c>
      <c r="Q44" s="7">
        <f t="shared" ref="Q44" si="66">+SUM(Q40:Q43)</f>
        <v>1007716</v>
      </c>
      <c r="R44" s="7">
        <f>+SUM(R40:R43)</f>
        <v>1407963</v>
      </c>
      <c r="S44" s="7">
        <f t="shared" ref="S44" si="67">+SUM(S40:S43)</f>
        <v>1357283</v>
      </c>
      <c r="T44" s="7">
        <f t="shared" ref="T44" si="68">+SUM(T40:T43)</f>
        <v>149531</v>
      </c>
      <c r="U44" s="7">
        <f t="shared" ref="U44" si="69">+SUM(U40:U43)</f>
        <v>108877</v>
      </c>
      <c r="V44" s="7">
        <f>+SUM(V40:V43)</f>
        <v>91361</v>
      </c>
      <c r="W44" s="7">
        <f t="shared" ref="W44" si="70">+SUM(W40:W43)</f>
        <v>73255</v>
      </c>
      <c r="X44" s="7">
        <f t="shared" ref="X44" si="71">+SUM(X40:X43)</f>
        <v>467358</v>
      </c>
      <c r="Y44" s="7">
        <f t="shared" ref="Y44" si="72">+SUM(Y40:Y43)</f>
        <v>405411</v>
      </c>
      <c r="Z44" s="7">
        <f t="shared" ref="Z44:AA44" si="73">+SUM(Z40:Z43)</f>
        <v>386497</v>
      </c>
      <c r="AA44" s="7">
        <f t="shared" si="73"/>
        <v>411063</v>
      </c>
      <c r="AB44" s="7">
        <f t="shared" ref="AB44:AC44" si="74">+SUM(AB40:AB43)</f>
        <v>-4000825</v>
      </c>
      <c r="AC44" s="7">
        <f t="shared" si="74"/>
        <v>4116753</v>
      </c>
      <c r="AD44" s="7">
        <f t="shared" ref="AD44:AE44" si="75">+SUM(AD40:AD43)</f>
        <v>3958624</v>
      </c>
      <c r="AE44" s="7">
        <f t="shared" si="75"/>
        <v>3948079</v>
      </c>
      <c r="AF44" s="7">
        <f t="shared" ref="AF44:AG44" si="76">+SUM(AF40:AF43)</f>
        <v>5434354</v>
      </c>
      <c r="AG44" s="7">
        <f t="shared" si="76"/>
        <v>5516263</v>
      </c>
      <c r="AH44" s="7">
        <f t="shared" ref="AH44:AI44" si="77">+SUM(AH40:AH43)</f>
        <v>5610776</v>
      </c>
      <c r="AI44" s="7">
        <f t="shared" si="77"/>
        <v>5700408</v>
      </c>
    </row>
    <row r="45" spans="1:35" s="8" customFormat="1" x14ac:dyDescent="0.3">
      <c r="A45" s="8" t="s">
        <v>130</v>
      </c>
      <c r="B45" s="9"/>
      <c r="C45" s="9"/>
      <c r="D45" s="9"/>
      <c r="E45" s="9"/>
      <c r="F45" s="9">
        <v>0</v>
      </c>
      <c r="G45" s="9">
        <v>0</v>
      </c>
      <c r="H45" s="9">
        <v>0</v>
      </c>
      <c r="I45" s="9">
        <v>0</v>
      </c>
      <c r="J45" s="9">
        <v>0</v>
      </c>
      <c r="K45" s="9">
        <v>0</v>
      </c>
      <c r="L45" s="9">
        <v>0</v>
      </c>
      <c r="M45" s="9">
        <v>0</v>
      </c>
      <c r="N45" s="9">
        <v>0</v>
      </c>
      <c r="O45" s="9">
        <v>0</v>
      </c>
      <c r="P45" s="9">
        <v>0</v>
      </c>
      <c r="Q45" s="9">
        <v>0</v>
      </c>
      <c r="R45" s="9">
        <v>0</v>
      </c>
      <c r="S45" s="9">
        <v>0</v>
      </c>
      <c r="T45" s="9">
        <v>0</v>
      </c>
      <c r="U45" s="9">
        <v>0</v>
      </c>
      <c r="V45" s="9">
        <v>0</v>
      </c>
      <c r="W45" s="9">
        <v>0</v>
      </c>
      <c r="X45" s="9">
        <v>0</v>
      </c>
      <c r="Y45" s="9">
        <v>0</v>
      </c>
      <c r="Z45" s="9">
        <v>0</v>
      </c>
      <c r="AA45" s="9">
        <v>0</v>
      </c>
      <c r="AB45" s="9">
        <v>0</v>
      </c>
      <c r="AC45" s="9">
        <v>0</v>
      </c>
      <c r="AD45" s="9">
        <v>0</v>
      </c>
      <c r="AE45" s="9">
        <v>0</v>
      </c>
      <c r="AF45" s="9">
        <v>0</v>
      </c>
      <c r="AG45" s="9">
        <v>0</v>
      </c>
      <c r="AH45" s="9">
        <v>0</v>
      </c>
      <c r="AI45" s="9">
        <v>0</v>
      </c>
    </row>
    <row r="46" spans="1:35" x14ac:dyDescent="0.3">
      <c r="A46" s="6" t="s">
        <v>131</v>
      </c>
      <c r="B46" s="7">
        <f>+B44+B39+B45</f>
        <v>0</v>
      </c>
      <c r="C46" s="7">
        <f>+C44+C39+C45</f>
        <v>0</v>
      </c>
      <c r="D46" s="7">
        <f>+D44+D39+D45</f>
        <v>0</v>
      </c>
      <c r="E46" s="7">
        <f>+E44+E39+E45</f>
        <v>0</v>
      </c>
      <c r="F46" s="7">
        <f>+F44+F39+F45</f>
        <v>45308736</v>
      </c>
      <c r="G46" s="7">
        <f t="shared" ref="G46:H46" si="78">+G44+G39+G45</f>
        <v>45406980</v>
      </c>
      <c r="H46" s="7">
        <f t="shared" si="78"/>
        <v>46046680</v>
      </c>
      <c r="I46" s="7">
        <f t="shared" ref="I46" si="79">+I44+I39+I45</f>
        <v>46181019</v>
      </c>
      <c r="J46" s="7">
        <f>+J44+J39+J45</f>
        <v>46753802</v>
      </c>
      <c r="K46" s="7">
        <f t="shared" ref="K46:L46" si="80">+K44+K39+K45</f>
        <v>47122818</v>
      </c>
      <c r="L46" s="7">
        <f t="shared" si="80"/>
        <v>47534204</v>
      </c>
      <c r="M46" s="7">
        <f t="shared" ref="M46" si="81">+M44+M39+M45</f>
        <v>47267969</v>
      </c>
      <c r="N46" s="7">
        <f>+N44+N39+N45</f>
        <v>47949509</v>
      </c>
      <c r="O46" s="7">
        <f t="shared" ref="O46" si="82">+O44+O39+O45</f>
        <v>48398906</v>
      </c>
      <c r="P46" s="7">
        <f t="shared" ref="P46" si="83">+P44+P39+P45</f>
        <v>47517213</v>
      </c>
      <c r="Q46" s="7">
        <f t="shared" ref="Q46" si="84">+Q44+Q39+Q45</f>
        <v>48178022</v>
      </c>
      <c r="R46" s="7">
        <f>+R44+R39+R45</f>
        <v>49597292</v>
      </c>
      <c r="S46" s="7">
        <f t="shared" ref="S46" si="85">+S44+S39+S45</f>
        <v>50442977</v>
      </c>
      <c r="T46" s="7">
        <f t="shared" ref="T46" si="86">+T44+T39+T45</f>
        <v>51094017</v>
      </c>
      <c r="U46" s="7">
        <f t="shared" ref="U46" si="87">+U44+U39+U45</f>
        <v>52897918</v>
      </c>
      <c r="V46" s="7">
        <f>+V44+V39+V45</f>
        <v>54157390</v>
      </c>
      <c r="W46" s="7">
        <f t="shared" ref="W46" si="88">+W44+W39+W45</f>
        <v>55060497</v>
      </c>
      <c r="X46" s="7">
        <f t="shared" ref="X46" si="89">+X44+X39+X45</f>
        <v>55612320</v>
      </c>
      <c r="Y46" s="7">
        <f t="shared" ref="Y46" si="90">+Y44+Y39+Y45</f>
        <v>56149131</v>
      </c>
      <c r="Z46" s="7">
        <f t="shared" ref="Z46:AA46" si="91">+Z44+Z39+Z45</f>
        <v>56257284</v>
      </c>
      <c r="AA46" s="7">
        <f t="shared" si="91"/>
        <v>57013402</v>
      </c>
      <c r="AB46" s="7">
        <f t="shared" ref="AB46:AC46" si="92">+AB44+AB39+AB45</f>
        <v>53101435</v>
      </c>
      <c r="AC46" s="7">
        <f t="shared" si="92"/>
        <v>53913924</v>
      </c>
      <c r="AD46" s="7">
        <f t="shared" ref="AD46:AE46" si="93">+AD44+AD39+AD45</f>
        <v>54550420</v>
      </c>
      <c r="AE46" s="7">
        <f t="shared" si="93"/>
        <v>55210122</v>
      </c>
      <c r="AF46" s="7">
        <f t="shared" ref="AF46:AG46" si="94">+AF44+AF39+AF45</f>
        <v>57304189</v>
      </c>
      <c r="AG46" s="7">
        <f t="shared" si="94"/>
        <v>57465213</v>
      </c>
      <c r="AH46" s="7">
        <f t="shared" ref="AH46:AI46" si="95">+AH44+AH39+AH45</f>
        <v>58200121</v>
      </c>
      <c r="AI46" s="7">
        <f t="shared" si="95"/>
        <v>58282377</v>
      </c>
    </row>
    <row r="47" spans="1:35" x14ac:dyDescent="0.3">
      <c r="A47" s="1" t="s">
        <v>38</v>
      </c>
      <c r="B47" s="4" t="str">
        <f>IF((+B46-B22)=0,"ok","error")</f>
        <v>ok</v>
      </c>
      <c r="C47" s="4" t="str">
        <f>IF((+C46-C22)=0,"ok","error")</f>
        <v>ok</v>
      </c>
      <c r="D47" s="4" t="str">
        <f>IF((+D46-D22)=0,"ok","error")</f>
        <v>ok</v>
      </c>
      <c r="E47" s="4" t="str">
        <f>IF((+E46-E22)=0,"ok","error")</f>
        <v>ok</v>
      </c>
      <c r="F47" s="4" t="str">
        <f>IF((+F46-F22)=0,"ok","error")</f>
        <v>ok</v>
      </c>
      <c r="G47" s="4" t="str">
        <f t="shared" ref="G47:H47" si="96">IF((+G46-G22)=0,"ok","error")</f>
        <v>ok</v>
      </c>
      <c r="H47" s="4" t="str">
        <f t="shared" si="96"/>
        <v>ok</v>
      </c>
      <c r="I47" s="4" t="str">
        <f t="shared" ref="I47" si="97">IF((+I46-I22)=0,"ok","error")</f>
        <v>ok</v>
      </c>
      <c r="J47" s="4" t="str">
        <f>IF((+J46-J22)=0,"ok","error")</f>
        <v>ok</v>
      </c>
      <c r="K47" s="4" t="str">
        <f t="shared" ref="K47:L47" si="98">IF((+K46-K22)=0,"ok","error")</f>
        <v>ok</v>
      </c>
      <c r="L47" s="4" t="str">
        <f t="shared" si="98"/>
        <v>ok</v>
      </c>
      <c r="M47" s="4" t="str">
        <f t="shared" ref="M47" si="99">IF((+M46-M22)=0,"ok","error")</f>
        <v>ok</v>
      </c>
      <c r="N47" s="4" t="str">
        <f>IF((+N46-N22)=0,"ok","error")</f>
        <v>ok</v>
      </c>
      <c r="O47" s="4" t="str">
        <f t="shared" ref="O47" si="100">IF((+O46-O22)=0,"ok","error")</f>
        <v>ok</v>
      </c>
      <c r="P47" s="4" t="str">
        <f t="shared" ref="P47" si="101">IF((+P46-P22)=0,"ok","error")</f>
        <v>ok</v>
      </c>
      <c r="Q47" s="4" t="str">
        <f t="shared" ref="Q47" si="102">IF((+Q46-Q22)=0,"ok","error")</f>
        <v>ok</v>
      </c>
      <c r="R47" s="4" t="str">
        <f>IF((+R46-R22)=0,"ok","error")</f>
        <v>ok</v>
      </c>
      <c r="S47" s="4" t="str">
        <f t="shared" ref="S47" si="103">IF((+S46-S22)=0,"ok","error")</f>
        <v>ok</v>
      </c>
      <c r="T47" s="4" t="str">
        <f t="shared" ref="T47" si="104">IF((+T46-T22)=0,"ok","error")</f>
        <v>ok</v>
      </c>
      <c r="U47" s="4" t="str">
        <f t="shared" ref="U47" si="105">IF((+U46-U22)=0,"ok","error")</f>
        <v>ok</v>
      </c>
      <c r="V47" s="4" t="str">
        <f>IF((+V46-V22)=0,"ok","error")</f>
        <v>ok</v>
      </c>
      <c r="W47" s="4" t="str">
        <f t="shared" ref="W47" si="106">IF((+W46-W22)=0,"ok","error")</f>
        <v>ok</v>
      </c>
      <c r="X47" s="4" t="str">
        <f t="shared" ref="X47" si="107">IF((+X46-X22)=0,"ok","error")</f>
        <v>ok</v>
      </c>
      <c r="Y47" s="4" t="str">
        <f t="shared" ref="Y47" si="108">IF((+Y46-Y22)=0,"ok","error")</f>
        <v>ok</v>
      </c>
      <c r="Z47" s="4" t="str">
        <f t="shared" ref="Z47:AA47" si="109">IF((+Z46-Z22)=0,"ok","error")</f>
        <v>ok</v>
      </c>
      <c r="AA47" s="4" t="str">
        <f t="shared" si="109"/>
        <v>ok</v>
      </c>
      <c r="AB47" s="4" t="str">
        <f t="shared" ref="AB47:AC47" si="110">IF((+AB46-AB22)=0,"ok","error")</f>
        <v>ok</v>
      </c>
      <c r="AC47" s="4" t="str">
        <f t="shared" si="110"/>
        <v>ok</v>
      </c>
      <c r="AD47" s="4" t="str">
        <f t="shared" ref="AD47:AE47" si="111">IF((+AD46-AD22)=0,"ok","error")</f>
        <v>ok</v>
      </c>
      <c r="AE47" s="4" t="str">
        <f t="shared" si="111"/>
        <v>ok</v>
      </c>
      <c r="AF47" s="4" t="str">
        <f t="shared" ref="AF47:AG47" si="112">IF((+AF46-AF22)=0,"ok","error")</f>
        <v>ok</v>
      </c>
      <c r="AG47" s="4" t="str">
        <f t="shared" si="112"/>
        <v>ok</v>
      </c>
      <c r="AH47" s="4" t="str">
        <f t="shared" ref="AH47:AI47" si="113">IF((+AH46-AH22)=0,"ok","error")</f>
        <v>ok</v>
      </c>
      <c r="AI47" s="4" t="str">
        <f t="shared" si="113"/>
        <v>ok</v>
      </c>
    </row>
    <row r="48" spans="1:35"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1:35"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
      <c r="A50" s="1" t="s">
        <v>134</v>
      </c>
      <c r="B50" s="3"/>
      <c r="C50" s="3"/>
      <c r="D50" s="3"/>
      <c r="E50" s="3"/>
      <c r="F50" s="3">
        <v>845464</v>
      </c>
      <c r="G50" s="3">
        <v>545472</v>
      </c>
      <c r="H50" s="3">
        <v>1081521</v>
      </c>
      <c r="I50" s="3">
        <v>1649167</v>
      </c>
      <c r="J50" s="3">
        <v>2220235</v>
      </c>
      <c r="K50" s="3">
        <v>576198</v>
      </c>
      <c r="L50" s="3">
        <v>1158397</v>
      </c>
      <c r="M50" s="3">
        <v>1740604</v>
      </c>
      <c r="N50" s="3">
        <v>2268193</v>
      </c>
      <c r="O50" s="3">
        <v>561045</v>
      </c>
      <c r="P50" s="3">
        <v>1129039</v>
      </c>
      <c r="Q50" s="3">
        <v>1705440</v>
      </c>
      <c r="R50" s="3">
        <v>2278542</v>
      </c>
      <c r="S50" s="3">
        <v>479275</v>
      </c>
      <c r="T50" s="3">
        <v>979243</v>
      </c>
      <c r="U50" s="3">
        <v>1622017</v>
      </c>
      <c r="V50" s="3">
        <v>2269381</v>
      </c>
      <c r="W50" s="3">
        <v>569678</v>
      </c>
      <c r="X50" s="3">
        <v>1151993</v>
      </c>
      <c r="Y50" s="3">
        <v>1752674</v>
      </c>
      <c r="Z50" s="3">
        <v>2381508</v>
      </c>
      <c r="AA50" s="3">
        <v>634922</v>
      </c>
      <c r="AB50" s="3">
        <v>1279845</v>
      </c>
      <c r="AC50" s="3">
        <v>1689118</v>
      </c>
      <c r="AD50" s="3">
        <v>2175528</v>
      </c>
      <c r="AE50" s="3">
        <v>529423</v>
      </c>
      <c r="AF50" s="3">
        <v>1149911</v>
      </c>
      <c r="AG50" s="3">
        <v>1827020</v>
      </c>
      <c r="AH50" s="3">
        <v>2559272</v>
      </c>
      <c r="AI50" s="3">
        <v>746021</v>
      </c>
    </row>
    <row r="51" spans="1:35" x14ac:dyDescent="0.3">
      <c r="A51" s="1" t="s">
        <v>135</v>
      </c>
      <c r="B51" s="3"/>
      <c r="C51" s="3"/>
      <c r="D51" s="3"/>
      <c r="E51" s="3"/>
      <c r="F51" s="3">
        <v>-77084</v>
      </c>
      <c r="G51" s="3">
        <v>-123961</v>
      </c>
      <c r="H51" s="3">
        <v>-254363</v>
      </c>
      <c r="I51" s="3">
        <v>-383634</v>
      </c>
      <c r="J51" s="3">
        <v>-515677</v>
      </c>
      <c r="K51" s="3">
        <v>-144954</v>
      </c>
      <c r="L51" s="3">
        <v>-292186</v>
      </c>
      <c r="M51" s="3">
        <v>-436414</v>
      </c>
      <c r="N51" s="3">
        <v>-594918</v>
      </c>
      <c r="O51" s="3">
        <v>-162282</v>
      </c>
      <c r="P51" s="3">
        <v>-325448</v>
      </c>
      <c r="Q51" s="3">
        <v>-483539</v>
      </c>
      <c r="R51" s="3">
        <v>-653292</v>
      </c>
      <c r="S51" s="3">
        <v>-219200</v>
      </c>
      <c r="T51" s="3">
        <v>-418774</v>
      </c>
      <c r="U51" s="3">
        <v>-722529</v>
      </c>
      <c r="V51" s="3">
        <v>-1000005</v>
      </c>
      <c r="W51" s="3">
        <v>-244259</v>
      </c>
      <c r="X51" s="3">
        <v>-532977</v>
      </c>
      <c r="Y51" s="3">
        <v>-849321</v>
      </c>
      <c r="Z51" s="3">
        <v>-1144245</v>
      </c>
      <c r="AA51" s="3">
        <v>-235380</v>
      </c>
      <c r="AB51" s="3">
        <v>-491985</v>
      </c>
      <c r="AC51" s="3">
        <v>-864143</v>
      </c>
      <c r="AD51" s="3">
        <v>-1233366</v>
      </c>
      <c r="AE51" s="3">
        <v>-277191</v>
      </c>
      <c r="AF51" s="3">
        <v>-550933</v>
      </c>
      <c r="AG51" s="3">
        <v>-788880</v>
      </c>
      <c r="AH51" s="3">
        <v>-1040539</v>
      </c>
      <c r="AI51" s="3">
        <v>-245660</v>
      </c>
    </row>
    <row r="52" spans="1:35" s="6" customFormat="1" x14ac:dyDescent="0.3">
      <c r="A52" s="6" t="s">
        <v>136</v>
      </c>
      <c r="B52" s="7">
        <f>+SUM(B50:B51)</f>
        <v>0</v>
      </c>
      <c r="C52" s="7">
        <f t="shared" ref="C52:R52" si="114">+SUM(C50:C51)</f>
        <v>0</v>
      </c>
      <c r="D52" s="7">
        <f t="shared" si="114"/>
        <v>0</v>
      </c>
      <c r="E52" s="7">
        <f t="shared" si="114"/>
        <v>0</v>
      </c>
      <c r="F52" s="7">
        <f t="shared" si="114"/>
        <v>768380</v>
      </c>
      <c r="G52" s="7">
        <f t="shared" si="114"/>
        <v>421511</v>
      </c>
      <c r="H52" s="7">
        <f t="shared" si="114"/>
        <v>827158</v>
      </c>
      <c r="I52" s="7">
        <f t="shared" si="114"/>
        <v>1265533</v>
      </c>
      <c r="J52" s="7">
        <f t="shared" si="114"/>
        <v>1704558</v>
      </c>
      <c r="K52" s="7">
        <f t="shared" si="114"/>
        <v>431244</v>
      </c>
      <c r="L52" s="7">
        <f t="shared" ref="L52:M52" si="115">+SUM(L50:L51)</f>
        <v>866211</v>
      </c>
      <c r="M52" s="7">
        <f t="shared" si="115"/>
        <v>1304190</v>
      </c>
      <c r="N52" s="7">
        <f t="shared" si="114"/>
        <v>1673275</v>
      </c>
      <c r="O52" s="7">
        <f t="shared" si="114"/>
        <v>398763</v>
      </c>
      <c r="P52" s="7">
        <f t="shared" si="114"/>
        <v>803591</v>
      </c>
      <c r="Q52" s="7">
        <f t="shared" si="114"/>
        <v>1221901</v>
      </c>
      <c r="R52" s="7">
        <f t="shared" si="114"/>
        <v>1625250</v>
      </c>
      <c r="S52" s="7">
        <f t="shared" ref="S52:U52" si="116">+SUM(S50:S51)</f>
        <v>260075</v>
      </c>
      <c r="T52" s="7">
        <f t="shared" si="116"/>
        <v>560469</v>
      </c>
      <c r="U52" s="7">
        <f t="shared" si="116"/>
        <v>899488</v>
      </c>
      <c r="V52" s="7">
        <f t="shared" ref="V52" si="117">+SUM(V50:V51)</f>
        <v>1269376</v>
      </c>
      <c r="W52" s="7">
        <f t="shared" ref="W52:Z52" si="118">+SUM(W50:W51)</f>
        <v>325419</v>
      </c>
      <c r="X52" s="7">
        <f t="shared" si="118"/>
        <v>619016</v>
      </c>
      <c r="Y52" s="7">
        <f t="shared" si="118"/>
        <v>903353</v>
      </c>
      <c r="Z52" s="7">
        <f t="shared" si="118"/>
        <v>1237263</v>
      </c>
      <c r="AA52" s="7">
        <f t="shared" ref="AA52:AB52" si="119">+SUM(AA50:AA51)</f>
        <v>399542</v>
      </c>
      <c r="AB52" s="7">
        <f t="shared" si="119"/>
        <v>787860</v>
      </c>
      <c r="AC52" s="7">
        <f t="shared" ref="AC52:AD52" si="120">+SUM(AC50:AC51)</f>
        <v>824975</v>
      </c>
      <c r="AD52" s="7">
        <f t="shared" si="120"/>
        <v>942162</v>
      </c>
      <c r="AE52" s="7">
        <f t="shared" ref="AE52:AF52" si="121">+SUM(AE50:AE51)</f>
        <v>252232</v>
      </c>
      <c r="AF52" s="7">
        <f t="shared" si="121"/>
        <v>598978</v>
      </c>
      <c r="AG52" s="7">
        <f t="shared" ref="AG52:AH52" si="122">+SUM(AG50:AG51)</f>
        <v>1038140</v>
      </c>
      <c r="AH52" s="7">
        <f t="shared" si="122"/>
        <v>1518733</v>
      </c>
      <c r="AI52" s="7">
        <f t="shared" ref="AI52" si="123">+SUM(AI50:AI51)</f>
        <v>500361</v>
      </c>
    </row>
    <row r="53" spans="1:35" x14ac:dyDescent="0.3">
      <c r="A53" s="1" t="s">
        <v>137</v>
      </c>
      <c r="B53" s="3"/>
      <c r="C53" s="3">
        <v>0</v>
      </c>
      <c r="D53" s="3">
        <v>0</v>
      </c>
      <c r="E53" s="3">
        <v>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240</v>
      </c>
      <c r="AE53" s="3">
        <v>0</v>
      </c>
      <c r="AF53" s="3">
        <v>0</v>
      </c>
      <c r="AG53" s="3">
        <v>0</v>
      </c>
      <c r="AH53" s="3">
        <v>0</v>
      </c>
      <c r="AI53" s="3">
        <v>0</v>
      </c>
    </row>
    <row r="54" spans="1:35" x14ac:dyDescent="0.3">
      <c r="A54" s="1" t="s">
        <v>138</v>
      </c>
      <c r="B54" s="3"/>
      <c r="C54" s="3"/>
      <c r="D54" s="3"/>
      <c r="E54" s="3"/>
      <c r="F54" s="3">
        <v>-10774</v>
      </c>
      <c r="G54" s="3">
        <v>-5562</v>
      </c>
      <c r="H54" s="3">
        <v>-10548</v>
      </c>
      <c r="I54" s="3">
        <v>-20817</v>
      </c>
      <c r="J54" s="3">
        <v>-26457</v>
      </c>
      <c r="K54" s="3">
        <v>-10470</v>
      </c>
      <c r="L54" s="3">
        <v>-15440</v>
      </c>
      <c r="M54" s="3">
        <v>-25869</v>
      </c>
      <c r="N54" s="3">
        <v>-31909</v>
      </c>
      <c r="O54" s="3">
        <v>-9806</v>
      </c>
      <c r="P54" s="3">
        <v>-16025</v>
      </c>
      <c r="Q54" s="3">
        <v>-22463</v>
      </c>
      <c r="R54" s="3">
        <v>-28109</v>
      </c>
      <c r="S54" s="3">
        <v>-7200</v>
      </c>
      <c r="T54" s="3">
        <v>-13104</v>
      </c>
      <c r="U54" s="3">
        <v>-19509</v>
      </c>
      <c r="V54" s="3">
        <v>-33228</v>
      </c>
      <c r="W54" s="3">
        <v>-5416</v>
      </c>
      <c r="X54" s="3">
        <v>-12902</v>
      </c>
      <c r="Y54" s="3">
        <v>-20381</v>
      </c>
      <c r="Z54" s="3">
        <v>-30126</v>
      </c>
      <c r="AA54" s="3">
        <v>-6755</v>
      </c>
      <c r="AB54" s="3">
        <v>-13789</v>
      </c>
      <c r="AC54" s="3">
        <v>-22847</v>
      </c>
      <c r="AD54" s="3">
        <v>-40362</v>
      </c>
      <c r="AE54" s="3">
        <v>-8044</v>
      </c>
      <c r="AF54" s="3">
        <v>-27309</v>
      </c>
      <c r="AG54" s="3">
        <v>-49691</v>
      </c>
      <c r="AH54" s="3">
        <v>-63922</v>
      </c>
      <c r="AI54" s="3">
        <v>-19558</v>
      </c>
    </row>
    <row r="55" spans="1:35" x14ac:dyDescent="0.3">
      <c r="A55" s="1" t="s">
        <v>139</v>
      </c>
      <c r="B55" s="3"/>
      <c r="C55" s="3"/>
      <c r="D55" s="3"/>
      <c r="E55" s="3"/>
      <c r="F55" s="3">
        <v>0</v>
      </c>
      <c r="G55" s="3">
        <v>0</v>
      </c>
      <c r="H55" s="3">
        <v>0</v>
      </c>
      <c r="I55" s="3">
        <v>0</v>
      </c>
      <c r="J55" s="3">
        <v>0</v>
      </c>
      <c r="K55" s="3">
        <v>0</v>
      </c>
      <c r="L55" s="3">
        <v>-99</v>
      </c>
      <c r="M55" s="3">
        <v>-99</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-1357</v>
      </c>
      <c r="AG55" s="3">
        <v>-1357</v>
      </c>
      <c r="AH55" s="3">
        <v>-1357</v>
      </c>
      <c r="AI55" s="3">
        <v>0</v>
      </c>
    </row>
    <row r="56" spans="1:35" x14ac:dyDescent="0.3">
      <c r="A56" s="1" t="s">
        <v>140</v>
      </c>
      <c r="B56" s="3"/>
      <c r="C56" s="3"/>
      <c r="D56" s="3"/>
      <c r="E56" s="3"/>
      <c r="F56" s="3">
        <v>-58</v>
      </c>
      <c r="G56" s="3">
        <v>0</v>
      </c>
      <c r="H56" s="3">
        <v>0</v>
      </c>
      <c r="I56" s="3">
        <v>0</v>
      </c>
      <c r="J56" s="3">
        <v>0</v>
      </c>
      <c r="K56" s="3">
        <v>0</v>
      </c>
      <c r="L56" s="3">
        <v>0</v>
      </c>
      <c r="M56" s="3">
        <v>0</v>
      </c>
      <c r="N56" s="3">
        <v>-99</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v>0</v>
      </c>
      <c r="AG56" s="3">
        <v>0</v>
      </c>
      <c r="AH56" s="3">
        <v>0</v>
      </c>
      <c r="AI56" s="3">
        <v>0</v>
      </c>
    </row>
    <row r="57" spans="1:35" s="6" customFormat="1" x14ac:dyDescent="0.3">
      <c r="A57" s="6" t="s">
        <v>141</v>
      </c>
      <c r="B57" s="7">
        <f>+SUM(B52:B56)</f>
        <v>0</v>
      </c>
      <c r="C57" s="7">
        <f t="shared" ref="C57:R57" si="124">+SUM(C52:C56)</f>
        <v>0</v>
      </c>
      <c r="D57" s="7">
        <f t="shared" si="124"/>
        <v>0</v>
      </c>
      <c r="E57" s="7">
        <f t="shared" si="124"/>
        <v>0</v>
      </c>
      <c r="F57" s="7">
        <f t="shared" si="124"/>
        <v>757548</v>
      </c>
      <c r="G57" s="7">
        <f t="shared" si="124"/>
        <v>415949</v>
      </c>
      <c r="H57" s="7">
        <f t="shared" si="124"/>
        <v>816610</v>
      </c>
      <c r="I57" s="7">
        <f t="shared" si="124"/>
        <v>1244716</v>
      </c>
      <c r="J57" s="7">
        <f t="shared" si="124"/>
        <v>1678101</v>
      </c>
      <c r="K57" s="7">
        <f t="shared" si="124"/>
        <v>420774</v>
      </c>
      <c r="L57" s="7">
        <f t="shared" ref="L57:M57" si="125">+SUM(L52:L56)</f>
        <v>850672</v>
      </c>
      <c r="M57" s="7">
        <f t="shared" si="125"/>
        <v>1278222</v>
      </c>
      <c r="N57" s="7">
        <f t="shared" si="124"/>
        <v>1641267</v>
      </c>
      <c r="O57" s="7">
        <f t="shared" si="124"/>
        <v>388957</v>
      </c>
      <c r="P57" s="7">
        <f t="shared" si="124"/>
        <v>787566</v>
      </c>
      <c r="Q57" s="7">
        <f t="shared" si="124"/>
        <v>1199438</v>
      </c>
      <c r="R57" s="7">
        <f t="shared" si="124"/>
        <v>1597141</v>
      </c>
      <c r="S57" s="7">
        <f t="shared" ref="S57:U57" si="126">+SUM(S52:S56)</f>
        <v>252875</v>
      </c>
      <c r="T57" s="7">
        <f t="shared" si="126"/>
        <v>547365</v>
      </c>
      <c r="U57" s="7">
        <f t="shared" si="126"/>
        <v>879979</v>
      </c>
      <c r="V57" s="7">
        <f t="shared" ref="V57:Z57" si="127">+SUM(V52:V56)</f>
        <v>1236148</v>
      </c>
      <c r="W57" s="7">
        <f t="shared" si="127"/>
        <v>320003</v>
      </c>
      <c r="X57" s="7">
        <f t="shared" si="127"/>
        <v>606114</v>
      </c>
      <c r="Y57" s="7">
        <f t="shared" si="127"/>
        <v>882972</v>
      </c>
      <c r="Z57" s="7">
        <f t="shared" si="127"/>
        <v>1207137</v>
      </c>
      <c r="AA57" s="7">
        <f t="shared" ref="AA57:AB57" si="128">+SUM(AA52:AA56)</f>
        <v>392787</v>
      </c>
      <c r="AB57" s="7">
        <f t="shared" si="128"/>
        <v>774071</v>
      </c>
      <c r="AC57" s="7">
        <f t="shared" ref="AC57:AD57" si="129">+SUM(AC52:AC56)</f>
        <v>802128</v>
      </c>
      <c r="AD57" s="7">
        <f t="shared" si="129"/>
        <v>902040</v>
      </c>
      <c r="AE57" s="7">
        <f t="shared" ref="AE57:AF57" si="130">+SUM(AE52:AE56)</f>
        <v>244188</v>
      </c>
      <c r="AF57" s="7">
        <f t="shared" si="130"/>
        <v>570312</v>
      </c>
      <c r="AG57" s="7">
        <f t="shared" ref="AG57:AH57" si="131">+SUM(AG52:AG56)</f>
        <v>987092</v>
      </c>
      <c r="AH57" s="7">
        <f t="shared" si="131"/>
        <v>1453454</v>
      </c>
      <c r="AI57" s="7">
        <f t="shared" ref="AI57" si="132">+SUM(AI52:AI56)</f>
        <v>480803</v>
      </c>
    </row>
    <row r="58" spans="1:35" x14ac:dyDescent="0.3">
      <c r="A58" s="1" t="s">
        <v>142</v>
      </c>
      <c r="B58" s="3"/>
      <c r="C58" s="3"/>
      <c r="D58" s="3"/>
      <c r="E58" s="3"/>
      <c r="F58" s="3">
        <v>0</v>
      </c>
      <c r="G58" s="3">
        <v>80</v>
      </c>
      <c r="H58" s="3">
        <v>3805</v>
      </c>
      <c r="I58" s="3">
        <v>6466</v>
      </c>
      <c r="J58" s="3">
        <v>9207</v>
      </c>
      <c r="K58" s="3">
        <v>2547</v>
      </c>
      <c r="L58" s="3">
        <v>3796</v>
      </c>
      <c r="M58" s="3">
        <v>4080</v>
      </c>
      <c r="N58" s="3">
        <v>4233</v>
      </c>
      <c r="O58" s="3">
        <v>248</v>
      </c>
      <c r="P58" s="3">
        <v>459</v>
      </c>
      <c r="Q58" s="3">
        <v>725</v>
      </c>
      <c r="R58" s="3">
        <v>5807</v>
      </c>
      <c r="S58" s="3">
        <v>11432</v>
      </c>
      <c r="T58" s="3">
        <v>16377</v>
      </c>
      <c r="U58" s="3">
        <v>27247</v>
      </c>
      <c r="V58" s="3">
        <v>32638</v>
      </c>
      <c r="W58" s="3">
        <v>9126</v>
      </c>
      <c r="X58" s="3">
        <v>13172</v>
      </c>
      <c r="Y58" s="3">
        <v>18485</v>
      </c>
      <c r="Z58" s="3">
        <v>19700</v>
      </c>
      <c r="AA58" s="3">
        <v>2615</v>
      </c>
      <c r="AB58" s="3">
        <v>5136</v>
      </c>
      <c r="AC58" s="3">
        <v>7311</v>
      </c>
      <c r="AD58" s="3">
        <v>9487</v>
      </c>
      <c r="AE58" s="3">
        <v>1675</v>
      </c>
      <c r="AF58" s="3">
        <v>3083</v>
      </c>
      <c r="AG58" s="3">
        <v>6697</v>
      </c>
      <c r="AH58" s="3">
        <f>9295</f>
        <v>9295</v>
      </c>
      <c r="AI58" s="3">
        <v>5900</v>
      </c>
    </row>
    <row r="59" spans="1:35" x14ac:dyDescent="0.3">
      <c r="A59" s="1" t="s">
        <v>143</v>
      </c>
      <c r="B59" s="3"/>
      <c r="C59" s="3"/>
      <c r="D59" s="3"/>
      <c r="E59" s="3"/>
      <c r="F59" s="3">
        <v>-276286</v>
      </c>
      <c r="G59" s="3">
        <v>-431079</v>
      </c>
      <c r="H59" s="3">
        <v>-639223</v>
      </c>
      <c r="I59" s="3">
        <v>-963258</v>
      </c>
      <c r="J59" s="3">
        <v>-1290712</v>
      </c>
      <c r="K59" s="3">
        <v>-276460</v>
      </c>
      <c r="L59" s="3">
        <v>-555366</v>
      </c>
      <c r="M59" s="3">
        <v>-836517</v>
      </c>
      <c r="N59" s="3">
        <v>-1093961</v>
      </c>
      <c r="O59" s="3">
        <v>-239256</v>
      </c>
      <c r="P59" s="3">
        <v>-483863</v>
      </c>
      <c r="Q59" s="3">
        <v>-736128</v>
      </c>
      <c r="R59" s="3">
        <v>-989792</v>
      </c>
      <c r="S59" s="3">
        <v>-360244</v>
      </c>
      <c r="T59" s="3">
        <v>-733054</v>
      </c>
      <c r="U59" s="3">
        <v>-1129625</v>
      </c>
      <c r="V59" s="3">
        <v>-1530737</v>
      </c>
      <c r="W59" s="3">
        <v>-355698</v>
      </c>
      <c r="X59" s="3">
        <v>-720661</v>
      </c>
      <c r="Y59" s="3">
        <v>-1084823</v>
      </c>
      <c r="Z59" s="3">
        <v>-1453674</v>
      </c>
      <c r="AA59" s="3">
        <v>-405653</v>
      </c>
      <c r="AB59" s="3">
        <v>-816852</v>
      </c>
      <c r="AC59" s="3">
        <v>-1179338</v>
      </c>
      <c r="AD59" s="3">
        <v>-1514751</v>
      </c>
      <c r="AE59" s="3">
        <v>-330207</v>
      </c>
      <c r="AF59" s="3">
        <v>-668560</v>
      </c>
      <c r="AG59" s="3">
        <v>-1015161</v>
      </c>
      <c r="AH59" s="3">
        <v>-1403954</v>
      </c>
      <c r="AI59" s="3">
        <v>-381064</v>
      </c>
    </row>
    <row r="60" spans="1:35" ht="28.8" x14ac:dyDescent="0.3">
      <c r="A60" s="5" t="s">
        <v>144</v>
      </c>
      <c r="B60" s="3"/>
      <c r="C60" s="3"/>
      <c r="D60" s="3"/>
      <c r="E60" s="3"/>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row>
    <row r="61" spans="1:35" x14ac:dyDescent="0.3">
      <c r="A61" s="1" t="s">
        <v>145</v>
      </c>
      <c r="B61" s="3"/>
      <c r="C61" s="3"/>
      <c r="D61" s="3"/>
      <c r="E61" s="3"/>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-408</v>
      </c>
      <c r="AG61" s="3">
        <v>-408</v>
      </c>
      <c r="AH61" s="3">
        <v>0</v>
      </c>
      <c r="AI61" s="3">
        <v>0</v>
      </c>
    </row>
    <row r="62" spans="1:35" x14ac:dyDescent="0.3">
      <c r="A62" s="1" t="s">
        <v>146</v>
      </c>
      <c r="B62" s="3"/>
      <c r="C62" s="3"/>
      <c r="D62" s="3"/>
      <c r="E62" s="3"/>
      <c r="F62" s="3">
        <v>-551808</v>
      </c>
      <c r="G62" s="3">
        <v>59</v>
      </c>
      <c r="H62" s="3">
        <v>-525339</v>
      </c>
      <c r="I62" s="3">
        <v>-751168</v>
      </c>
      <c r="J62" s="3">
        <v>-1157343</v>
      </c>
      <c r="K62" s="3">
        <v>-447317</v>
      </c>
      <c r="L62" s="3">
        <v>-600698</v>
      </c>
      <c r="M62" s="3">
        <v>-618468</v>
      </c>
      <c r="N62" s="3">
        <v>-1182245</v>
      </c>
      <c r="O62" s="3">
        <v>-505253</v>
      </c>
      <c r="P62" s="3">
        <v>-993722</v>
      </c>
      <c r="Q62" s="3">
        <v>-1582108</v>
      </c>
      <c r="R62" s="3">
        <v>-2973056</v>
      </c>
      <c r="S62" s="3">
        <v>-1140922</v>
      </c>
      <c r="T62" s="3">
        <v>-3226266</v>
      </c>
      <c r="U62" s="3">
        <v>-5025265</v>
      </c>
      <c r="V62" s="3">
        <v>-6316607</v>
      </c>
      <c r="W62" s="3">
        <v>-713206</v>
      </c>
      <c r="X62" s="3">
        <v>-1499516</v>
      </c>
      <c r="Y62" s="3">
        <v>-1662708</v>
      </c>
      <c r="Z62" s="3">
        <v>-2556498</v>
      </c>
      <c r="AA62" s="3">
        <v>-461097</v>
      </c>
      <c r="AB62" s="3">
        <v>-1183860</v>
      </c>
      <c r="AC62" s="3">
        <v>-1627126</v>
      </c>
      <c r="AD62" s="3">
        <v>-2291181</v>
      </c>
      <c r="AE62" s="3">
        <v>-626546</v>
      </c>
      <c r="AF62" s="3">
        <v>-1115518</v>
      </c>
      <c r="AG62" s="3">
        <v>-1402559</v>
      </c>
      <c r="AH62" s="3">
        <v>-1721298</v>
      </c>
      <c r="AI62" s="3">
        <v>-150287</v>
      </c>
    </row>
    <row r="63" spans="1:35" x14ac:dyDescent="0.3">
      <c r="A63" s="1" t="s">
        <v>147</v>
      </c>
      <c r="B63" s="3"/>
      <c r="C63" s="3"/>
      <c r="D63" s="3"/>
      <c r="E63" s="3"/>
      <c r="F63" s="3">
        <v>570463</v>
      </c>
      <c r="G63" s="3">
        <v>-49</v>
      </c>
      <c r="H63" s="3">
        <v>484044</v>
      </c>
      <c r="I63" s="3">
        <v>720869</v>
      </c>
      <c r="J63" s="3">
        <v>1023132</v>
      </c>
      <c r="K63" s="3">
        <v>467597</v>
      </c>
      <c r="L63" s="3">
        <v>673073</v>
      </c>
      <c r="M63" s="3">
        <v>691680</v>
      </c>
      <c r="N63" s="3">
        <v>1281747</v>
      </c>
      <c r="O63" s="3">
        <v>528144</v>
      </c>
      <c r="P63" s="3">
        <v>-765607</v>
      </c>
      <c r="Q63" s="3">
        <v>-172385</v>
      </c>
      <c r="R63" s="3">
        <v>1243244</v>
      </c>
      <c r="S63" s="3">
        <v>1153352</v>
      </c>
      <c r="T63" s="3">
        <v>1637116</v>
      </c>
      <c r="U63" s="3">
        <v>3414488</v>
      </c>
      <c r="V63" s="3">
        <v>4708371</v>
      </c>
      <c r="W63" s="3">
        <v>704789</v>
      </c>
      <c r="X63" s="3">
        <v>1119855</v>
      </c>
      <c r="Y63" s="3">
        <v>1282708</v>
      </c>
      <c r="Z63" s="3">
        <v>2174712</v>
      </c>
      <c r="AA63" s="3">
        <v>458429</v>
      </c>
      <c r="AB63" s="3">
        <v>-4817951</v>
      </c>
      <c r="AC63" s="3">
        <v>-4361717</v>
      </c>
      <c r="AD63" s="3">
        <v>-3759461</v>
      </c>
      <c r="AE63" s="3">
        <v>643359</v>
      </c>
      <c r="AF63" s="3">
        <v>3142170</v>
      </c>
      <c r="AG63" s="3">
        <v>3447835</v>
      </c>
      <c r="AH63" s="3">
        <v>3786684</v>
      </c>
      <c r="AI63" s="3">
        <v>159083</v>
      </c>
    </row>
    <row r="64" spans="1:35" s="6" customFormat="1" x14ac:dyDescent="0.3">
      <c r="A64" s="6" t="s">
        <v>148</v>
      </c>
      <c r="B64" s="7">
        <f>+SUM(B57:B63)</f>
        <v>0</v>
      </c>
      <c r="C64" s="7">
        <f t="shared" ref="C64:R64" si="133">+SUM(C57:C63)</f>
        <v>0</v>
      </c>
      <c r="D64" s="7">
        <f t="shared" si="133"/>
        <v>0</v>
      </c>
      <c r="E64" s="7">
        <f t="shared" si="133"/>
        <v>0</v>
      </c>
      <c r="F64" s="7">
        <f t="shared" si="133"/>
        <v>499917</v>
      </c>
      <c r="G64" s="7">
        <f t="shared" si="133"/>
        <v>-15040</v>
      </c>
      <c r="H64" s="7">
        <f t="shared" si="133"/>
        <v>139897</v>
      </c>
      <c r="I64" s="7">
        <f t="shared" si="133"/>
        <v>257625</v>
      </c>
      <c r="J64" s="7">
        <f t="shared" si="133"/>
        <v>262385</v>
      </c>
      <c r="K64" s="7">
        <f t="shared" si="133"/>
        <v>167141</v>
      </c>
      <c r="L64" s="7">
        <f t="shared" ref="L64:M64" si="134">+SUM(L57:L63)</f>
        <v>371477</v>
      </c>
      <c r="M64" s="7">
        <f t="shared" si="134"/>
        <v>518997</v>
      </c>
      <c r="N64" s="7">
        <f t="shared" si="133"/>
        <v>651041</v>
      </c>
      <c r="O64" s="7">
        <f t="shared" si="133"/>
        <v>172840</v>
      </c>
      <c r="P64" s="7">
        <f t="shared" si="133"/>
        <v>-1455167</v>
      </c>
      <c r="Q64" s="7">
        <f t="shared" si="133"/>
        <v>-1290458</v>
      </c>
      <c r="R64" s="7">
        <f t="shared" si="133"/>
        <v>-1116656</v>
      </c>
      <c r="S64" s="7">
        <f t="shared" ref="S64:U64" si="135">+SUM(S57:S63)</f>
        <v>-83507</v>
      </c>
      <c r="T64" s="7">
        <f t="shared" si="135"/>
        <v>-1758462</v>
      </c>
      <c r="U64" s="7">
        <f t="shared" si="135"/>
        <v>-1833176</v>
      </c>
      <c r="V64" s="7">
        <f t="shared" ref="V64:Z64" si="136">+SUM(V57:V63)</f>
        <v>-1870187</v>
      </c>
      <c r="W64" s="7">
        <f t="shared" si="136"/>
        <v>-34986</v>
      </c>
      <c r="X64" s="7">
        <f t="shared" si="136"/>
        <v>-481036</v>
      </c>
      <c r="Y64" s="7">
        <f t="shared" si="136"/>
        <v>-563366</v>
      </c>
      <c r="Z64" s="7">
        <f t="shared" si="136"/>
        <v>-608623</v>
      </c>
      <c r="AA64" s="7">
        <f t="shared" ref="AA64:AB64" si="137">+SUM(AA57:AA63)</f>
        <v>-12919</v>
      </c>
      <c r="AB64" s="7">
        <f t="shared" si="137"/>
        <v>-6039456</v>
      </c>
      <c r="AC64" s="7">
        <f t="shared" ref="AC64:AD64" si="138">+SUM(AC57:AC63)</f>
        <v>-6358742</v>
      </c>
      <c r="AD64" s="7">
        <f t="shared" si="138"/>
        <v>-6653866</v>
      </c>
      <c r="AE64" s="7">
        <f t="shared" ref="AE64:AF64" si="139">+SUM(AE57:AE63)</f>
        <v>-67531</v>
      </c>
      <c r="AF64" s="7">
        <f t="shared" si="139"/>
        <v>1931079</v>
      </c>
      <c r="AG64" s="7">
        <f t="shared" ref="AG64:AH64" si="140">+SUM(AG57:AG63)</f>
        <v>2023496</v>
      </c>
      <c r="AH64" s="7">
        <f t="shared" si="140"/>
        <v>2124181</v>
      </c>
      <c r="AI64" s="7">
        <f t="shared" ref="AI64" si="141">+SUM(AI57:AI63)</f>
        <v>114435</v>
      </c>
    </row>
    <row r="65" spans="1:35" x14ac:dyDescent="0.3">
      <c r="A65" s="1" t="s">
        <v>149</v>
      </c>
      <c r="B65" s="3"/>
      <c r="C65" s="3"/>
      <c r="D65" s="3"/>
      <c r="E65" s="3"/>
      <c r="F65" s="3">
        <v>-134993</v>
      </c>
      <c r="G65" s="3">
        <v>4061</v>
      </c>
      <c r="H65" s="3">
        <v>-30699</v>
      </c>
      <c r="I65" s="3">
        <v>-60162</v>
      </c>
      <c r="J65" s="3">
        <v>-57382</v>
      </c>
      <c r="K65" s="3">
        <v>-39386</v>
      </c>
      <c r="L65" s="3">
        <v>-93917</v>
      </c>
      <c r="M65" s="3">
        <v>-133363</v>
      </c>
      <c r="N65" s="3">
        <v>-164702</v>
      </c>
      <c r="O65" s="3">
        <v>-42881</v>
      </c>
      <c r="P65" s="3">
        <v>400389</v>
      </c>
      <c r="Q65" s="3">
        <v>359111</v>
      </c>
      <c r="R65" s="3">
        <v>324416</v>
      </c>
      <c r="S65" s="3">
        <v>32827</v>
      </c>
      <c r="T65" s="3">
        <v>500030</v>
      </c>
      <c r="U65" s="3">
        <v>534090</v>
      </c>
      <c r="V65" s="3">
        <v>553585</v>
      </c>
      <c r="W65" s="3">
        <v>16880</v>
      </c>
      <c r="X65" s="3">
        <v>153288</v>
      </c>
      <c r="Y65" s="3">
        <v>173666</v>
      </c>
      <c r="Z65" s="3">
        <v>200009</v>
      </c>
      <c r="AA65" s="3">
        <v>37485</v>
      </c>
      <c r="AB65" s="3">
        <v>1652134</v>
      </c>
      <c r="AC65" s="3">
        <v>1748998</v>
      </c>
      <c r="AD65" s="3">
        <v>1885993</v>
      </c>
      <c r="AE65" s="3">
        <v>56986</v>
      </c>
      <c r="AF65" s="3">
        <v>-455349</v>
      </c>
      <c r="AG65" s="3">
        <v>-465857</v>
      </c>
      <c r="AH65" s="3">
        <v>-472029</v>
      </c>
      <c r="AI65" s="3">
        <v>-24804</v>
      </c>
    </row>
    <row r="66" spans="1:35" x14ac:dyDescent="0.3">
      <c r="A66" s="1" t="s">
        <v>150</v>
      </c>
      <c r="B66" s="7">
        <f>+SUM(B64:B65)</f>
        <v>0</v>
      </c>
      <c r="C66" s="7">
        <f t="shared" ref="C66:R66" si="142">+SUM(C64:C65)</f>
        <v>0</v>
      </c>
      <c r="D66" s="7">
        <f t="shared" si="142"/>
        <v>0</v>
      </c>
      <c r="E66" s="7">
        <f t="shared" si="142"/>
        <v>0</v>
      </c>
      <c r="F66" s="7">
        <f t="shared" si="142"/>
        <v>364924</v>
      </c>
      <c r="G66" s="7">
        <f t="shared" si="142"/>
        <v>-10979</v>
      </c>
      <c r="H66" s="7">
        <f t="shared" si="142"/>
        <v>109198</v>
      </c>
      <c r="I66" s="7">
        <f t="shared" si="142"/>
        <v>197463</v>
      </c>
      <c r="J66" s="7">
        <f t="shared" si="142"/>
        <v>205003</v>
      </c>
      <c r="K66" s="7">
        <f t="shared" si="142"/>
        <v>127755</v>
      </c>
      <c r="L66" s="7">
        <f t="shared" ref="L66:M66" si="143">+SUM(L64:L65)</f>
        <v>277560</v>
      </c>
      <c r="M66" s="7">
        <f t="shared" si="143"/>
        <v>385634</v>
      </c>
      <c r="N66" s="7">
        <f t="shared" si="142"/>
        <v>486339</v>
      </c>
      <c r="O66" s="7">
        <f t="shared" si="142"/>
        <v>129959</v>
      </c>
      <c r="P66" s="7">
        <f t="shared" si="142"/>
        <v>-1054778</v>
      </c>
      <c r="Q66" s="7">
        <f t="shared" si="142"/>
        <v>-931347</v>
      </c>
      <c r="R66" s="7">
        <f t="shared" si="142"/>
        <v>-792240</v>
      </c>
      <c r="S66" s="7">
        <f t="shared" ref="S66:U66" si="144">+SUM(S64:S65)</f>
        <v>-50680</v>
      </c>
      <c r="T66" s="7">
        <f t="shared" si="144"/>
        <v>-1258432</v>
      </c>
      <c r="U66" s="7">
        <f t="shared" si="144"/>
        <v>-1299086</v>
      </c>
      <c r="V66" s="7">
        <f t="shared" ref="V66:Z66" si="145">+SUM(V64:V65)</f>
        <v>-1316602</v>
      </c>
      <c r="W66" s="7">
        <f t="shared" si="145"/>
        <v>-18106</v>
      </c>
      <c r="X66" s="7">
        <f t="shared" si="145"/>
        <v>-327748</v>
      </c>
      <c r="Y66" s="7">
        <f t="shared" si="145"/>
        <v>-389700</v>
      </c>
      <c r="Z66" s="7">
        <f t="shared" si="145"/>
        <v>-408614</v>
      </c>
      <c r="AA66" s="7">
        <f t="shared" ref="AA66:AB66" si="146">+SUM(AA64:AA65)</f>
        <v>24566</v>
      </c>
      <c r="AB66" s="7">
        <f t="shared" si="146"/>
        <v>-4387322</v>
      </c>
      <c r="AC66" s="7">
        <f t="shared" ref="AC66:AD66" si="147">+SUM(AC64:AC65)</f>
        <v>-4609744</v>
      </c>
      <c r="AD66" s="7">
        <f t="shared" si="147"/>
        <v>-4767873</v>
      </c>
      <c r="AE66" s="7">
        <f t="shared" ref="AE66:AF66" si="148">+SUM(AE64:AE65)</f>
        <v>-10545</v>
      </c>
      <c r="AF66" s="7">
        <f t="shared" si="148"/>
        <v>1475730</v>
      </c>
      <c r="AG66" s="7">
        <f t="shared" ref="AG66:AH66" si="149">+SUM(AG64:AG65)</f>
        <v>1557639</v>
      </c>
      <c r="AH66" s="7">
        <f t="shared" si="149"/>
        <v>1652152</v>
      </c>
      <c r="AI66" s="7">
        <f t="shared" ref="AI66" si="150">+SUM(AI64:AI65)</f>
        <v>89631</v>
      </c>
    </row>
    <row r="67" spans="1:35" x14ac:dyDescent="0.3">
      <c r="A67" s="1" t="s">
        <v>151</v>
      </c>
      <c r="B67" s="3"/>
      <c r="C67" s="3">
        <v>0</v>
      </c>
      <c r="D67" s="3">
        <v>0</v>
      </c>
      <c r="E67" s="3">
        <v>0</v>
      </c>
      <c r="F67" s="3">
        <v>0</v>
      </c>
      <c r="G67" s="3">
        <v>0</v>
      </c>
      <c r="H67" s="3">
        <v>0</v>
      </c>
      <c r="I67" s="3">
        <v>0</v>
      </c>
      <c r="J67" s="3">
        <v>0</v>
      </c>
      <c r="K67" s="3">
        <v>0</v>
      </c>
      <c r="L67" s="3">
        <v>0</v>
      </c>
      <c r="M67" s="3">
        <v>0</v>
      </c>
      <c r="N67" s="3">
        <v>0</v>
      </c>
      <c r="O67" s="3"/>
      <c r="P67" s="3"/>
      <c r="Q67" s="3"/>
      <c r="R67" s="3">
        <v>0</v>
      </c>
      <c r="S67" s="3"/>
      <c r="T67" s="3"/>
      <c r="U67" s="3"/>
      <c r="V67" s="3">
        <v>0</v>
      </c>
      <c r="W67" s="3"/>
      <c r="X67" s="3"/>
      <c r="Y67" s="3"/>
      <c r="Z67" s="3"/>
      <c r="AA67" s="3"/>
      <c r="AB67" s="3"/>
      <c r="AC67" s="3"/>
      <c r="AD67" s="3"/>
      <c r="AE67" s="3"/>
      <c r="AF67" s="3"/>
      <c r="AG67" s="3"/>
      <c r="AH67" s="3"/>
      <c r="AI67" s="3"/>
    </row>
    <row r="68" spans="1:35" s="6" customFormat="1" x14ac:dyDescent="0.3">
      <c r="A68" s="6" t="s">
        <v>152</v>
      </c>
      <c r="B68" s="7">
        <f>+SUM(B66:B67)</f>
        <v>0</v>
      </c>
      <c r="C68" s="7">
        <f>+SUM(C66:C67)</f>
        <v>0</v>
      </c>
      <c r="D68" s="7">
        <f t="shared" ref="D68:R68" si="151">+SUM(D66:D67)</f>
        <v>0</v>
      </c>
      <c r="E68" s="7">
        <f t="shared" si="151"/>
        <v>0</v>
      </c>
      <c r="F68" s="7">
        <f t="shared" si="151"/>
        <v>364924</v>
      </c>
      <c r="G68" s="7">
        <f t="shared" si="151"/>
        <v>-10979</v>
      </c>
      <c r="H68" s="7">
        <f t="shared" si="151"/>
        <v>109198</v>
      </c>
      <c r="I68" s="7">
        <f t="shared" si="151"/>
        <v>197463</v>
      </c>
      <c r="J68" s="7">
        <f t="shared" si="151"/>
        <v>205003</v>
      </c>
      <c r="K68" s="7">
        <f t="shared" si="151"/>
        <v>127755</v>
      </c>
      <c r="L68" s="7">
        <f t="shared" ref="L68:M68" si="152">+SUM(L66:L67)</f>
        <v>277560</v>
      </c>
      <c r="M68" s="7">
        <f t="shared" si="152"/>
        <v>385634</v>
      </c>
      <c r="N68" s="7">
        <f t="shared" si="151"/>
        <v>486339</v>
      </c>
      <c r="O68" s="7">
        <f t="shared" si="151"/>
        <v>129959</v>
      </c>
      <c r="P68" s="7">
        <f t="shared" si="151"/>
        <v>-1054778</v>
      </c>
      <c r="Q68" s="7">
        <f t="shared" si="151"/>
        <v>-931347</v>
      </c>
      <c r="R68" s="7">
        <f t="shared" si="151"/>
        <v>-792240</v>
      </c>
      <c r="S68" s="7">
        <f t="shared" ref="S68:U68" si="153">+SUM(S66:S67)</f>
        <v>-50680</v>
      </c>
      <c r="T68" s="7">
        <f t="shared" si="153"/>
        <v>-1258432</v>
      </c>
      <c r="U68" s="7">
        <f t="shared" si="153"/>
        <v>-1299086</v>
      </c>
      <c r="V68" s="7">
        <f t="shared" ref="V68:Z68" si="154">+SUM(V66:V67)</f>
        <v>-1316602</v>
      </c>
      <c r="W68" s="7">
        <f t="shared" si="154"/>
        <v>-18106</v>
      </c>
      <c r="X68" s="7">
        <f t="shared" si="154"/>
        <v>-327748</v>
      </c>
      <c r="Y68" s="7">
        <f t="shared" si="154"/>
        <v>-389700</v>
      </c>
      <c r="Z68" s="7">
        <f t="shared" si="154"/>
        <v>-408614</v>
      </c>
      <c r="AA68" s="7">
        <f t="shared" ref="AA68:AB68" si="155">+SUM(AA66:AA67)</f>
        <v>24566</v>
      </c>
      <c r="AB68" s="7">
        <f t="shared" si="155"/>
        <v>-4387322</v>
      </c>
      <c r="AC68" s="7">
        <f t="shared" ref="AC68:AD68" si="156">+SUM(AC66:AC67)</f>
        <v>-4609744</v>
      </c>
      <c r="AD68" s="7">
        <f t="shared" si="156"/>
        <v>-4767873</v>
      </c>
      <c r="AE68" s="7">
        <f t="shared" ref="AE68:AF68" si="157">+SUM(AE66:AE67)</f>
        <v>-10545</v>
      </c>
      <c r="AF68" s="7">
        <f t="shared" si="157"/>
        <v>1475730</v>
      </c>
      <c r="AG68" s="7">
        <f t="shared" ref="AG68:AH68" si="158">+SUM(AG66:AG67)</f>
        <v>1557639</v>
      </c>
      <c r="AH68" s="7">
        <f t="shared" si="158"/>
        <v>1652152</v>
      </c>
      <c r="AI68" s="7">
        <f t="shared" ref="AI68" si="159">+SUM(AI66:AI67)</f>
        <v>89631</v>
      </c>
    </row>
    <row r="70" spans="1:35" x14ac:dyDescent="0.3">
      <c r="G70" s="3"/>
      <c r="H70" s="3"/>
    </row>
    <row r="71" spans="1:35"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
      <c r="A72" s="1" t="s">
        <v>80</v>
      </c>
      <c r="B72" s="3"/>
      <c r="C72" s="3"/>
      <c r="D72" s="3"/>
      <c r="E72" s="3"/>
      <c r="F72" s="3">
        <v>0</v>
      </c>
      <c r="G72" s="3">
        <v>85261</v>
      </c>
      <c r="H72" s="3">
        <v>171847</v>
      </c>
      <c r="I72" s="3">
        <v>259603</v>
      </c>
      <c r="J72" s="3">
        <v>348464</v>
      </c>
      <c r="K72" s="3">
        <v>87976</v>
      </c>
      <c r="L72" s="3">
        <v>176684</v>
      </c>
      <c r="M72" s="3">
        <v>265341</v>
      </c>
      <c r="N72" s="3">
        <v>354910</v>
      </c>
      <c r="O72" s="3">
        <v>88489</v>
      </c>
      <c r="P72" s="3">
        <v>178005</v>
      </c>
      <c r="Q72" s="3">
        <v>268492</v>
      </c>
      <c r="R72" s="3">
        <v>361353</v>
      </c>
      <c r="S72" s="3">
        <v>93734</v>
      </c>
      <c r="T72" s="3">
        <v>190916</v>
      </c>
      <c r="U72" s="3">
        <v>291638</v>
      </c>
      <c r="V72" s="3">
        <v>395349</v>
      </c>
      <c r="W72" s="3">
        <v>106722</v>
      </c>
      <c r="X72" s="3">
        <v>213461</v>
      </c>
      <c r="Y72" s="3">
        <v>321399</v>
      </c>
      <c r="Z72" s="3">
        <v>430696</v>
      </c>
      <c r="AA72" s="3">
        <v>120249</v>
      </c>
      <c r="AB72" s="3">
        <v>243376</v>
      </c>
      <c r="AC72" s="3">
        <v>368785</v>
      </c>
      <c r="AD72" s="3">
        <f>497893</f>
        <v>497893</v>
      </c>
      <c r="AE72" s="3">
        <v>119499</v>
      </c>
      <c r="AF72" s="3">
        <v>240800</v>
      </c>
      <c r="AG72" s="3">
        <v>362633</v>
      </c>
      <c r="AH72" s="3">
        <f>485407</f>
        <v>485407</v>
      </c>
      <c r="AI72" s="3">
        <v>129358</v>
      </c>
    </row>
    <row r="73" spans="1:35" x14ac:dyDescent="0.3">
      <c r="A73" s="1" t="s">
        <v>81</v>
      </c>
      <c r="B73" s="3"/>
      <c r="C73" s="3"/>
      <c r="D73" s="3"/>
      <c r="E73" s="3"/>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c r="AI73" s="3">
        <v>0</v>
      </c>
    </row>
    <row r="74" spans="1:35" x14ac:dyDescent="0.3">
      <c r="A74" s="1" t="s">
        <v>82</v>
      </c>
      <c r="B74" s="3"/>
      <c r="C74" s="3"/>
      <c r="D74" s="3"/>
      <c r="E74" s="3"/>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c r="AI74" s="3">
        <v>0</v>
      </c>
    </row>
    <row r="75" spans="1:35" x14ac:dyDescent="0.3">
      <c r="A75" s="1" t="s">
        <v>83</v>
      </c>
      <c r="B75" s="3"/>
      <c r="C75" s="3"/>
      <c r="D75" s="3"/>
      <c r="E75" s="3"/>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c r="AI75" s="3">
        <v>0</v>
      </c>
    </row>
    <row r="76" spans="1:35" x14ac:dyDescent="0.3">
      <c r="A76" s="1" t="s">
        <v>84</v>
      </c>
      <c r="B76" s="3"/>
      <c r="C76" s="3"/>
      <c r="D76" s="3"/>
      <c r="E76" s="3"/>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row>
    <row r="77" spans="1:35" x14ac:dyDescent="0.3">
      <c r="A77" s="1" t="s">
        <v>85</v>
      </c>
      <c r="B77" s="3"/>
      <c r="C77" s="3"/>
      <c r="D77" s="3"/>
      <c r="E77" s="3"/>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row>
    <row r="78" spans="1:35" x14ac:dyDescent="0.3">
      <c r="A78" s="1" t="s">
        <v>86</v>
      </c>
      <c r="B78" s="3"/>
      <c r="C78" s="3"/>
      <c r="D78" s="3"/>
      <c r="E78" s="3"/>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row>
    <row r="79" spans="1:35" x14ac:dyDescent="0.3">
      <c r="A79" s="1" t="s">
        <v>87</v>
      </c>
      <c r="B79" s="3"/>
      <c r="C79" s="3"/>
      <c r="D79" s="3"/>
      <c r="E79" s="3"/>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c r="AI79" s="3">
        <v>0</v>
      </c>
    </row>
    <row r="80" spans="1:35" x14ac:dyDescent="0.3">
      <c r="A80" s="1" t="s">
        <v>88</v>
      </c>
      <c r="B80" s="3"/>
      <c r="C80" s="3"/>
      <c r="D80" s="3"/>
      <c r="E80" s="3"/>
      <c r="F80" s="3">
        <v>0</v>
      </c>
      <c r="G80" s="3">
        <v>0</v>
      </c>
      <c r="H80" s="3">
        <v>0</v>
      </c>
      <c r="I80" s="3">
        <v>0</v>
      </c>
      <c r="J80" s="3">
        <v>0</v>
      </c>
      <c r="K80" s="3">
        <v>0</v>
      </c>
      <c r="L80" s="3">
        <v>0</v>
      </c>
      <c r="M80" s="3">
        <v>0</v>
      </c>
      <c r="N80" s="3">
        <v>310</v>
      </c>
      <c r="O80" s="3">
        <v>0</v>
      </c>
      <c r="P80" s="3">
        <v>0</v>
      </c>
      <c r="Q80" s="3">
        <v>0</v>
      </c>
      <c r="R80" s="3">
        <v>9</v>
      </c>
      <c r="S80" s="3">
        <v>0</v>
      </c>
      <c r="T80" s="3">
        <v>0</v>
      </c>
      <c r="U80" s="3">
        <v>0</v>
      </c>
      <c r="V80" s="3">
        <v>0</v>
      </c>
      <c r="W80" s="3">
        <v>0</v>
      </c>
      <c r="X80" s="3">
        <v>0</v>
      </c>
      <c r="Y80" s="3">
        <v>0</v>
      </c>
      <c r="Z80" s="3">
        <v>0</v>
      </c>
      <c r="AA80" s="3">
        <v>0</v>
      </c>
      <c r="AB80" s="3">
        <v>0</v>
      </c>
      <c r="AC80" s="3">
        <v>0</v>
      </c>
      <c r="AD80" s="3">
        <v>0</v>
      </c>
      <c r="AE80" s="3">
        <v>0</v>
      </c>
      <c r="AF80" s="3">
        <v>0</v>
      </c>
      <c r="AG80" s="3">
        <v>0</v>
      </c>
      <c r="AH80" s="3">
        <v>0</v>
      </c>
      <c r="AI80" s="3">
        <v>0</v>
      </c>
    </row>
    <row r="81" spans="1:35" x14ac:dyDescent="0.3">
      <c r="A81" s="1" t="s">
        <v>89</v>
      </c>
      <c r="B81" s="3"/>
      <c r="C81" s="3"/>
      <c r="D81" s="3"/>
      <c r="E81" s="3"/>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c r="AI81" s="3">
        <v>0</v>
      </c>
    </row>
    <row r="82" spans="1:35" x14ac:dyDescent="0.3">
      <c r="A82" s="1" t="s">
        <v>153</v>
      </c>
      <c r="B82" s="3"/>
      <c r="C82" s="3"/>
      <c r="D82" s="3"/>
      <c r="E82" s="3"/>
      <c r="F82" s="3">
        <v>10165</v>
      </c>
      <c r="G82" s="3">
        <v>5198</v>
      </c>
      <c r="H82" s="3">
        <v>10181</v>
      </c>
      <c r="I82" s="3">
        <v>15599</v>
      </c>
      <c r="J82" s="3">
        <v>21190</v>
      </c>
      <c r="K82" s="3">
        <v>5658</v>
      </c>
      <c r="L82" s="3">
        <v>10628</v>
      </c>
      <c r="M82" s="3">
        <v>17892</v>
      </c>
      <c r="N82" s="3">
        <v>23818</v>
      </c>
      <c r="O82" s="3">
        <v>6802</v>
      </c>
      <c r="P82" s="3">
        <v>13022</v>
      </c>
      <c r="Q82" s="3">
        <v>18493</v>
      </c>
      <c r="R82" s="3">
        <v>24139</v>
      </c>
      <c r="S82" s="3">
        <v>23049</v>
      </c>
      <c r="T82" s="3">
        <v>28954</v>
      </c>
      <c r="U82" s="3">
        <v>35050</v>
      </c>
      <c r="V82" s="3">
        <f>17276+33228</f>
        <v>50504</v>
      </c>
      <c r="W82" s="3">
        <v>5133</v>
      </c>
      <c r="X82" s="3">
        <v>19169</v>
      </c>
      <c r="Y82" s="3">
        <v>31247</v>
      </c>
      <c r="Z82" s="3">
        <f>28679</f>
        <v>28679</v>
      </c>
      <c r="AA82" s="3">
        <v>6670</v>
      </c>
      <c r="AB82" s="3">
        <f>11103+1880+464</f>
        <v>13447</v>
      </c>
      <c r="AC82" s="3">
        <v>44610</v>
      </c>
      <c r="AD82" s="3">
        <v>40362</v>
      </c>
      <c r="AE82" s="3">
        <v>18809</v>
      </c>
      <c r="AF82" s="3">
        <v>57726</v>
      </c>
      <c r="AG82" s="3">
        <v>80349</v>
      </c>
      <c r="AH82" s="3">
        <f>45671+47274</f>
        <v>92945</v>
      </c>
      <c r="AI82" s="3">
        <v>7193</v>
      </c>
    </row>
    <row r="83" spans="1:35" x14ac:dyDescent="0.3">
      <c r="A83" s="1" t="s">
        <v>90</v>
      </c>
      <c r="B83" s="3"/>
      <c r="C83" s="3"/>
      <c r="D83" s="3"/>
      <c r="E83" s="3"/>
      <c r="F83" s="3">
        <v>609</v>
      </c>
      <c r="G83" s="3">
        <v>364</v>
      </c>
      <c r="H83" s="3">
        <v>366</v>
      </c>
      <c r="I83" s="3">
        <v>5220</v>
      </c>
      <c r="J83" s="3">
        <v>5267</v>
      </c>
      <c r="K83" s="3">
        <v>4812</v>
      </c>
      <c r="L83" s="3">
        <v>4812</v>
      </c>
      <c r="M83" s="3">
        <v>7977</v>
      </c>
      <c r="N83" s="3">
        <f>7781</f>
        <v>7781</v>
      </c>
      <c r="O83" s="3">
        <v>15861</v>
      </c>
      <c r="P83" s="3">
        <v>24152</v>
      </c>
      <c r="Q83" s="3">
        <v>32649</v>
      </c>
      <c r="R83" s="3">
        <f>3961</f>
        <v>3961</v>
      </c>
      <c r="S83" s="3">
        <v>39690</v>
      </c>
      <c r="T83" s="3">
        <v>75310</v>
      </c>
      <c r="U83" s="3">
        <v>208687</v>
      </c>
      <c r="V83" s="3">
        <v>0</v>
      </c>
      <c r="W83" s="3">
        <v>58476</v>
      </c>
      <c r="X83" s="3">
        <v>81064</v>
      </c>
      <c r="Y83" s="3">
        <v>150370</v>
      </c>
      <c r="Z83" s="3">
        <f>367+1080</f>
        <v>1447</v>
      </c>
      <c r="AA83" s="3">
        <v>85</v>
      </c>
      <c r="AB83" s="3">
        <f>85+258</f>
        <v>343</v>
      </c>
      <c r="AC83" s="3">
        <v>1718</v>
      </c>
      <c r="AD83" s="3">
        <v>0</v>
      </c>
      <c r="AE83" s="3">
        <f>414</f>
        <v>414</v>
      </c>
      <c r="AF83" s="3">
        <v>2552</v>
      </c>
      <c r="AG83" s="3">
        <v>15012</v>
      </c>
      <c r="AH83" s="3">
        <f>11470+3844+1334</f>
        <v>16648</v>
      </c>
      <c r="AI83" s="3">
        <v>20410</v>
      </c>
    </row>
    <row r="84" spans="1:35" x14ac:dyDescent="0.3">
      <c r="A84" s="1" t="s">
        <v>154</v>
      </c>
      <c r="B84" s="3"/>
      <c r="C84" s="3"/>
      <c r="D84" s="3"/>
      <c r="E84" s="3"/>
      <c r="F84" s="3">
        <v>77084</v>
      </c>
      <c r="G84" s="3">
        <v>38700</v>
      </c>
      <c r="H84" s="3">
        <v>77932</v>
      </c>
      <c r="I84" s="3">
        <v>117521</v>
      </c>
      <c r="J84" s="3">
        <v>157111</v>
      </c>
      <c r="K84" s="3">
        <v>48732</v>
      </c>
      <c r="L84" s="3">
        <v>99139</v>
      </c>
      <c r="M84" s="3">
        <v>149190</v>
      </c>
      <c r="N84" s="3">
        <v>199240</v>
      </c>
      <c r="O84" s="3">
        <v>49810</v>
      </c>
      <c r="P84" s="3">
        <v>102173</v>
      </c>
      <c r="Q84" s="3">
        <v>154075</v>
      </c>
      <c r="R84" s="3">
        <v>205976</v>
      </c>
      <c r="S84" s="3">
        <v>55626</v>
      </c>
      <c r="T84" s="3">
        <v>111251</v>
      </c>
      <c r="U84" s="3">
        <v>52474</v>
      </c>
      <c r="V84" s="3">
        <v>228921</v>
      </c>
      <c r="W84" s="3">
        <v>70030</v>
      </c>
      <c r="X84" s="3">
        <v>163403</v>
      </c>
      <c r="Y84" s="3">
        <v>211161</v>
      </c>
      <c r="Z84" s="3">
        <v>282261</v>
      </c>
      <c r="AA84" s="3">
        <v>71101</v>
      </c>
      <c r="AB84" s="3">
        <v>145549</v>
      </c>
      <c r="AC84" s="3">
        <v>219595</v>
      </c>
      <c r="AD84" s="3">
        <f>293641</f>
        <v>293641</v>
      </c>
      <c r="AE84" s="3">
        <v>74046</v>
      </c>
      <c r="AF84" s="3">
        <v>152117</v>
      </c>
      <c r="AG84" s="3">
        <v>229324</v>
      </c>
      <c r="AH84" s="3">
        <f>306434</f>
        <v>306434</v>
      </c>
      <c r="AI84" s="3">
        <v>77111</v>
      </c>
    </row>
    <row r="85" spans="1:35" x14ac:dyDescent="0.3">
      <c r="A85" s="1" t="s">
        <v>155</v>
      </c>
      <c r="B85" s="3"/>
      <c r="C85" s="3"/>
      <c r="D85" s="3"/>
      <c r="E85" s="3"/>
      <c r="F85" s="3">
        <v>0</v>
      </c>
      <c r="G85" s="3">
        <v>0</v>
      </c>
      <c r="H85" s="3">
        <v>4585</v>
      </c>
      <c r="I85" s="3">
        <v>6509</v>
      </c>
      <c r="J85" s="3">
        <v>10102</v>
      </c>
      <c r="K85" s="3">
        <v>8246</v>
      </c>
      <c r="L85" s="3">
        <v>16363</v>
      </c>
      <c r="M85" s="3">
        <v>21883</v>
      </c>
      <c r="N85" s="3">
        <v>30209</v>
      </c>
      <c r="O85" s="3">
        <v>11126</v>
      </c>
      <c r="P85" s="3">
        <v>24121</v>
      </c>
      <c r="Q85" s="3">
        <v>32293</v>
      </c>
      <c r="R85" s="3">
        <v>48273</v>
      </c>
      <c r="S85" s="3">
        <v>14301</v>
      </c>
      <c r="T85" s="3">
        <v>25448</v>
      </c>
      <c r="U85" s="3">
        <v>36577</v>
      </c>
      <c r="V85" s="3">
        <v>0</v>
      </c>
      <c r="W85" s="3">
        <v>9315</v>
      </c>
      <c r="X85" s="3">
        <v>26278</v>
      </c>
      <c r="Y85" s="3">
        <v>0</v>
      </c>
      <c r="Z85" s="3">
        <v>46551</v>
      </c>
      <c r="AA85" s="3">
        <v>9572</v>
      </c>
      <c r="AB85" s="3">
        <v>19391</v>
      </c>
      <c r="AC85" s="3">
        <v>26913</v>
      </c>
      <c r="AD85" s="3">
        <f>36262</f>
        <v>36262</v>
      </c>
      <c r="AE85" s="3">
        <v>7098</v>
      </c>
      <c r="AF85" s="3">
        <v>14412</v>
      </c>
      <c r="AG85" s="3">
        <v>21859</v>
      </c>
      <c r="AH85" s="3">
        <f>29405</f>
        <v>29405</v>
      </c>
      <c r="AI85" s="3">
        <v>0</v>
      </c>
    </row>
    <row r="86" spans="1:35" x14ac:dyDescent="0.3">
      <c r="A86" s="1" t="s">
        <v>91</v>
      </c>
      <c r="B86" s="3"/>
      <c r="C86" s="3"/>
      <c r="D86" s="3"/>
      <c r="E86" s="3"/>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c r="AI86" s="3">
        <v>0</v>
      </c>
    </row>
    <row r="87" spans="1:35" x14ac:dyDescent="0.3">
      <c r="A87" s="1" t="s">
        <v>156</v>
      </c>
      <c r="B87" s="3"/>
      <c r="C87" s="3"/>
      <c r="D87" s="3"/>
      <c r="E87" s="3"/>
      <c r="F87" s="3">
        <v>0</v>
      </c>
      <c r="G87" s="3">
        <v>0</v>
      </c>
      <c r="H87" s="3">
        <v>0</v>
      </c>
      <c r="I87" s="3">
        <v>0</v>
      </c>
      <c r="J87" s="3">
        <v>0</v>
      </c>
      <c r="K87" s="3">
        <v>0</v>
      </c>
      <c r="L87" s="3">
        <v>0</v>
      </c>
      <c r="M87" s="3">
        <v>0</v>
      </c>
      <c r="N87" s="3">
        <v>10559</v>
      </c>
      <c r="O87" s="3">
        <v>0</v>
      </c>
      <c r="P87" s="3">
        <v>0</v>
      </c>
      <c r="Q87" s="3">
        <v>0</v>
      </c>
      <c r="R87" s="3">
        <f>25+37665</f>
        <v>37690</v>
      </c>
      <c r="S87" s="3">
        <v>0</v>
      </c>
      <c r="T87" s="3">
        <v>0</v>
      </c>
      <c r="U87" s="3">
        <v>0</v>
      </c>
      <c r="V87" s="3">
        <v>310424</v>
      </c>
      <c r="W87" s="3">
        <v>0</v>
      </c>
      <c r="X87" s="3">
        <v>0</v>
      </c>
      <c r="Y87" s="3">
        <v>0</v>
      </c>
      <c r="Z87" s="3">
        <v>143610</v>
      </c>
      <c r="AA87" s="3">
        <v>30248</v>
      </c>
      <c r="AB87" s="3">
        <f>59412+52</f>
        <v>59464</v>
      </c>
      <c r="AC87" s="3">
        <v>128882</v>
      </c>
      <c r="AD87" s="3">
        <f>--213865</f>
        <v>213865</v>
      </c>
      <c r="AE87" s="3">
        <v>65369</v>
      </c>
      <c r="AF87" s="3">
        <v>79222</v>
      </c>
      <c r="AG87" s="3">
        <v>96596</v>
      </c>
      <c r="AH87" s="3">
        <f>109560</f>
        <v>109560</v>
      </c>
      <c r="AI87" s="3">
        <v>17014</v>
      </c>
    </row>
    <row r="88" spans="1:35" x14ac:dyDescent="0.3">
      <c r="A88" s="1" t="s">
        <v>157</v>
      </c>
      <c r="B88" s="3"/>
      <c r="C88" s="3"/>
      <c r="D88" s="3"/>
      <c r="E88" s="3"/>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12195</v>
      </c>
      <c r="AA88" s="3">
        <v>0</v>
      </c>
      <c r="AB88" s="3">
        <v>0</v>
      </c>
      <c r="AC88" s="3">
        <v>0</v>
      </c>
      <c r="AD88" s="3">
        <f>--39218</f>
        <v>39218</v>
      </c>
      <c r="AE88" s="3">
        <v>0</v>
      </c>
      <c r="AF88" s="3">
        <v>0</v>
      </c>
      <c r="AG88" s="3">
        <v>0</v>
      </c>
      <c r="AH88" s="3">
        <v>0</v>
      </c>
      <c r="AI88" s="3">
        <v>0</v>
      </c>
    </row>
    <row r="89" spans="1:35" x14ac:dyDescent="0.3">
      <c r="A89" s="1" t="s">
        <v>158</v>
      </c>
      <c r="B89" s="3"/>
      <c r="C89" s="3"/>
      <c r="D89" s="3"/>
      <c r="E89" s="3"/>
      <c r="F89" s="3">
        <v>0</v>
      </c>
      <c r="G89" s="3">
        <v>0</v>
      </c>
      <c r="H89" s="3">
        <v>0</v>
      </c>
      <c r="I89" s="3">
        <v>0</v>
      </c>
      <c r="J89" s="3">
        <v>0</v>
      </c>
      <c r="K89" s="3">
        <v>0</v>
      </c>
      <c r="L89" s="3">
        <v>0</v>
      </c>
      <c r="M89" s="3">
        <v>0</v>
      </c>
      <c r="N89" s="3">
        <v>0</v>
      </c>
      <c r="O89" s="3">
        <v>0</v>
      </c>
      <c r="P89" s="3">
        <v>0</v>
      </c>
      <c r="Q89" s="3">
        <v>0</v>
      </c>
      <c r="R89" s="3">
        <v>0</v>
      </c>
      <c r="S89" s="3">
        <v>0</v>
      </c>
      <c r="T89" s="3">
        <v>0</v>
      </c>
      <c r="U89" s="3">
        <v>117612</v>
      </c>
      <c r="V89" s="3">
        <f>48035</f>
        <v>48035</v>
      </c>
      <c r="W89" s="3">
        <v>0</v>
      </c>
      <c r="X89" s="3">
        <v>42503</v>
      </c>
      <c r="Y89" s="3">
        <v>155525</v>
      </c>
      <c r="Z89" s="3">
        <v>228932</v>
      </c>
      <c r="AA89" s="3">
        <v>4211</v>
      </c>
      <c r="AB89" s="3">
        <v>24205</v>
      </c>
      <c r="AC89" s="3">
        <v>96487</v>
      </c>
      <c r="AD89" s="3">
        <f>152487</f>
        <v>152487</v>
      </c>
      <c r="AE89" s="3">
        <v>0</v>
      </c>
      <c r="AF89" s="3">
        <v>29707</v>
      </c>
      <c r="AG89" s="3">
        <v>32797</v>
      </c>
      <c r="AH89" s="3">
        <f>64062</f>
        <v>64062</v>
      </c>
      <c r="AI89" s="3">
        <v>14132</v>
      </c>
    </row>
    <row r="90" spans="1:35" x14ac:dyDescent="0.3">
      <c r="A90" s="1" t="s">
        <v>159</v>
      </c>
      <c r="B90" s="3"/>
      <c r="C90" s="3"/>
      <c r="D90" s="3"/>
      <c r="E90" s="3"/>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0</v>
      </c>
      <c r="AC90" s="3">
        <v>0</v>
      </c>
      <c r="AD90" s="3">
        <v>0</v>
      </c>
      <c r="AE90" s="3">
        <v>0</v>
      </c>
      <c r="AF90" s="3">
        <v>1704</v>
      </c>
      <c r="AG90" s="3">
        <v>0</v>
      </c>
      <c r="AH90" s="3">
        <v>0</v>
      </c>
      <c r="AI90" s="3">
        <v>0</v>
      </c>
    </row>
    <row r="91" spans="1:35"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5" x14ac:dyDescent="0.3">
      <c r="A92" s="6" t="s">
        <v>92</v>
      </c>
      <c r="B92" s="7">
        <f>SUM(B72:B91)</f>
        <v>0</v>
      </c>
      <c r="C92" s="7">
        <f t="shared" ref="C92:R92" si="160">SUM(C72:C91)</f>
        <v>0</v>
      </c>
      <c r="D92" s="7">
        <f t="shared" si="160"/>
        <v>0</v>
      </c>
      <c r="E92" s="7">
        <f t="shared" si="160"/>
        <v>0</v>
      </c>
      <c r="F92" s="7">
        <f t="shared" si="160"/>
        <v>87858</v>
      </c>
      <c r="G92" s="7">
        <f t="shared" si="160"/>
        <v>129523</v>
      </c>
      <c r="H92" s="7">
        <f t="shared" si="160"/>
        <v>264911</v>
      </c>
      <c r="I92" s="7">
        <f t="shared" si="160"/>
        <v>404452</v>
      </c>
      <c r="J92" s="7">
        <f t="shared" si="160"/>
        <v>542134</v>
      </c>
      <c r="K92" s="7">
        <f t="shared" si="160"/>
        <v>155424</v>
      </c>
      <c r="L92" s="7">
        <f t="shared" ref="L92:M92" si="161">SUM(L72:L91)</f>
        <v>307626</v>
      </c>
      <c r="M92" s="7">
        <f t="shared" si="161"/>
        <v>462283</v>
      </c>
      <c r="N92" s="7">
        <f t="shared" si="160"/>
        <v>626827</v>
      </c>
      <c r="O92" s="7">
        <f t="shared" si="160"/>
        <v>172088</v>
      </c>
      <c r="P92" s="7">
        <f t="shared" si="160"/>
        <v>341473</v>
      </c>
      <c r="Q92" s="7">
        <f t="shared" si="160"/>
        <v>506002</v>
      </c>
      <c r="R92" s="7">
        <f t="shared" si="160"/>
        <v>681401</v>
      </c>
      <c r="S92" s="7">
        <f t="shared" ref="S92:U92" si="162">SUM(S72:S91)</f>
        <v>226400</v>
      </c>
      <c r="T92" s="7">
        <f t="shared" si="162"/>
        <v>431879</v>
      </c>
      <c r="U92" s="7">
        <f t="shared" si="162"/>
        <v>742038</v>
      </c>
      <c r="V92" s="7">
        <f t="shared" ref="V92:Z92" si="163">SUM(V72:V91)</f>
        <v>1033233</v>
      </c>
      <c r="W92" s="7">
        <f t="shared" si="163"/>
        <v>249676</v>
      </c>
      <c r="X92" s="7">
        <f t="shared" si="163"/>
        <v>545878</v>
      </c>
      <c r="Y92" s="7">
        <f t="shared" si="163"/>
        <v>869702</v>
      </c>
      <c r="Z92" s="7">
        <f t="shared" si="163"/>
        <v>1174371</v>
      </c>
      <c r="AA92" s="7">
        <f t="shared" ref="AA92:AB92" si="164">SUM(AA72:AA91)</f>
        <v>242136</v>
      </c>
      <c r="AB92" s="7">
        <f t="shared" si="164"/>
        <v>505775</v>
      </c>
      <c r="AC92" s="7">
        <f t="shared" ref="AC92:AD92" si="165">SUM(AC72:AC91)</f>
        <v>886990</v>
      </c>
      <c r="AD92" s="7">
        <f t="shared" si="165"/>
        <v>1273728</v>
      </c>
      <c r="AE92" s="7">
        <f t="shared" ref="AE92:AF92" si="166">SUM(AE72:AE91)</f>
        <v>285235</v>
      </c>
      <c r="AF92" s="7">
        <f t="shared" si="166"/>
        <v>578240</v>
      </c>
      <c r="AG92" s="7">
        <f t="shared" ref="AG92:AH92" si="167">SUM(AG72:AG91)</f>
        <v>838570</v>
      </c>
      <c r="AH92" s="7">
        <f t="shared" si="167"/>
        <v>1104461</v>
      </c>
      <c r="AI92" s="7">
        <f t="shared" ref="AI92" si="168">SUM(AI72:AI91)</f>
        <v>265218</v>
      </c>
    </row>
    <row r="94" spans="1:35"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5" x14ac:dyDescent="0.3">
      <c r="A95" s="1" t="s">
        <v>94</v>
      </c>
      <c r="B95" s="3"/>
      <c r="C95" s="3"/>
      <c r="D95" s="3"/>
      <c r="E95" s="3"/>
      <c r="F95" s="3">
        <v>244215</v>
      </c>
      <c r="G95" s="3">
        <v>142662</v>
      </c>
      <c r="H95" s="3">
        <v>288058</v>
      </c>
      <c r="I95" s="3">
        <v>436227</v>
      </c>
      <c r="J95" s="3">
        <v>585461</v>
      </c>
      <c r="K95" s="3">
        <v>100000</v>
      </c>
      <c r="L95" s="3">
        <v>200825</v>
      </c>
      <c r="M95" s="3">
        <v>302698</v>
      </c>
      <c r="N95" s="3">
        <v>405618</v>
      </c>
      <c r="O95" s="3">
        <v>86413</v>
      </c>
      <c r="P95" s="3">
        <v>174794</v>
      </c>
      <c r="Q95" s="3">
        <v>265110</v>
      </c>
      <c r="R95" s="3">
        <v>354036</v>
      </c>
      <c r="S95" s="3">
        <v>195260</v>
      </c>
      <c r="T95" s="3">
        <v>394027</v>
      </c>
      <c r="U95" s="3">
        <v>602271</v>
      </c>
      <c r="V95" s="3">
        <v>816723</v>
      </c>
      <c r="W95" s="3">
        <v>170699</v>
      </c>
      <c r="X95" s="3">
        <v>345883</v>
      </c>
      <c r="Y95" s="3">
        <v>517060</v>
      </c>
      <c r="Z95" s="3">
        <v>690397</v>
      </c>
      <c r="AA95" s="3">
        <v>210623</v>
      </c>
      <c r="AB95" s="3">
        <v>424267</v>
      </c>
      <c r="AC95" s="3">
        <v>583478</v>
      </c>
      <c r="AD95" s="3">
        <v>714685</v>
      </c>
      <c r="AE95" s="3">
        <v>125626</v>
      </c>
      <c r="AF95" s="3">
        <v>257523</v>
      </c>
      <c r="AG95" s="3">
        <v>391445</v>
      </c>
      <c r="AH95" s="3">
        <v>526421</v>
      </c>
      <c r="AI95" s="3">
        <v>132053</v>
      </c>
    </row>
    <row r="96" spans="1:35" x14ac:dyDescent="0.3">
      <c r="A96" s="1" t="s">
        <v>167</v>
      </c>
      <c r="B96" s="3"/>
      <c r="C96" s="3"/>
      <c r="D96" s="3"/>
      <c r="E96" s="3"/>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0</v>
      </c>
      <c r="AI96" s="3">
        <v>0</v>
      </c>
    </row>
    <row r="97" spans="1:35" x14ac:dyDescent="0.3">
      <c r="A97" s="1" t="s">
        <v>96</v>
      </c>
      <c r="B97" s="3"/>
      <c r="C97" s="3"/>
      <c r="D97" s="3"/>
      <c r="E97" s="3"/>
      <c r="F97" s="3">
        <v>31976</v>
      </c>
      <c r="G97" s="3">
        <v>105982</v>
      </c>
      <c r="H97" s="3">
        <v>279984</v>
      </c>
      <c r="I97" s="3">
        <v>455840</v>
      </c>
      <c r="J97" s="3">
        <v>634053</v>
      </c>
      <c r="K97" s="3">
        <v>176452</v>
      </c>
      <c r="L97" s="3">
        <v>354527</v>
      </c>
      <c r="M97" s="3">
        <v>533802</v>
      </c>
      <c r="N97" s="3">
        <v>688327</v>
      </c>
      <c r="O97" s="3">
        <v>152843</v>
      </c>
      <c r="P97" s="3">
        <v>309069</v>
      </c>
      <c r="Q97" s="3">
        <v>471018</v>
      </c>
      <c r="R97" s="3">
        <v>635756</v>
      </c>
      <c r="S97" s="3">
        <v>164984</v>
      </c>
      <c r="T97" s="3">
        <v>339026</v>
      </c>
      <c r="U97" s="3">
        <v>527354</v>
      </c>
      <c r="V97" s="3">
        <v>713973</v>
      </c>
      <c r="W97" s="3">
        <v>184998</v>
      </c>
      <c r="X97" s="3">
        <v>374779</v>
      </c>
      <c r="Y97" s="3">
        <v>567763</v>
      </c>
      <c r="Z97" s="3">
        <v>763277</v>
      </c>
      <c r="AA97" s="3">
        <v>195029</v>
      </c>
      <c r="AB97" s="3">
        <v>392584</v>
      </c>
      <c r="AC97" s="3">
        <v>595860</v>
      </c>
      <c r="AD97" s="3">
        <v>800066</v>
      </c>
      <c r="AE97" s="3">
        <v>202249</v>
      </c>
      <c r="AF97" s="3">
        <v>408707</v>
      </c>
      <c r="AG97" s="3">
        <v>619744</v>
      </c>
      <c r="AH97" s="3">
        <v>873562</v>
      </c>
      <c r="AI97" s="3">
        <v>249011</v>
      </c>
    </row>
    <row r="98" spans="1:35" x14ac:dyDescent="0.3">
      <c r="A98" s="1" t="s">
        <v>97</v>
      </c>
      <c r="B98" s="3"/>
      <c r="C98" s="3"/>
      <c r="D98" s="3"/>
      <c r="E98" s="3"/>
      <c r="F98" s="3">
        <v>95</v>
      </c>
      <c r="G98" s="3">
        <v>182435</v>
      </c>
      <c r="H98" s="3">
        <v>71181</v>
      </c>
      <c r="I98" s="3">
        <v>71190</v>
      </c>
      <c r="J98" s="3">
        <v>71198</v>
      </c>
      <c r="K98" s="3">
        <v>8</v>
      </c>
      <c r="L98" s="3">
        <v>14</v>
      </c>
      <c r="M98" s="3">
        <v>17</v>
      </c>
      <c r="N98" s="3">
        <v>16</v>
      </c>
      <c r="O98" s="3">
        <v>0</v>
      </c>
      <c r="P98" s="3">
        <v>0</v>
      </c>
      <c r="Q98" s="3">
        <v>0</v>
      </c>
      <c r="R98" s="3">
        <v>0</v>
      </c>
      <c r="S98" s="3">
        <v>0</v>
      </c>
      <c r="T98" s="3">
        <v>0</v>
      </c>
      <c r="U98" s="3">
        <v>0</v>
      </c>
      <c r="V98" s="3">
        <v>41</v>
      </c>
      <c r="W98" s="3">
        <v>0</v>
      </c>
      <c r="X98" s="3">
        <v>0</v>
      </c>
      <c r="Y98" s="3">
        <v>0</v>
      </c>
      <c r="Z98" s="3">
        <v>0</v>
      </c>
      <c r="AA98" s="3">
        <v>0</v>
      </c>
      <c r="AB98" s="3">
        <v>0</v>
      </c>
      <c r="AC98" s="3">
        <v>0</v>
      </c>
      <c r="AD98" s="3">
        <v>0</v>
      </c>
      <c r="AE98" s="3">
        <v>2332</v>
      </c>
      <c r="AF98" s="3">
        <v>2332</v>
      </c>
      <c r="AG98" s="3">
        <v>3973</v>
      </c>
      <c r="AH98" s="3">
        <v>3971</v>
      </c>
      <c r="AI98" s="3">
        <v>0</v>
      </c>
    </row>
    <row r="99" spans="1:35" x14ac:dyDescent="0.3">
      <c r="A99" s="6" t="s">
        <v>92</v>
      </c>
      <c r="B99" s="7">
        <f>SUM(B95:B98)</f>
        <v>0</v>
      </c>
      <c r="C99" s="7">
        <f>SUM(C95:C98)</f>
        <v>0</v>
      </c>
      <c r="D99" s="7">
        <f t="shared" ref="D99:U99" si="169">SUM(D95:D98)</f>
        <v>0</v>
      </c>
      <c r="E99" s="7">
        <f t="shared" si="169"/>
        <v>0</v>
      </c>
      <c r="F99" s="7">
        <f t="shared" si="169"/>
        <v>276286</v>
      </c>
      <c r="G99" s="7">
        <f t="shared" ref="G99:I99" si="170">SUM(G95:G98)</f>
        <v>431079</v>
      </c>
      <c r="H99" s="7">
        <f t="shared" si="170"/>
        <v>639223</v>
      </c>
      <c r="I99" s="7">
        <f t="shared" si="170"/>
        <v>963257</v>
      </c>
      <c r="J99" s="7">
        <f t="shared" si="169"/>
        <v>1290712</v>
      </c>
      <c r="K99" s="7">
        <f t="shared" ref="K99" si="171">SUM(K95:K98)</f>
        <v>276460</v>
      </c>
      <c r="L99" s="7">
        <f t="shared" si="169"/>
        <v>555366</v>
      </c>
      <c r="M99" s="7">
        <f t="shared" si="169"/>
        <v>836517</v>
      </c>
      <c r="N99" s="7">
        <f t="shared" si="169"/>
        <v>1093961</v>
      </c>
      <c r="O99" s="7">
        <f t="shared" ref="O99:Q99" si="172">SUM(O95:O98)</f>
        <v>239256</v>
      </c>
      <c r="P99" s="7">
        <f t="shared" si="172"/>
        <v>483863</v>
      </c>
      <c r="Q99" s="7">
        <f t="shared" si="172"/>
        <v>736128</v>
      </c>
      <c r="R99" s="7">
        <f t="shared" si="169"/>
        <v>989792</v>
      </c>
      <c r="S99" s="7">
        <f t="shared" si="169"/>
        <v>360244</v>
      </c>
      <c r="T99" s="7">
        <f t="shared" si="169"/>
        <v>733053</v>
      </c>
      <c r="U99" s="7">
        <f t="shared" si="169"/>
        <v>1129625</v>
      </c>
      <c r="V99" s="7">
        <f t="shared" ref="V99:Z99" si="173">SUM(V95:V98)</f>
        <v>1530737</v>
      </c>
      <c r="W99" s="7">
        <f t="shared" si="173"/>
        <v>355697</v>
      </c>
      <c r="X99" s="7">
        <f t="shared" si="173"/>
        <v>720662</v>
      </c>
      <c r="Y99" s="7">
        <f t="shared" si="173"/>
        <v>1084823</v>
      </c>
      <c r="Z99" s="7">
        <f t="shared" si="173"/>
        <v>1453674</v>
      </c>
      <c r="AA99" s="7">
        <f t="shared" ref="AA99:AB99" si="174">SUM(AA95:AA98)</f>
        <v>405652</v>
      </c>
      <c r="AB99" s="7">
        <f t="shared" si="174"/>
        <v>816851</v>
      </c>
      <c r="AC99" s="7">
        <f t="shared" ref="AC99:AD99" si="175">SUM(AC95:AC98)</f>
        <v>1179338</v>
      </c>
      <c r="AD99" s="7">
        <f t="shared" si="175"/>
        <v>1514751</v>
      </c>
      <c r="AE99" s="7">
        <f t="shared" ref="AE99:AF99" si="176">SUM(AE95:AE98)</f>
        <v>330207</v>
      </c>
      <c r="AF99" s="7">
        <f t="shared" si="176"/>
        <v>668562</v>
      </c>
      <c r="AG99" s="7">
        <f t="shared" ref="AG99:AH99" si="177">SUM(AG95:AG98)</f>
        <v>1015162</v>
      </c>
      <c r="AH99" s="7">
        <f t="shared" si="177"/>
        <v>1403954</v>
      </c>
      <c r="AI99" s="7">
        <f t="shared" ref="AI99" si="178">SUM(AI95:AI98)</f>
        <v>381064</v>
      </c>
    </row>
    <row r="101" spans="1:35" x14ac:dyDescent="0.3">
      <c r="A101" s="1" t="s">
        <v>98</v>
      </c>
      <c r="B101" s="3">
        <f>+B92+B99+B59+B51+B54</f>
        <v>0</v>
      </c>
      <c r="C101" s="3">
        <f t="shared" ref="C101:U101" si="179">+C92+C99+C59+C51+C54</f>
        <v>0</v>
      </c>
      <c r="D101" s="3">
        <f t="shared" si="179"/>
        <v>0</v>
      </c>
      <c r="E101" s="3">
        <f t="shared" si="179"/>
        <v>0</v>
      </c>
      <c r="F101" s="3">
        <f t="shared" si="179"/>
        <v>0</v>
      </c>
      <c r="G101" s="3">
        <f t="shared" ref="G101:I101" si="180">+G92+G99+G59+G51+G54</f>
        <v>0</v>
      </c>
      <c r="H101" s="3">
        <f t="shared" si="180"/>
        <v>0</v>
      </c>
      <c r="I101" s="3">
        <f t="shared" si="180"/>
        <v>0</v>
      </c>
      <c r="J101" s="3">
        <f t="shared" si="179"/>
        <v>0</v>
      </c>
      <c r="K101" s="3">
        <f t="shared" ref="K101" si="181">+K92+K99+K59+K51+K54</f>
        <v>0</v>
      </c>
      <c r="L101" s="3">
        <f t="shared" si="179"/>
        <v>0</v>
      </c>
      <c r="M101" s="3">
        <f t="shared" si="179"/>
        <v>0</v>
      </c>
      <c r="N101" s="3">
        <f t="shared" si="179"/>
        <v>0</v>
      </c>
      <c r="O101" s="3">
        <f t="shared" ref="O101:Q101" si="182">+O92+O99+O59+O51+O54</f>
        <v>0</v>
      </c>
      <c r="P101" s="3">
        <f t="shared" si="182"/>
        <v>0</v>
      </c>
      <c r="Q101" s="3">
        <f t="shared" si="182"/>
        <v>0</v>
      </c>
      <c r="R101" s="3">
        <f t="shared" si="179"/>
        <v>0</v>
      </c>
      <c r="S101" s="3">
        <f t="shared" si="179"/>
        <v>0</v>
      </c>
      <c r="T101" s="3">
        <f t="shared" si="179"/>
        <v>0</v>
      </c>
      <c r="U101" s="3">
        <f t="shared" si="179"/>
        <v>0</v>
      </c>
      <c r="V101" s="3">
        <f t="shared" ref="V101:Z101" si="183">+V92+V99+V59+V51+V54</f>
        <v>0</v>
      </c>
      <c r="W101" s="3">
        <f t="shared" si="183"/>
        <v>0</v>
      </c>
      <c r="X101" s="3">
        <f t="shared" si="183"/>
        <v>0</v>
      </c>
      <c r="Y101" s="3">
        <f t="shared" si="183"/>
        <v>0</v>
      </c>
      <c r="Z101" s="3">
        <f t="shared" si="183"/>
        <v>0</v>
      </c>
      <c r="AA101" s="3">
        <f t="shared" ref="AA101:AB101" si="184">+AA92+AA99+AA59+AA51+AA54</f>
        <v>0</v>
      </c>
      <c r="AB101" s="3">
        <f t="shared" si="184"/>
        <v>0</v>
      </c>
      <c r="AC101" s="3">
        <f t="shared" ref="AC101:AD101" si="185">+AC92+AC99+AC59+AC51+AC54</f>
        <v>0</v>
      </c>
      <c r="AD101" s="3">
        <f t="shared" si="185"/>
        <v>0</v>
      </c>
      <c r="AE101" s="3">
        <f t="shared" ref="AE101:AF101" si="186">+AE92+AE99+AE59+AE51+AE54</f>
        <v>0</v>
      </c>
      <c r="AF101" s="3">
        <f t="shared" si="186"/>
        <v>0</v>
      </c>
      <c r="AG101" s="3">
        <f t="shared" ref="AG101:AH101" si="187">+AG92+AG99+AG59+AG51+AG54</f>
        <v>0</v>
      </c>
      <c r="AH101" s="3">
        <f t="shared" si="187"/>
        <v>0</v>
      </c>
      <c r="AI101" s="3">
        <f t="shared" ref="AI101" si="188">+AI92+AI99+AI59+AI51+AI54</f>
        <v>0</v>
      </c>
    </row>
    <row r="102" spans="1:35" s="8" customFormat="1" x14ac:dyDescent="0.3">
      <c r="A102" s="8" t="s">
        <v>160</v>
      </c>
      <c r="B102" s="22">
        <v>0</v>
      </c>
      <c r="C102" s="22">
        <v>0</v>
      </c>
      <c r="D102" s="22">
        <v>0</v>
      </c>
      <c r="E102" s="22">
        <v>0</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c r="AI102" s="22">
        <v>1</v>
      </c>
    </row>
    <row r="103" spans="1:35" x14ac:dyDescent="0.3">
      <c r="A103" s="1" t="s">
        <v>99</v>
      </c>
    </row>
    <row r="104" spans="1:35" x14ac:dyDescent="0.3">
      <c r="A104" s="1" t="s">
        <v>176</v>
      </c>
    </row>
    <row r="105" spans="1:35" x14ac:dyDescent="0.3">
      <c r="A105" s="1" t="s">
        <v>166</v>
      </c>
    </row>
  </sheetData>
  <pageMargins left="0.7" right="0.7" top="0.75" bottom="0.75" header="0.3" footer="0.3"/>
  <pageSetup scale="32"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0F42-C743-4856-AEE2-5F9B684A7D3C}">
  <sheetPr>
    <pageSetUpPr fitToPage="1"/>
  </sheetPr>
  <dimension ref="A1:AM106"/>
  <sheetViews>
    <sheetView workbookViewId="0">
      <pane xSplit="1" ySplit="1" topLeftCell="AD72" activePane="bottomRight" state="frozen"/>
      <selection pane="topRight" activeCell="E93" sqref="E93"/>
      <selection pane="bottomLeft" activeCell="E93" sqref="E93"/>
      <selection pane="bottomRight" activeCell="AI102" sqref="AI102"/>
    </sheetView>
  </sheetViews>
  <sheetFormatPr baseColWidth="10" defaultColWidth="11.44140625" defaultRowHeight="14.4" x14ac:dyDescent="0.3"/>
  <cols>
    <col min="1" max="1" width="59.5546875" style="1" bestFit="1" customWidth="1"/>
    <col min="2" max="2" width="13.88671875" style="1" hidden="1" customWidth="1"/>
    <col min="3" max="13" width="12.88671875" style="1" hidden="1" customWidth="1"/>
    <col min="14" max="20" width="12.88671875" style="1" customWidth="1"/>
    <col min="21" max="21" width="12.44140625" style="1" bestFit="1" customWidth="1"/>
    <col min="22" max="24" width="12.88671875" style="1" customWidth="1"/>
    <col min="25" max="25" width="12.44140625" style="1" bestFit="1" customWidth="1"/>
    <col min="26" max="31" width="12.88671875" style="1" customWidth="1"/>
    <col min="32" max="32" width="13.77734375" style="1" bestFit="1" customWidth="1"/>
    <col min="33" max="35" width="14.33203125" style="1" bestFit="1" customWidth="1"/>
    <col min="36" max="16384" width="11.44140625" style="1"/>
  </cols>
  <sheetData>
    <row r="1" spans="1:35"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+Magdalena!AC1</f>
        <v>45565</v>
      </c>
      <c r="AD1" s="2">
        <f>+Magdalena!AD1</f>
        <v>45657</v>
      </c>
      <c r="AE1" s="2">
        <f>+Magdalena!AE1</f>
        <v>45747</v>
      </c>
      <c r="AF1" s="2">
        <f>+Magdalena!AF1</f>
        <v>45838</v>
      </c>
      <c r="AG1" s="2">
        <f>+Magdalena!AG1</f>
        <v>45930</v>
      </c>
      <c r="AH1" s="2">
        <f>+Magdalena!AH1</f>
        <v>46022</v>
      </c>
      <c r="AI1" s="2">
        <f>+Magdalena!AI1</f>
        <v>46112</v>
      </c>
    </row>
    <row r="2" spans="1:35" s="6" customFormat="1" x14ac:dyDescent="0.3">
      <c r="A2" s="6" t="s">
        <v>276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x14ac:dyDescent="0.3">
      <c r="A5" s="1" t="s">
        <v>11</v>
      </c>
      <c r="B5" s="3"/>
      <c r="C5" s="3"/>
      <c r="D5" s="3"/>
      <c r="E5" s="3"/>
      <c r="F5" s="3"/>
      <c r="G5" s="3"/>
      <c r="H5" s="3"/>
      <c r="I5" s="3"/>
      <c r="J5" s="3"/>
      <c r="K5" s="3"/>
      <c r="L5" s="3"/>
      <c r="M5" s="3"/>
      <c r="N5" s="3">
        <v>918267</v>
      </c>
      <c r="O5" s="3">
        <v>28368657</v>
      </c>
      <c r="P5" s="3">
        <f>1113792+20159803</f>
        <v>21273595</v>
      </c>
      <c r="Q5" s="3">
        <f>15334750+767692</f>
        <v>16102442</v>
      </c>
      <c r="R5" s="3">
        <v>10962794</v>
      </c>
      <c r="S5" s="3">
        <v>22898209</v>
      </c>
      <c r="T5" s="3">
        <f>1007503+34854794</f>
        <v>35862297</v>
      </c>
      <c r="U5" s="3">
        <f>1604442+27511456</f>
        <v>29115898</v>
      </c>
      <c r="V5" s="3">
        <v>24555616</v>
      </c>
      <c r="W5" s="3">
        <v>6071570</v>
      </c>
      <c r="X5" s="3">
        <v>11163338</v>
      </c>
      <c r="Y5" s="3">
        <v>5061584</v>
      </c>
      <c r="Z5" s="3">
        <v>11568169</v>
      </c>
      <c r="AA5" s="3">
        <v>17864180</v>
      </c>
      <c r="AB5" s="3">
        <v>7720510</v>
      </c>
      <c r="AC5" s="3">
        <v>15125333</v>
      </c>
      <c r="AD5" s="3">
        <v>5980257</v>
      </c>
      <c r="AE5" s="3">
        <v>17413922</v>
      </c>
      <c r="AF5" s="3">
        <v>19471214</v>
      </c>
      <c r="AG5" s="3">
        <v>34650771</v>
      </c>
      <c r="AH5" s="3">
        <v>30060403</v>
      </c>
      <c r="AI5" s="3">
        <v>29108791</v>
      </c>
    </row>
    <row r="6" spans="1:35" x14ac:dyDescent="0.3">
      <c r="A6" s="1" t="s">
        <v>101</v>
      </c>
      <c r="B6" s="3"/>
      <c r="C6" s="3"/>
      <c r="D6" s="3"/>
      <c r="E6" s="3"/>
      <c r="F6" s="3"/>
      <c r="G6" s="3"/>
      <c r="H6" s="3"/>
      <c r="I6" s="3"/>
      <c r="J6" s="3"/>
      <c r="K6" s="3"/>
      <c r="L6" s="3"/>
      <c r="M6" s="3"/>
      <c r="N6" s="3">
        <v>0</v>
      </c>
      <c r="O6" s="3">
        <v>0</v>
      </c>
      <c r="P6" s="3">
        <v>0</v>
      </c>
      <c r="Q6" s="3">
        <v>0</v>
      </c>
      <c r="R6" s="3">
        <v>0</v>
      </c>
      <c r="S6" s="3">
        <v>0</v>
      </c>
      <c r="T6" s="3">
        <v>0</v>
      </c>
      <c r="U6" s="3">
        <v>0</v>
      </c>
      <c r="V6" s="3">
        <v>0</v>
      </c>
      <c r="W6" s="3">
        <v>0</v>
      </c>
      <c r="X6" s="3">
        <v>774052</v>
      </c>
      <c r="Y6" s="3">
        <v>0</v>
      </c>
      <c r="Z6" s="3">
        <v>0</v>
      </c>
      <c r="AA6" s="3">
        <v>0</v>
      </c>
      <c r="AB6" s="3">
        <v>0</v>
      </c>
      <c r="AC6" s="3">
        <v>0</v>
      </c>
      <c r="AD6" s="3">
        <v>0</v>
      </c>
      <c r="AE6" s="3">
        <v>0</v>
      </c>
      <c r="AF6" s="3">
        <v>0</v>
      </c>
      <c r="AG6" s="3">
        <v>0</v>
      </c>
      <c r="AH6" s="3">
        <v>0</v>
      </c>
      <c r="AI6" s="3">
        <v>0</v>
      </c>
    </row>
    <row r="7" spans="1:35" x14ac:dyDescent="0.3">
      <c r="A7" s="1" t="s">
        <v>102</v>
      </c>
      <c r="B7" s="3"/>
      <c r="C7" s="3"/>
      <c r="D7" s="3"/>
      <c r="E7" s="3"/>
      <c r="F7" s="3"/>
      <c r="G7" s="3"/>
      <c r="H7" s="3"/>
      <c r="I7" s="3"/>
      <c r="J7" s="3"/>
      <c r="K7" s="3"/>
      <c r="L7" s="3"/>
      <c r="M7" s="3"/>
      <c r="N7" s="3">
        <v>316506</v>
      </c>
      <c r="O7" s="3">
        <v>256149</v>
      </c>
      <c r="P7" s="3">
        <f>5142584</f>
        <v>5142584</v>
      </c>
      <c r="Q7" s="3">
        <v>8153479</v>
      </c>
      <c r="R7" s="3">
        <v>542654</v>
      </c>
      <c r="S7" s="3">
        <v>410595</v>
      </c>
      <c r="T7" s="3">
        <f>6731325</f>
        <v>6731325</v>
      </c>
      <c r="U7" s="3">
        <v>10060836</v>
      </c>
      <c r="V7" s="3">
        <v>165319</v>
      </c>
      <c r="W7" s="3">
        <v>921089</v>
      </c>
      <c r="X7" s="3">
        <v>0</v>
      </c>
      <c r="Y7" s="3">
        <v>903687</v>
      </c>
      <c r="Z7" s="3">
        <v>325688</v>
      </c>
      <c r="AA7" s="3">
        <v>594120</v>
      </c>
      <c r="AB7" s="3">
        <v>1624606</v>
      </c>
      <c r="AC7" s="3">
        <v>1918350</v>
      </c>
      <c r="AD7" s="3">
        <v>1271113</v>
      </c>
      <c r="AE7" s="3">
        <v>1050342</v>
      </c>
      <c r="AF7" s="3">
        <v>875801</v>
      </c>
      <c r="AG7" s="3">
        <v>571243</v>
      </c>
      <c r="AH7" s="3">
        <v>450756</v>
      </c>
      <c r="AI7" s="3">
        <v>1201282</v>
      </c>
    </row>
    <row r="8" spans="1:35" x14ac:dyDescent="0.3">
      <c r="A8" s="1" t="s">
        <v>103</v>
      </c>
      <c r="B8" s="3"/>
      <c r="C8" s="3"/>
      <c r="D8" s="3"/>
      <c r="E8" s="3"/>
      <c r="F8" s="3"/>
      <c r="G8" s="3"/>
      <c r="H8" s="3"/>
      <c r="I8" s="3"/>
      <c r="J8" s="3"/>
      <c r="K8" s="3"/>
      <c r="L8" s="3"/>
      <c r="M8" s="3"/>
      <c r="N8" s="3">
        <v>2758909</v>
      </c>
      <c r="O8" s="3">
        <v>2561523</v>
      </c>
      <c r="P8" s="3">
        <f>3182279</f>
        <v>3182279</v>
      </c>
      <c r="Q8" s="3">
        <v>3582323</v>
      </c>
      <c r="R8" s="3">
        <v>2899808</v>
      </c>
      <c r="S8" s="3">
        <v>3608176</v>
      </c>
      <c r="T8" s="3">
        <f>4607123</f>
        <v>4607123</v>
      </c>
      <c r="U8" s="3">
        <v>4678310</v>
      </c>
      <c r="V8" s="3">
        <v>6646132</v>
      </c>
      <c r="W8" s="3">
        <v>3904776</v>
      </c>
      <c r="X8" s="3">
        <v>6279241</v>
      </c>
      <c r="Y8" s="3">
        <v>6575168</v>
      </c>
      <c r="Z8" s="3">
        <v>5435212</v>
      </c>
      <c r="AA8" s="3">
        <v>5394803</v>
      </c>
      <c r="AB8" s="3">
        <v>5729338</v>
      </c>
      <c r="AC8" s="3">
        <v>6157146</v>
      </c>
      <c r="AD8" s="3">
        <v>5853022</v>
      </c>
      <c r="AE8" s="3">
        <v>6073971</v>
      </c>
      <c r="AF8" s="3">
        <v>5375429</v>
      </c>
      <c r="AG8" s="3">
        <v>5393919</v>
      </c>
      <c r="AH8" s="3">
        <v>5554723</v>
      </c>
      <c r="AI8" s="3">
        <v>4742661</v>
      </c>
    </row>
    <row r="9" spans="1:35" x14ac:dyDescent="0.3">
      <c r="A9" s="1" t="s">
        <v>104</v>
      </c>
      <c r="B9" s="3"/>
      <c r="C9" s="3"/>
      <c r="D9" s="3"/>
      <c r="E9" s="3"/>
      <c r="F9" s="3"/>
      <c r="G9" s="3"/>
      <c r="H9" s="3"/>
      <c r="I9" s="3"/>
      <c r="J9" s="3"/>
      <c r="K9" s="3"/>
      <c r="L9" s="3"/>
      <c r="M9" s="3"/>
      <c r="N9" s="3">
        <v>0</v>
      </c>
      <c r="O9" s="3">
        <v>0</v>
      </c>
      <c r="P9" s="3">
        <v>0</v>
      </c>
      <c r="Q9" s="3">
        <v>0</v>
      </c>
      <c r="R9" s="3">
        <v>0</v>
      </c>
      <c r="S9" s="3">
        <v>0</v>
      </c>
      <c r="T9" s="3">
        <v>0</v>
      </c>
      <c r="U9" s="3">
        <v>0</v>
      </c>
      <c r="V9" s="3">
        <v>0</v>
      </c>
      <c r="W9" s="3">
        <v>0</v>
      </c>
      <c r="X9" s="3">
        <v>0</v>
      </c>
      <c r="Y9" s="3">
        <v>0</v>
      </c>
      <c r="Z9" s="3">
        <v>0</v>
      </c>
      <c r="AA9" s="3">
        <v>353100</v>
      </c>
      <c r="AB9" s="3">
        <v>0</v>
      </c>
      <c r="AC9" s="3">
        <v>0</v>
      </c>
      <c r="AD9" s="3">
        <v>0</v>
      </c>
      <c r="AE9" s="3">
        <v>0</v>
      </c>
      <c r="AF9" s="3">
        <v>0</v>
      </c>
      <c r="AG9" s="3">
        <v>0</v>
      </c>
      <c r="AH9" s="3">
        <v>0</v>
      </c>
      <c r="AI9" s="3">
        <v>0</v>
      </c>
    </row>
    <row r="10" spans="1:35" x14ac:dyDescent="0.3">
      <c r="A10" s="1" t="s">
        <v>105</v>
      </c>
      <c r="B10" s="3"/>
      <c r="C10" s="3"/>
      <c r="D10" s="3"/>
      <c r="E10" s="3"/>
      <c r="F10" s="3"/>
      <c r="G10" s="3"/>
      <c r="H10" s="3"/>
      <c r="I10" s="3"/>
      <c r="J10" s="3"/>
      <c r="K10" s="3"/>
      <c r="L10" s="3"/>
      <c r="M10" s="3"/>
      <c r="N10" s="3">
        <v>0</v>
      </c>
      <c r="O10" s="3">
        <v>11114696</v>
      </c>
      <c r="P10" s="3">
        <v>0</v>
      </c>
      <c r="Q10" s="3">
        <v>0</v>
      </c>
      <c r="R10" s="3">
        <v>624033</v>
      </c>
      <c r="S10" s="3">
        <v>1158169</v>
      </c>
      <c r="T10" s="3">
        <v>0</v>
      </c>
      <c r="U10" s="3">
        <v>0</v>
      </c>
      <c r="V10" s="3">
        <v>0</v>
      </c>
      <c r="W10" s="3">
        <v>394362</v>
      </c>
      <c r="X10" s="3">
        <v>919000</v>
      </c>
      <c r="Y10" s="3">
        <v>1454777</v>
      </c>
      <c r="Z10" s="3">
        <v>0</v>
      </c>
      <c r="AA10" s="3">
        <v>572179</v>
      </c>
      <c r="AB10" s="3">
        <v>1308235</v>
      </c>
      <c r="AC10" s="3">
        <v>2106253</v>
      </c>
      <c r="AD10" s="3">
        <v>2953726</v>
      </c>
      <c r="AE10" s="3">
        <v>3834082</v>
      </c>
      <c r="AF10" s="3">
        <v>1827828</v>
      </c>
      <c r="AG10" s="3">
        <v>2767237</v>
      </c>
      <c r="AH10" s="3">
        <v>3825471</v>
      </c>
      <c r="AI10" s="3">
        <v>4789348</v>
      </c>
    </row>
    <row r="11" spans="1:35" x14ac:dyDescent="0.3">
      <c r="A11" s="1" t="s">
        <v>106</v>
      </c>
      <c r="B11" s="3"/>
      <c r="C11" s="3"/>
      <c r="D11" s="3"/>
      <c r="E11" s="3"/>
      <c r="F11" s="3"/>
      <c r="G11" s="3"/>
      <c r="H11" s="3"/>
      <c r="I11" s="3"/>
      <c r="J11" s="3"/>
      <c r="K11" s="3"/>
      <c r="L11" s="3"/>
      <c r="M11" s="3"/>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row>
    <row r="12" spans="1:35" s="6" customFormat="1" x14ac:dyDescent="0.3">
      <c r="A12" s="6" t="s">
        <v>15</v>
      </c>
      <c r="B12" s="7">
        <f>27408824</f>
        <v>27408824</v>
      </c>
      <c r="C12" s="7">
        <v>33445479</v>
      </c>
      <c r="D12" s="7">
        <v>7140855</v>
      </c>
      <c r="E12" s="7">
        <v>8205045</v>
      </c>
      <c r="F12" s="7">
        <v>6044491</v>
      </c>
      <c r="G12" s="7"/>
      <c r="H12" s="7"/>
      <c r="I12" s="7"/>
      <c r="J12" s="7">
        <v>19079221</v>
      </c>
      <c r="K12" s="7"/>
      <c r="L12" s="7"/>
      <c r="M12" s="7"/>
      <c r="N12" s="7">
        <f t="shared" ref="N12:Z12" si="0">+SUM(N2:N11)</f>
        <v>3993682</v>
      </c>
      <c r="O12" s="7">
        <f t="shared" si="0"/>
        <v>42301025</v>
      </c>
      <c r="P12" s="7">
        <f t="shared" si="0"/>
        <v>29598458</v>
      </c>
      <c r="Q12" s="7">
        <f t="shared" si="0"/>
        <v>27838244</v>
      </c>
      <c r="R12" s="7">
        <f t="shared" si="0"/>
        <v>15029289</v>
      </c>
      <c r="S12" s="7">
        <f t="shared" si="0"/>
        <v>28075149</v>
      </c>
      <c r="T12" s="7">
        <f t="shared" si="0"/>
        <v>47200745</v>
      </c>
      <c r="U12" s="7">
        <f t="shared" si="0"/>
        <v>43855044</v>
      </c>
      <c r="V12" s="7">
        <f t="shared" si="0"/>
        <v>31367067</v>
      </c>
      <c r="W12" s="7">
        <f t="shared" si="0"/>
        <v>11291797</v>
      </c>
      <c r="X12" s="7">
        <f t="shared" si="0"/>
        <v>19135631</v>
      </c>
      <c r="Y12" s="7">
        <f t="shared" si="0"/>
        <v>13995216</v>
      </c>
      <c r="Z12" s="7">
        <f t="shared" si="0"/>
        <v>17329069</v>
      </c>
      <c r="AA12" s="7">
        <f t="shared" ref="AA12:AB12" si="1">+SUM(AA2:AA11)</f>
        <v>24778382</v>
      </c>
      <c r="AB12" s="7">
        <f t="shared" si="1"/>
        <v>16382689</v>
      </c>
      <c r="AC12" s="7">
        <f t="shared" ref="AC12:AD12" si="2">+SUM(AC2:AC11)</f>
        <v>25307082</v>
      </c>
      <c r="AD12" s="7">
        <f t="shared" si="2"/>
        <v>16058118</v>
      </c>
      <c r="AE12" s="7">
        <f t="shared" ref="AE12:AF12" si="3">+SUM(AE2:AE11)</f>
        <v>28372317</v>
      </c>
      <c r="AF12" s="7">
        <f t="shared" si="3"/>
        <v>27550272</v>
      </c>
      <c r="AG12" s="7">
        <f t="shared" ref="AG12:AH12" si="4">+SUM(AG2:AG11)</f>
        <v>43383170</v>
      </c>
      <c r="AH12" s="7">
        <f t="shared" si="4"/>
        <v>39891353</v>
      </c>
      <c r="AI12" s="7">
        <f t="shared" ref="AI12" si="5">+SUM(AI2:AI11)</f>
        <v>39842082</v>
      </c>
    </row>
    <row r="13" spans="1:35" x14ac:dyDescent="0.3">
      <c r="A13" s="1" t="s">
        <v>16</v>
      </c>
      <c r="B13" s="3"/>
      <c r="C13" s="3"/>
      <c r="D13" s="3"/>
      <c r="E13" s="3"/>
      <c r="F13" s="3"/>
      <c r="G13" s="3"/>
      <c r="H13" s="3"/>
      <c r="I13" s="3"/>
      <c r="J13" s="3"/>
      <c r="K13" s="3"/>
      <c r="L13" s="3"/>
      <c r="M13" s="3"/>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row>
    <row r="14" spans="1:35" x14ac:dyDescent="0.3">
      <c r="A14" s="1" t="s">
        <v>107</v>
      </c>
      <c r="B14" s="3"/>
      <c r="C14" s="3"/>
      <c r="D14" s="3"/>
      <c r="E14" s="3"/>
      <c r="F14" s="3"/>
      <c r="G14" s="3"/>
      <c r="H14" s="3"/>
      <c r="I14" s="3"/>
      <c r="J14" s="3"/>
      <c r="K14" s="3"/>
      <c r="L14" s="3"/>
      <c r="M14" s="3"/>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f>113974</f>
        <v>113974</v>
      </c>
      <c r="AG14" s="3">
        <v>115292</v>
      </c>
      <c r="AH14" s="3">
        <v>116682</v>
      </c>
      <c r="AI14" s="3">
        <f>741537+195741</f>
        <v>937278</v>
      </c>
    </row>
    <row r="15" spans="1:35" x14ac:dyDescent="0.3">
      <c r="A15" s="1" t="s">
        <v>108</v>
      </c>
      <c r="B15" s="3"/>
      <c r="C15" s="3"/>
      <c r="D15" s="3"/>
      <c r="E15" s="3"/>
      <c r="F15" s="3"/>
      <c r="G15" s="3"/>
      <c r="H15" s="3"/>
      <c r="I15" s="3"/>
      <c r="J15" s="3"/>
      <c r="K15" s="3"/>
      <c r="L15" s="3"/>
      <c r="M15" s="3"/>
      <c r="N15" s="3">
        <v>270096</v>
      </c>
      <c r="O15" s="3">
        <v>270096</v>
      </c>
      <c r="P15" s="3">
        <f>7764789+193457+9065835</f>
        <v>17024081</v>
      </c>
      <c r="Q15" s="3">
        <f>11078982+234353+8496878</f>
        <v>19810213</v>
      </c>
      <c r="R15" s="3">
        <v>270096</v>
      </c>
      <c r="S15" s="3">
        <v>4474438</v>
      </c>
      <c r="T15" s="3">
        <f>9755162+257708+13253580</f>
        <v>23266450</v>
      </c>
      <c r="U15" s="3">
        <f>11291964+427299+18470628</f>
        <v>30189891</v>
      </c>
      <c r="V15" s="3">
        <f>270096</f>
        <v>270096</v>
      </c>
      <c r="W15" s="3">
        <v>270096</v>
      </c>
      <c r="X15" s="3">
        <v>270096</v>
      </c>
      <c r="Y15" s="3">
        <v>270096</v>
      </c>
      <c r="Z15" s="3">
        <f>270096</f>
        <v>270096</v>
      </c>
      <c r="AA15" s="3">
        <f>270096</f>
        <v>270096</v>
      </c>
      <c r="AB15" s="3">
        <f>270096</f>
        <v>270096</v>
      </c>
      <c r="AC15" s="3">
        <v>270096</v>
      </c>
      <c r="AD15" s="3">
        <f>677476+110198+270096</f>
        <v>1057770</v>
      </c>
      <c r="AE15" s="3">
        <f>270096</f>
        <v>270096</v>
      </c>
      <c r="AF15" s="3">
        <f>587040+270096+11585504</f>
        <v>12442640</v>
      </c>
      <c r="AG15" s="3">
        <f>590308+270096+8972526</f>
        <v>9832930</v>
      </c>
      <c r="AH15" s="3">
        <f>270096+14105930+710296</f>
        <v>15086322</v>
      </c>
      <c r="AI15" s="3">
        <f>419493+19047813</f>
        <v>19467306</v>
      </c>
    </row>
    <row r="16" spans="1:35" x14ac:dyDescent="0.3">
      <c r="A16" s="1" t="s">
        <v>109</v>
      </c>
      <c r="B16" s="3"/>
      <c r="C16" s="3"/>
      <c r="D16" s="3"/>
      <c r="E16" s="3"/>
      <c r="F16" s="3"/>
      <c r="G16" s="3"/>
      <c r="H16" s="3"/>
      <c r="I16" s="3"/>
      <c r="J16" s="3"/>
      <c r="K16" s="3"/>
      <c r="L16" s="3"/>
      <c r="M16" s="3"/>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row>
    <row r="17" spans="1:35" ht="28.8" x14ac:dyDescent="0.3">
      <c r="A17" s="13" t="s">
        <v>110</v>
      </c>
      <c r="B17" s="3"/>
      <c r="C17" s="3"/>
      <c r="D17" s="3"/>
      <c r="E17" s="3"/>
      <c r="F17" s="3"/>
      <c r="G17" s="3"/>
      <c r="H17" s="3"/>
      <c r="I17" s="3"/>
      <c r="J17" s="3"/>
      <c r="K17" s="3"/>
      <c r="L17" s="3"/>
      <c r="M17" s="3"/>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row>
    <row r="18" spans="1:35" x14ac:dyDescent="0.3">
      <c r="A18" s="13" t="s">
        <v>111</v>
      </c>
      <c r="B18" s="3"/>
      <c r="C18" s="3"/>
      <c r="D18" s="3"/>
      <c r="E18" s="3"/>
      <c r="F18" s="3"/>
      <c r="G18" s="3"/>
      <c r="H18" s="3"/>
      <c r="I18" s="3"/>
      <c r="J18" s="3"/>
      <c r="K18" s="3"/>
      <c r="L18" s="3"/>
      <c r="M18" s="3"/>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row>
    <row r="19" spans="1:35" x14ac:dyDescent="0.3">
      <c r="A19" s="1" t="s">
        <v>112</v>
      </c>
      <c r="B19" s="3"/>
      <c r="C19" s="3"/>
      <c r="D19" s="3"/>
      <c r="E19" s="3"/>
      <c r="F19" s="3"/>
      <c r="G19" s="3"/>
      <c r="H19" s="3"/>
      <c r="I19" s="3"/>
      <c r="J19" s="3"/>
      <c r="K19" s="3"/>
      <c r="L19" s="3"/>
      <c r="M19" s="3"/>
      <c r="N19" s="3">
        <f>472896667+1225353</f>
        <v>474122020</v>
      </c>
      <c r="O19" s="3">
        <v>478174440</v>
      </c>
      <c r="P19" s="3">
        <f>484013383</f>
        <v>484013383</v>
      </c>
      <c r="Q19" s="3">
        <v>490194393</v>
      </c>
      <c r="R19" s="3">
        <f>503156973+11729763</f>
        <v>514886736</v>
      </c>
      <c r="S19" s="3">
        <v>532915591</v>
      </c>
      <c r="T19" s="3">
        <v>555904933</v>
      </c>
      <c r="U19" s="3">
        <f>603703827</f>
        <v>603703827</v>
      </c>
      <c r="V19" s="3">
        <f>6771721+624820253+7447251</f>
        <v>639039225</v>
      </c>
      <c r="W19" s="3">
        <v>653836227</v>
      </c>
      <c r="X19" s="3">
        <v>670556576</v>
      </c>
      <c r="Y19" s="3">
        <f>688260812+6825640+10762413+2</f>
        <v>705848867</v>
      </c>
      <c r="Z19" s="3">
        <f>14011112+699513884+10821460</f>
        <v>724346456</v>
      </c>
      <c r="AA19" s="3">
        <f>736852500+10793042+56438044</f>
        <v>804083586</v>
      </c>
      <c r="AB19" s="3">
        <f>753315756+10812817+62945984</f>
        <v>827074557</v>
      </c>
      <c r="AC19" s="3">
        <v>851757703</v>
      </c>
      <c r="AD19" s="3">
        <f>837805812+10811769+17574800</f>
        <v>866192381</v>
      </c>
      <c r="AE19" s="3">
        <f>848217570+11019348+20157253</f>
        <v>879394171</v>
      </c>
      <c r="AF19" s="3">
        <f>889702141+10994139</f>
        <v>900696280</v>
      </c>
      <c r="AG19" s="3">
        <f>949014025+10923735</f>
        <v>959937760</v>
      </c>
      <c r="AH19" s="3">
        <f>954837801+10863356</f>
        <v>965701157</v>
      </c>
      <c r="AI19" s="3">
        <f>957571955+10766684</f>
        <v>968338639</v>
      </c>
    </row>
    <row r="20" spans="1:35" x14ac:dyDescent="0.3">
      <c r="A20" s="1" t="s">
        <v>113</v>
      </c>
      <c r="B20" s="3"/>
      <c r="C20" s="3"/>
      <c r="D20" s="3"/>
      <c r="E20" s="3"/>
      <c r="F20" s="3"/>
      <c r="G20" s="3"/>
      <c r="H20" s="3"/>
      <c r="I20" s="3"/>
      <c r="J20" s="3"/>
      <c r="K20" s="3"/>
      <c r="L20" s="3"/>
      <c r="M20" s="3"/>
      <c r="N20" s="3">
        <v>27145852</v>
      </c>
      <c r="O20" s="3">
        <v>4024585</v>
      </c>
      <c r="P20" s="3">
        <v>37810</v>
      </c>
      <c r="Q20" s="3">
        <v>37810</v>
      </c>
      <c r="R20" s="3">
        <v>24796414</v>
      </c>
      <c r="S20" s="3">
        <v>29422275</v>
      </c>
      <c r="T20" s="3">
        <v>29582764</v>
      </c>
      <c r="U20" s="3">
        <v>29362876</v>
      </c>
      <c r="V20" s="3">
        <v>31404646</v>
      </c>
      <c r="W20" s="3">
        <v>30766565</v>
      </c>
      <c r="X20" s="3">
        <v>29859773</v>
      </c>
      <c r="Y20" s="3">
        <v>28628404</v>
      </c>
      <c r="Z20" s="3">
        <v>27813535</v>
      </c>
      <c r="AA20" s="3">
        <v>26850151</v>
      </c>
      <c r="AB20" s="3">
        <f>25874061</f>
        <v>25874061</v>
      </c>
      <c r="AC20" s="3">
        <v>25224770</v>
      </c>
      <c r="AD20" s="3">
        <v>25577138</v>
      </c>
      <c r="AE20" s="3">
        <f>37052171</f>
        <v>37052171</v>
      </c>
      <c r="AF20" s="3">
        <v>38191736</v>
      </c>
      <c r="AG20" s="3">
        <v>36379013</v>
      </c>
      <c r="AH20" s="3">
        <v>35495183</v>
      </c>
      <c r="AI20" s="3">
        <v>34804367</v>
      </c>
    </row>
    <row r="21" spans="1:35" s="6" customFormat="1" x14ac:dyDescent="0.3">
      <c r="A21" s="6" t="s">
        <v>18</v>
      </c>
      <c r="B21" s="7">
        <f>179902094</f>
        <v>179902094</v>
      </c>
      <c r="C21" s="7">
        <v>212337152</v>
      </c>
      <c r="D21" s="7">
        <f>268431911-7140855</f>
        <v>261291056</v>
      </c>
      <c r="E21" s="7">
        <v>306097024</v>
      </c>
      <c r="F21" s="7">
        <v>368519741</v>
      </c>
      <c r="G21" s="7"/>
      <c r="H21" s="7"/>
      <c r="I21" s="7"/>
      <c r="J21" s="7">
        <v>400506547</v>
      </c>
      <c r="K21" s="7"/>
      <c r="L21" s="7"/>
      <c r="M21" s="7"/>
      <c r="N21" s="7">
        <f t="shared" ref="N21:O21" si="6">+SUM(N13:N20)</f>
        <v>501537968</v>
      </c>
      <c r="O21" s="7">
        <f t="shared" si="6"/>
        <v>482469121</v>
      </c>
      <c r="P21" s="7">
        <f t="shared" ref="P21:Z21" si="7">+SUM(P13:P20)</f>
        <v>501075274</v>
      </c>
      <c r="Q21" s="7">
        <f t="shared" si="7"/>
        <v>510042416</v>
      </c>
      <c r="R21" s="7">
        <f t="shared" si="7"/>
        <v>539953246</v>
      </c>
      <c r="S21" s="7">
        <f t="shared" si="7"/>
        <v>566812304</v>
      </c>
      <c r="T21" s="7">
        <f t="shared" si="7"/>
        <v>608754147</v>
      </c>
      <c r="U21" s="7">
        <f t="shared" si="7"/>
        <v>663256594</v>
      </c>
      <c r="V21" s="7">
        <f t="shared" si="7"/>
        <v>670713967</v>
      </c>
      <c r="W21" s="7">
        <f t="shared" si="7"/>
        <v>684872888</v>
      </c>
      <c r="X21" s="7">
        <f t="shared" si="7"/>
        <v>700686445</v>
      </c>
      <c r="Y21" s="7">
        <f t="shared" si="7"/>
        <v>734747367</v>
      </c>
      <c r="Z21" s="7">
        <f t="shared" si="7"/>
        <v>752430087</v>
      </c>
      <c r="AA21" s="7">
        <f t="shared" ref="AA21:AB21" si="8">+SUM(AA13:AA20)</f>
        <v>831203833</v>
      </c>
      <c r="AB21" s="7">
        <f t="shared" si="8"/>
        <v>853218714</v>
      </c>
      <c r="AC21" s="7">
        <f t="shared" ref="AC21:AD21" si="9">+SUM(AC13:AC20)</f>
        <v>877252569</v>
      </c>
      <c r="AD21" s="7">
        <f t="shared" si="9"/>
        <v>892827289</v>
      </c>
      <c r="AE21" s="7">
        <f t="shared" ref="AE21:AF21" si="10">+SUM(AE13:AE20)</f>
        <v>916716438</v>
      </c>
      <c r="AF21" s="7">
        <f t="shared" si="10"/>
        <v>951444630</v>
      </c>
      <c r="AG21" s="7">
        <f t="shared" ref="AG21:AH21" si="11">+SUM(AG13:AG20)</f>
        <v>1006264995</v>
      </c>
      <c r="AH21" s="7">
        <f t="shared" si="11"/>
        <v>1016399344</v>
      </c>
      <c r="AI21" s="7">
        <f t="shared" ref="AI21" si="12">+SUM(AI13:AI20)</f>
        <v>1023547590</v>
      </c>
    </row>
    <row r="22" spans="1:35" s="6" customFormat="1" x14ac:dyDescent="0.3">
      <c r="A22" s="6" t="s">
        <v>19</v>
      </c>
      <c r="B22" s="7">
        <f t="shared" ref="B22:N22" si="13">+B21+B12</f>
        <v>207310918</v>
      </c>
      <c r="C22" s="7">
        <f t="shared" si="13"/>
        <v>245782631</v>
      </c>
      <c r="D22" s="7">
        <f t="shared" si="13"/>
        <v>268431911</v>
      </c>
      <c r="E22" s="7">
        <f t="shared" si="13"/>
        <v>314302069</v>
      </c>
      <c r="F22" s="7">
        <f t="shared" si="13"/>
        <v>374564232</v>
      </c>
      <c r="G22" s="7"/>
      <c r="H22" s="7"/>
      <c r="I22" s="7"/>
      <c r="J22" s="7">
        <f t="shared" si="13"/>
        <v>419585768</v>
      </c>
      <c r="K22" s="7"/>
      <c r="L22" s="7"/>
      <c r="M22" s="7"/>
      <c r="N22" s="7">
        <f t="shared" si="13"/>
        <v>505531650</v>
      </c>
      <c r="O22" s="7">
        <f t="shared" ref="O22:Z22" si="14">+O21+O12</f>
        <v>524770146</v>
      </c>
      <c r="P22" s="7">
        <f t="shared" si="14"/>
        <v>530673732</v>
      </c>
      <c r="Q22" s="7">
        <f t="shared" si="14"/>
        <v>537880660</v>
      </c>
      <c r="R22" s="7">
        <f t="shared" si="14"/>
        <v>554982535</v>
      </c>
      <c r="S22" s="7">
        <f t="shared" si="14"/>
        <v>594887453</v>
      </c>
      <c r="T22" s="7">
        <f t="shared" si="14"/>
        <v>655954892</v>
      </c>
      <c r="U22" s="7">
        <f t="shared" si="14"/>
        <v>707111638</v>
      </c>
      <c r="V22" s="7">
        <f t="shared" si="14"/>
        <v>702081034</v>
      </c>
      <c r="W22" s="7">
        <f t="shared" si="14"/>
        <v>696164685</v>
      </c>
      <c r="X22" s="7">
        <f t="shared" si="14"/>
        <v>719822076</v>
      </c>
      <c r="Y22" s="7">
        <f t="shared" si="14"/>
        <v>748742583</v>
      </c>
      <c r="Z22" s="7">
        <f t="shared" si="14"/>
        <v>769759156</v>
      </c>
      <c r="AA22" s="7">
        <f t="shared" ref="AA22:AB22" si="15">+AA21+AA12</f>
        <v>855982215</v>
      </c>
      <c r="AB22" s="7">
        <f t="shared" si="15"/>
        <v>869601403</v>
      </c>
      <c r="AC22" s="7">
        <f t="shared" ref="AC22:AD22" si="16">+AC21+AC12</f>
        <v>902559651</v>
      </c>
      <c r="AD22" s="7">
        <f t="shared" si="16"/>
        <v>908885407</v>
      </c>
      <c r="AE22" s="7">
        <f t="shared" ref="AE22:AF22" si="17">+AE21+AE12</f>
        <v>945088755</v>
      </c>
      <c r="AF22" s="7">
        <f t="shared" si="17"/>
        <v>978994902</v>
      </c>
      <c r="AG22" s="7">
        <f t="shared" ref="AG22:AH22" si="18">+AG21+AG12</f>
        <v>1049648165</v>
      </c>
      <c r="AH22" s="7">
        <f t="shared" si="18"/>
        <v>1056290697</v>
      </c>
      <c r="AI22" s="7">
        <f t="shared" ref="AI22" si="19">+AI21+AI12</f>
        <v>1063389672</v>
      </c>
    </row>
    <row r="23" spans="1:35"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3">
      <c r="A25" s="1" t="s">
        <v>115</v>
      </c>
      <c r="B25" s="3"/>
      <c r="C25" s="3"/>
      <c r="D25" s="3"/>
      <c r="E25" s="3"/>
      <c r="F25" s="3"/>
      <c r="G25" s="3"/>
      <c r="H25" s="3"/>
      <c r="I25" s="3"/>
      <c r="J25" s="3"/>
      <c r="K25" s="3"/>
      <c r="L25" s="3"/>
      <c r="M25" s="3"/>
      <c r="N25" s="3">
        <f>39542360</f>
        <v>39542360</v>
      </c>
      <c r="O25" s="3">
        <v>107634382</v>
      </c>
      <c r="P25" s="3">
        <v>21705164</v>
      </c>
      <c r="Q25" s="3">
        <v>21824308</v>
      </c>
      <c r="R25" s="3">
        <v>40044256</v>
      </c>
      <c r="S25" s="3">
        <v>39805614</v>
      </c>
      <c r="T25" s="3">
        <f>7517219</f>
        <v>7517219</v>
      </c>
      <c r="U25" s="3">
        <v>7793292</v>
      </c>
      <c r="V25" s="3">
        <v>20376893</v>
      </c>
      <c r="W25" s="3">
        <v>21805001</v>
      </c>
      <c r="X25" s="3">
        <v>22161886</v>
      </c>
      <c r="Y25" s="3">
        <v>21215316</v>
      </c>
      <c r="Z25" s="3">
        <v>20522863</v>
      </c>
      <c r="AA25" s="3">
        <f>56951728</f>
        <v>56951728</v>
      </c>
      <c r="AB25" s="3">
        <v>57231076</v>
      </c>
      <c r="AC25" s="3">
        <v>71780026</v>
      </c>
      <c r="AD25" s="3">
        <v>71527240</v>
      </c>
      <c r="AE25" s="3">
        <f>35650741</f>
        <v>35650741</v>
      </c>
      <c r="AF25" s="3">
        <f>56522684</f>
        <v>56522684</v>
      </c>
      <c r="AG25" s="3">
        <f>17470341</f>
        <v>17470341</v>
      </c>
      <c r="AH25" s="3">
        <f>18188041</f>
        <v>18188041</v>
      </c>
      <c r="AI25" s="3">
        <f>17820684</f>
        <v>17820684</v>
      </c>
    </row>
    <row r="26" spans="1:35" x14ac:dyDescent="0.3">
      <c r="A26" s="1" t="s">
        <v>116</v>
      </c>
      <c r="B26" s="3"/>
      <c r="C26" s="3"/>
      <c r="D26" s="3"/>
      <c r="E26" s="3"/>
      <c r="F26" s="3"/>
      <c r="G26" s="3"/>
      <c r="H26" s="3"/>
      <c r="I26" s="3"/>
      <c r="J26" s="3"/>
      <c r="K26" s="3"/>
      <c r="L26" s="3"/>
      <c r="M26" s="3"/>
      <c r="N26" s="3">
        <f>2655384</f>
        <v>2655384</v>
      </c>
      <c r="O26" s="3">
        <v>1138713</v>
      </c>
      <c r="P26" s="3">
        <f>1459641+1402216</f>
        <v>2861857</v>
      </c>
      <c r="Q26" s="3">
        <f>774029+7294919</f>
        <v>8068948</v>
      </c>
      <c r="R26" s="3">
        <v>2279033</v>
      </c>
      <c r="S26" s="3">
        <v>8441598</v>
      </c>
      <c r="T26" s="3">
        <f>2887836+12930724</f>
        <v>15818560</v>
      </c>
      <c r="U26" s="3">
        <f>696618+22907554</f>
        <v>23604172</v>
      </c>
      <c r="V26" s="3">
        <v>7671737</v>
      </c>
      <c r="W26" s="3">
        <v>6111364</v>
      </c>
      <c r="X26" s="3">
        <v>5991450</v>
      </c>
      <c r="Y26" s="3">
        <v>5099896</v>
      </c>
      <c r="Z26" s="3">
        <v>5062828</v>
      </c>
      <c r="AA26" s="3">
        <v>13972375</v>
      </c>
      <c r="AB26" s="3">
        <v>14531738</v>
      </c>
      <c r="AC26" s="3">
        <v>13597566</v>
      </c>
      <c r="AD26" s="3">
        <f>269848+5472441</f>
        <v>5742289</v>
      </c>
      <c r="AE26" s="3">
        <f>10225263</f>
        <v>10225263</v>
      </c>
      <c r="AF26" s="3">
        <f>6840764</f>
        <v>6840764</v>
      </c>
      <c r="AG26" s="3">
        <f>6367960</f>
        <v>6367960</v>
      </c>
      <c r="AH26" s="3">
        <v>5781915</v>
      </c>
      <c r="AI26" s="3">
        <v>9079032</v>
      </c>
    </row>
    <row r="27" spans="1:35" x14ac:dyDescent="0.3">
      <c r="A27" s="1" t="s">
        <v>117</v>
      </c>
      <c r="B27" s="3"/>
      <c r="C27" s="3"/>
      <c r="D27" s="3"/>
      <c r="E27" s="3"/>
      <c r="F27" s="3"/>
      <c r="G27" s="3"/>
      <c r="H27" s="3"/>
      <c r="I27" s="3"/>
      <c r="J27" s="3"/>
      <c r="K27" s="3"/>
      <c r="L27" s="3"/>
      <c r="M27" s="3"/>
      <c r="N27" s="3">
        <v>0</v>
      </c>
      <c r="O27" s="3">
        <v>0</v>
      </c>
      <c r="P27" s="3">
        <v>0</v>
      </c>
      <c r="Q27" s="3">
        <v>0</v>
      </c>
      <c r="R27" s="3">
        <v>0</v>
      </c>
      <c r="S27" s="3">
        <v>0</v>
      </c>
      <c r="T27" s="3">
        <v>0</v>
      </c>
      <c r="U27" s="3">
        <v>0</v>
      </c>
      <c r="V27" s="3">
        <v>0</v>
      </c>
      <c r="W27" s="3">
        <v>0</v>
      </c>
      <c r="X27" s="3">
        <v>0</v>
      </c>
      <c r="Y27" s="3">
        <v>0</v>
      </c>
      <c r="Z27" s="3">
        <v>0</v>
      </c>
      <c r="AA27" s="3">
        <v>11356647</v>
      </c>
      <c r="AB27" s="3">
        <v>11144263</v>
      </c>
      <c r="AC27" s="3">
        <v>11245111</v>
      </c>
      <c r="AD27" s="3">
        <v>11397836</v>
      </c>
      <c r="AE27" s="3">
        <f>11538972</f>
        <v>11538972</v>
      </c>
      <c r="AF27" s="3">
        <f>11657975</f>
        <v>11657975</v>
      </c>
      <c r="AG27" s="3">
        <v>11726723</v>
      </c>
      <c r="AH27" s="3">
        <v>11938252</v>
      </c>
      <c r="AI27" s="3">
        <v>11813588</v>
      </c>
    </row>
    <row r="28" spans="1:35" x14ac:dyDescent="0.3">
      <c r="A28" s="1" t="s">
        <v>118</v>
      </c>
      <c r="B28" s="3"/>
      <c r="C28" s="3"/>
      <c r="D28" s="3"/>
      <c r="E28" s="3"/>
      <c r="F28" s="3"/>
      <c r="G28" s="3"/>
      <c r="H28" s="3"/>
      <c r="I28" s="3"/>
      <c r="J28" s="3"/>
      <c r="K28" s="3"/>
      <c r="L28" s="3"/>
      <c r="M28" s="3"/>
      <c r="N28" s="3">
        <v>737077</v>
      </c>
      <c r="O28" s="3">
        <v>97057594</v>
      </c>
      <c r="P28" s="3">
        <v>0</v>
      </c>
      <c r="Q28" s="3">
        <v>0</v>
      </c>
      <c r="R28" s="3">
        <v>0</v>
      </c>
      <c r="S28" s="3">
        <v>0</v>
      </c>
      <c r="T28" s="3">
        <v>0</v>
      </c>
      <c r="U28" s="3">
        <v>0</v>
      </c>
      <c r="V28" s="3">
        <v>119384</v>
      </c>
      <c r="W28" s="3">
        <v>414615</v>
      </c>
      <c r="X28" s="3">
        <v>156247</v>
      </c>
      <c r="Y28" s="3">
        <v>433380</v>
      </c>
      <c r="Z28" s="3">
        <v>636230</v>
      </c>
      <c r="AA28" s="3">
        <f>1382326</f>
        <v>1382326</v>
      </c>
      <c r="AB28" s="3">
        <f>2535315</f>
        <v>2535315</v>
      </c>
      <c r="AC28" s="3">
        <v>2866090</v>
      </c>
      <c r="AD28" s="3">
        <v>3256268</v>
      </c>
      <c r="AE28" s="3">
        <f>4153731</f>
        <v>4153731</v>
      </c>
      <c r="AF28" s="3">
        <f>3147193</f>
        <v>3147193</v>
      </c>
      <c r="AG28" s="3">
        <v>4618800</v>
      </c>
      <c r="AH28" s="3">
        <v>6828155</v>
      </c>
      <c r="AI28" s="3">
        <v>8532204</v>
      </c>
    </row>
    <row r="29" spans="1:35" x14ac:dyDescent="0.3">
      <c r="A29" s="1" t="s">
        <v>119</v>
      </c>
      <c r="B29" s="3"/>
      <c r="C29" s="3"/>
      <c r="D29" s="3"/>
      <c r="E29" s="3"/>
      <c r="F29" s="3"/>
      <c r="G29" s="3"/>
      <c r="H29" s="3"/>
      <c r="I29" s="3"/>
      <c r="J29" s="3"/>
      <c r="K29" s="3"/>
      <c r="L29" s="3"/>
      <c r="M29" s="3"/>
      <c r="N29" s="3">
        <v>140036</v>
      </c>
      <c r="O29" s="3">
        <v>1898511</v>
      </c>
      <c r="P29" s="3">
        <v>0</v>
      </c>
      <c r="Q29" s="3">
        <v>0</v>
      </c>
      <c r="R29" s="3">
        <v>169900</v>
      </c>
      <c r="S29" s="3">
        <v>169900</v>
      </c>
      <c r="T29" s="3">
        <v>0</v>
      </c>
      <c r="U29" s="3">
        <v>0</v>
      </c>
      <c r="V29" s="3">
        <v>0</v>
      </c>
      <c r="W29" s="3">
        <v>0</v>
      </c>
      <c r="X29" s="3">
        <v>0</v>
      </c>
      <c r="Y29" s="3">
        <v>0</v>
      </c>
      <c r="Z29" s="3">
        <v>0</v>
      </c>
      <c r="AA29" s="3">
        <f>236752</f>
        <v>236752</v>
      </c>
      <c r="AB29" s="3">
        <v>236752</v>
      </c>
      <c r="AC29" s="3">
        <v>236752</v>
      </c>
      <c r="AD29" s="3">
        <f>4151121+1086972</f>
        <v>5238093</v>
      </c>
      <c r="AE29" s="3">
        <f>274998+305779</f>
        <v>580777</v>
      </c>
      <c r="AF29" s="3">
        <f>7003069+676089</f>
        <v>7679158</v>
      </c>
      <c r="AG29" s="3">
        <v>4028501</v>
      </c>
      <c r="AH29" s="3">
        <f>3235234+1131118</f>
        <v>4366352</v>
      </c>
      <c r="AI29" s="3">
        <f>3235234+412480</f>
        <v>3647714</v>
      </c>
    </row>
    <row r="30" spans="1:35" x14ac:dyDescent="0.3">
      <c r="A30" s="1" t="s">
        <v>120</v>
      </c>
      <c r="B30" s="3"/>
      <c r="C30" s="3"/>
      <c r="D30" s="3"/>
      <c r="E30" s="3"/>
      <c r="F30" s="3"/>
      <c r="G30" s="3"/>
      <c r="H30" s="3"/>
      <c r="I30" s="3"/>
      <c r="J30" s="3"/>
      <c r="K30" s="3"/>
      <c r="L30" s="3"/>
      <c r="M30" s="3"/>
      <c r="N30" s="3">
        <v>0</v>
      </c>
      <c r="O30" s="3">
        <v>0</v>
      </c>
      <c r="P30" s="3">
        <v>0</v>
      </c>
      <c r="Q30" s="3">
        <v>0</v>
      </c>
      <c r="R30" s="3">
        <v>0</v>
      </c>
      <c r="S30" s="3">
        <v>0</v>
      </c>
      <c r="T30" s="3">
        <v>0</v>
      </c>
      <c r="U30" s="3">
        <v>0</v>
      </c>
      <c r="V30" s="3">
        <f>172262+177766</f>
        <v>350028</v>
      </c>
      <c r="W30" s="3">
        <v>731409</v>
      </c>
      <c r="X30" s="3">
        <v>739408</v>
      </c>
      <c r="Y30" s="3">
        <f>801485+177766</f>
        <v>979251</v>
      </c>
      <c r="Z30" s="3">
        <f>814590+236752</f>
        <v>1051342</v>
      </c>
      <c r="AA30" s="3">
        <f>816562</f>
        <v>816562</v>
      </c>
      <c r="AB30" s="3">
        <v>266922</v>
      </c>
      <c r="AC30" s="3">
        <v>267818</v>
      </c>
      <c r="AD30" s="3">
        <v>0</v>
      </c>
      <c r="AE30" s="3">
        <v>0</v>
      </c>
      <c r="AF30" s="3">
        <f>307522</f>
        <v>307522</v>
      </c>
      <c r="AG30" s="3">
        <f>308025+691724</f>
        <v>999749</v>
      </c>
      <c r="AH30" s="3">
        <f>313806</f>
        <v>313806</v>
      </c>
      <c r="AI30" s="3">
        <f>318654</f>
        <v>318654</v>
      </c>
    </row>
    <row r="31" spans="1:35" x14ac:dyDescent="0.3">
      <c r="A31" s="1" t="s">
        <v>121</v>
      </c>
      <c r="B31" s="3"/>
      <c r="C31" s="3"/>
      <c r="D31" s="3"/>
      <c r="E31" s="3"/>
      <c r="F31" s="3"/>
      <c r="G31" s="3"/>
      <c r="H31" s="3"/>
      <c r="I31" s="3"/>
      <c r="J31" s="3"/>
      <c r="K31" s="3"/>
      <c r="L31" s="3"/>
      <c r="M31" s="3"/>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row>
    <row r="32" spans="1:35" s="6" customFormat="1" x14ac:dyDescent="0.3">
      <c r="A32" s="6" t="s">
        <v>122</v>
      </c>
      <c r="B32" s="7">
        <v>6953059</v>
      </c>
      <c r="C32" s="7">
        <v>189136126</v>
      </c>
      <c r="D32" s="7">
        <v>19288001</v>
      </c>
      <c r="E32" s="7">
        <v>13826602</v>
      </c>
      <c r="F32" s="7">
        <v>14881598</v>
      </c>
      <c r="G32" s="7"/>
      <c r="H32" s="7"/>
      <c r="I32" s="7"/>
      <c r="J32" s="7">
        <v>18825995</v>
      </c>
      <c r="K32" s="7"/>
      <c r="L32" s="7"/>
      <c r="M32" s="7"/>
      <c r="N32" s="7">
        <f t="shared" ref="N32:Z32" si="20">+SUM(N23:N31)</f>
        <v>43074857</v>
      </c>
      <c r="O32" s="7">
        <f t="shared" si="20"/>
        <v>207729200</v>
      </c>
      <c r="P32" s="7">
        <f t="shared" si="20"/>
        <v>24567021</v>
      </c>
      <c r="Q32" s="7">
        <f t="shared" si="20"/>
        <v>29893256</v>
      </c>
      <c r="R32" s="7">
        <f t="shared" si="20"/>
        <v>42493189</v>
      </c>
      <c r="S32" s="7">
        <f t="shared" si="20"/>
        <v>48417112</v>
      </c>
      <c r="T32" s="7">
        <f t="shared" si="20"/>
        <v>23335779</v>
      </c>
      <c r="U32" s="7">
        <f t="shared" si="20"/>
        <v>31397464</v>
      </c>
      <c r="V32" s="7">
        <f t="shared" si="20"/>
        <v>28518042</v>
      </c>
      <c r="W32" s="7">
        <f t="shared" si="20"/>
        <v>29062389</v>
      </c>
      <c r="X32" s="7">
        <f t="shared" si="20"/>
        <v>29048991</v>
      </c>
      <c r="Y32" s="7">
        <f t="shared" si="20"/>
        <v>27727843</v>
      </c>
      <c r="Z32" s="7">
        <f t="shared" si="20"/>
        <v>27273263</v>
      </c>
      <c r="AA32" s="7">
        <f t="shared" ref="AA32:AB32" si="21">+SUM(AA23:AA31)</f>
        <v>84716390</v>
      </c>
      <c r="AB32" s="7">
        <f t="shared" si="21"/>
        <v>85946066</v>
      </c>
      <c r="AC32" s="7">
        <f t="shared" ref="AC32:AD32" si="22">+SUM(AC23:AC31)</f>
        <v>99993363</v>
      </c>
      <c r="AD32" s="7">
        <f t="shared" si="22"/>
        <v>97161726</v>
      </c>
      <c r="AE32" s="7">
        <f t="shared" ref="AE32:AF32" si="23">+SUM(AE23:AE31)</f>
        <v>62149484</v>
      </c>
      <c r="AF32" s="7">
        <f t="shared" si="23"/>
        <v>86155296</v>
      </c>
      <c r="AG32" s="7">
        <f t="shared" ref="AG32:AH32" si="24">+SUM(AG23:AG31)</f>
        <v>45212074</v>
      </c>
      <c r="AH32" s="7">
        <f t="shared" si="24"/>
        <v>47416521</v>
      </c>
      <c r="AI32" s="7">
        <f t="shared" ref="AI32" si="25">+SUM(AI23:AI31)</f>
        <v>51211876</v>
      </c>
    </row>
    <row r="33" spans="1:35"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
      <c r="A34" s="1" t="s">
        <v>123</v>
      </c>
      <c r="B34" s="3"/>
      <c r="C34" s="3"/>
      <c r="D34" s="3"/>
      <c r="E34" s="3"/>
      <c r="F34" s="3"/>
      <c r="G34" s="3"/>
      <c r="H34" s="3"/>
      <c r="I34" s="3"/>
      <c r="J34" s="3"/>
      <c r="K34" s="3"/>
      <c r="L34" s="3"/>
      <c r="M34" s="3"/>
      <c r="N34" s="3">
        <f>106219144</f>
        <v>106219144</v>
      </c>
      <c r="O34" s="3">
        <v>44189814</v>
      </c>
      <c r="P34" s="3">
        <v>126658089</v>
      </c>
      <c r="Q34" s="3">
        <v>123238404</v>
      </c>
      <c r="R34" s="3">
        <v>95820331</v>
      </c>
      <c r="S34" s="3">
        <v>112529609</v>
      </c>
      <c r="T34" s="3">
        <f>180738586</f>
        <v>180738586</v>
      </c>
      <c r="U34" s="3">
        <v>181618374</v>
      </c>
      <c r="V34" s="3">
        <v>157141313</v>
      </c>
      <c r="W34" s="3">
        <v>153516076</v>
      </c>
      <c r="X34" s="3">
        <v>168163109</v>
      </c>
      <c r="Y34" s="3">
        <v>164984668</v>
      </c>
      <c r="Z34" s="3">
        <v>177710284</v>
      </c>
      <c r="AA34" s="3">
        <f>175380635</f>
        <v>175380635</v>
      </c>
      <c r="AB34" s="3">
        <v>172268204</v>
      </c>
      <c r="AC34" s="3">
        <v>170047491</v>
      </c>
      <c r="AD34" s="3">
        <v>167635641</v>
      </c>
      <c r="AE34" s="3">
        <f>214014861</f>
        <v>214014861</v>
      </c>
      <c r="AF34" s="3">
        <f>215372076</f>
        <v>215372076</v>
      </c>
      <c r="AG34" s="3">
        <v>272608748</v>
      </c>
      <c r="AH34" s="3">
        <f>269468174</f>
        <v>269468174</v>
      </c>
      <c r="AI34" s="3">
        <v>267026423</v>
      </c>
    </row>
    <row r="35" spans="1:35" x14ac:dyDescent="0.3">
      <c r="A35" s="1" t="s">
        <v>124</v>
      </c>
      <c r="B35" s="3"/>
      <c r="C35" s="3"/>
      <c r="D35" s="3"/>
      <c r="E35" s="3"/>
      <c r="F35" s="3"/>
      <c r="G35" s="3"/>
      <c r="H35" s="3"/>
      <c r="I35" s="3"/>
      <c r="J35" s="3"/>
      <c r="K35" s="3"/>
      <c r="L35" s="3"/>
      <c r="M35" s="3"/>
      <c r="N35" s="3">
        <v>33721583</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row>
    <row r="36" spans="1:35" x14ac:dyDescent="0.3">
      <c r="A36" s="1" t="s">
        <v>125</v>
      </c>
      <c r="B36" s="3"/>
      <c r="C36" s="3"/>
      <c r="D36" s="3"/>
      <c r="E36" s="3"/>
      <c r="F36" s="3"/>
      <c r="G36" s="3"/>
      <c r="H36" s="3"/>
      <c r="I36" s="3"/>
      <c r="J36" s="3"/>
      <c r="K36" s="3"/>
      <c r="L36" s="3"/>
      <c r="M36" s="3"/>
      <c r="N36" s="3">
        <v>120621634</v>
      </c>
      <c r="O36" s="3">
        <v>0</v>
      </c>
      <c r="P36" s="3">
        <f>97812875</f>
        <v>97812875</v>
      </c>
      <c r="Q36" s="3">
        <v>93513592</v>
      </c>
      <c r="R36" s="3">
        <v>128109440</v>
      </c>
      <c r="S36" s="3">
        <v>136177308</v>
      </c>
      <c r="T36" s="3">
        <f>132748952</f>
        <v>132748952</v>
      </c>
      <c r="U36" s="3">
        <v>132544616</v>
      </c>
      <c r="V36" s="3">
        <v>159642461</v>
      </c>
      <c r="W36" s="3">
        <v>161872094</v>
      </c>
      <c r="X36" s="3">
        <v>164565726</v>
      </c>
      <c r="Y36" s="3">
        <v>177153568</v>
      </c>
      <c r="Z36" s="3">
        <v>174956624</v>
      </c>
      <c r="AA36" s="3">
        <f>181864454</f>
        <v>181864454</v>
      </c>
      <c r="AB36" s="3">
        <v>184679492</v>
      </c>
      <c r="AC36" s="3">
        <v>191823363</v>
      </c>
      <c r="AD36" s="3">
        <v>194359281</v>
      </c>
      <c r="AE36" s="3">
        <f>211387582-1</f>
        <v>211387581</v>
      </c>
      <c r="AF36" s="3">
        <f>216206312</f>
        <v>216206312</v>
      </c>
      <c r="AG36" s="3">
        <v>230318207</v>
      </c>
      <c r="AH36" s="3">
        <v>232109420</v>
      </c>
      <c r="AI36" s="3">
        <f>233525180</f>
        <v>233525180</v>
      </c>
    </row>
    <row r="37" spans="1:35" x14ac:dyDescent="0.3">
      <c r="A37" s="1" t="s">
        <v>126</v>
      </c>
      <c r="B37" s="3"/>
      <c r="C37" s="3"/>
      <c r="D37" s="3"/>
      <c r="E37" s="3"/>
      <c r="F37" s="3"/>
      <c r="G37" s="3"/>
      <c r="H37" s="3"/>
      <c r="I37" s="3"/>
      <c r="J37" s="3"/>
      <c r="K37" s="3"/>
      <c r="L37" s="3"/>
      <c r="M37" s="3"/>
      <c r="N37" s="3">
        <v>2786797</v>
      </c>
      <c r="O37" s="3">
        <v>2835510</v>
      </c>
      <c r="P37" s="3">
        <f>2899282+1</f>
        <v>2899283</v>
      </c>
      <c r="Q37" s="3">
        <v>2966430</v>
      </c>
      <c r="R37" s="3">
        <v>3048679</v>
      </c>
      <c r="S37" s="3">
        <v>3117990</v>
      </c>
      <c r="T37" s="3">
        <v>3304158</v>
      </c>
      <c r="U37" s="3">
        <f>3646970+13057179</f>
        <v>16704149</v>
      </c>
      <c r="V37" s="3">
        <f>7394418+3732787</f>
        <v>11127205</v>
      </c>
      <c r="W37" s="3">
        <v>11195193</v>
      </c>
      <c r="X37" s="3">
        <v>11572706</v>
      </c>
      <c r="Y37" s="3">
        <f>4631856+10209655</f>
        <v>14841511</v>
      </c>
      <c r="Z37" s="3">
        <f>10312559+4645661</f>
        <v>14958220</v>
      </c>
      <c r="AA37" s="3">
        <f>4725159+10337218</f>
        <v>15062377</v>
      </c>
      <c r="AB37" s="3">
        <f>5075272+10963656</f>
        <v>16038928</v>
      </c>
      <c r="AC37" s="3">
        <v>16122082</v>
      </c>
      <c r="AD37" s="3">
        <f>11073574+5233113</f>
        <v>16306687</v>
      </c>
      <c r="AE37" s="3">
        <f>5387372+11304198</f>
        <v>16691570</v>
      </c>
      <c r="AF37" s="3">
        <f>11335543+5373795</f>
        <v>16709338</v>
      </c>
      <c r="AG37" s="3">
        <f>11320189+5422898</f>
        <v>16743087</v>
      </c>
      <c r="AH37" s="3">
        <f>11309732+5510462</f>
        <v>16820194</v>
      </c>
      <c r="AI37" s="3">
        <f>11260956+5563309</f>
        <v>16824265</v>
      </c>
    </row>
    <row r="38" spans="1:35" s="6" customFormat="1" x14ac:dyDescent="0.3">
      <c r="A38" s="6" t="s">
        <v>28</v>
      </c>
      <c r="B38" s="7">
        <v>150311455</v>
      </c>
      <c r="C38" s="7">
        <v>6794567</v>
      </c>
      <c r="D38" s="7">
        <v>168525241</v>
      </c>
      <c r="E38" s="7">
        <v>199600430</v>
      </c>
      <c r="F38" s="7">
        <v>187548384</v>
      </c>
      <c r="G38" s="7"/>
      <c r="H38" s="7"/>
      <c r="I38" s="7"/>
      <c r="J38" s="7">
        <v>211530278</v>
      </c>
      <c r="K38" s="7"/>
      <c r="L38" s="7"/>
      <c r="M38" s="7"/>
      <c r="N38" s="7">
        <f t="shared" ref="N38:O38" si="26">+SUM(N33:N37)</f>
        <v>263349158</v>
      </c>
      <c r="O38" s="7">
        <f t="shared" si="26"/>
        <v>47025324</v>
      </c>
      <c r="P38" s="7">
        <f t="shared" ref="P38:Z38" si="27">+SUM(P33:P37)</f>
        <v>227370247</v>
      </c>
      <c r="Q38" s="7">
        <f t="shared" si="27"/>
        <v>219718426</v>
      </c>
      <c r="R38" s="7">
        <f t="shared" si="27"/>
        <v>226978450</v>
      </c>
      <c r="S38" s="7">
        <f t="shared" si="27"/>
        <v>251824907</v>
      </c>
      <c r="T38" s="7">
        <f t="shared" si="27"/>
        <v>316791696</v>
      </c>
      <c r="U38" s="7">
        <f t="shared" si="27"/>
        <v>330867139</v>
      </c>
      <c r="V38" s="7">
        <f t="shared" si="27"/>
        <v>327910979</v>
      </c>
      <c r="W38" s="7">
        <f t="shared" si="27"/>
        <v>326583363</v>
      </c>
      <c r="X38" s="7">
        <f t="shared" si="27"/>
        <v>344301541</v>
      </c>
      <c r="Y38" s="7">
        <f t="shared" si="27"/>
        <v>356979747</v>
      </c>
      <c r="Z38" s="7">
        <f t="shared" si="27"/>
        <v>367625128</v>
      </c>
      <c r="AA38" s="7">
        <f t="shared" ref="AA38:AB38" si="28">+SUM(AA33:AA37)</f>
        <v>372307466</v>
      </c>
      <c r="AB38" s="7">
        <f t="shared" si="28"/>
        <v>372986624</v>
      </c>
      <c r="AC38" s="7">
        <f t="shared" ref="AC38:AD38" si="29">+SUM(AC33:AC37)</f>
        <v>377992936</v>
      </c>
      <c r="AD38" s="7">
        <f t="shared" si="29"/>
        <v>378301609</v>
      </c>
      <c r="AE38" s="7">
        <f t="shared" ref="AE38:AF38" si="30">+SUM(AE33:AE37)</f>
        <v>442094012</v>
      </c>
      <c r="AF38" s="7">
        <f t="shared" si="30"/>
        <v>448287726</v>
      </c>
      <c r="AG38" s="7">
        <f t="shared" ref="AG38:AH38" si="31">+SUM(AG33:AG37)</f>
        <v>519670042</v>
      </c>
      <c r="AH38" s="7">
        <f t="shared" si="31"/>
        <v>518397788</v>
      </c>
      <c r="AI38" s="7">
        <f t="shared" ref="AI38" si="32">+SUM(AI33:AI37)</f>
        <v>517375868</v>
      </c>
    </row>
    <row r="39" spans="1:35" x14ac:dyDescent="0.3">
      <c r="A39" s="6" t="s">
        <v>29</v>
      </c>
      <c r="B39" s="7">
        <f>+B38+B32</f>
        <v>157264514</v>
      </c>
      <c r="C39" s="7">
        <f t="shared" ref="C39:N39" si="33">+C38+C32</f>
        <v>195930693</v>
      </c>
      <c r="D39" s="7">
        <f t="shared" si="33"/>
        <v>187813242</v>
      </c>
      <c r="E39" s="7">
        <f t="shared" si="33"/>
        <v>213427032</v>
      </c>
      <c r="F39" s="7">
        <f t="shared" si="33"/>
        <v>202429982</v>
      </c>
      <c r="G39" s="7"/>
      <c r="H39" s="7"/>
      <c r="I39" s="7"/>
      <c r="J39" s="7">
        <f t="shared" si="33"/>
        <v>230356273</v>
      </c>
      <c r="K39" s="7"/>
      <c r="L39" s="7"/>
      <c r="M39" s="7"/>
      <c r="N39" s="7">
        <f t="shared" si="33"/>
        <v>306424015</v>
      </c>
      <c r="O39" s="7">
        <f t="shared" ref="O39:Z39" si="34">+O38+O32</f>
        <v>254754524</v>
      </c>
      <c r="P39" s="7">
        <f t="shared" si="34"/>
        <v>251937268</v>
      </c>
      <c r="Q39" s="7">
        <f t="shared" si="34"/>
        <v>249611682</v>
      </c>
      <c r="R39" s="7">
        <f t="shared" si="34"/>
        <v>269471639</v>
      </c>
      <c r="S39" s="7">
        <f t="shared" si="34"/>
        <v>300242019</v>
      </c>
      <c r="T39" s="7">
        <f t="shared" si="34"/>
        <v>340127475</v>
      </c>
      <c r="U39" s="7">
        <f t="shared" si="34"/>
        <v>362264603</v>
      </c>
      <c r="V39" s="7">
        <f t="shared" si="34"/>
        <v>356429021</v>
      </c>
      <c r="W39" s="7">
        <f t="shared" si="34"/>
        <v>355645752</v>
      </c>
      <c r="X39" s="7">
        <f t="shared" si="34"/>
        <v>373350532</v>
      </c>
      <c r="Y39" s="7">
        <f t="shared" si="34"/>
        <v>384707590</v>
      </c>
      <c r="Z39" s="7">
        <f t="shared" si="34"/>
        <v>394898391</v>
      </c>
      <c r="AA39" s="7">
        <f t="shared" ref="AA39:AB39" si="35">+AA38+AA32</f>
        <v>457023856</v>
      </c>
      <c r="AB39" s="7">
        <f t="shared" si="35"/>
        <v>458932690</v>
      </c>
      <c r="AC39" s="7">
        <f t="shared" ref="AC39:AD39" si="36">+AC38+AC32</f>
        <v>477986299</v>
      </c>
      <c r="AD39" s="7">
        <f t="shared" si="36"/>
        <v>475463335</v>
      </c>
      <c r="AE39" s="7">
        <f t="shared" ref="AE39:AF39" si="37">+AE38+AE32</f>
        <v>504243496</v>
      </c>
      <c r="AF39" s="7">
        <f t="shared" si="37"/>
        <v>534443022</v>
      </c>
      <c r="AG39" s="7">
        <f t="shared" ref="AG39:AH39" si="38">+AG38+AG32</f>
        <v>564882116</v>
      </c>
      <c r="AH39" s="7">
        <f t="shared" si="38"/>
        <v>565814309</v>
      </c>
      <c r="AI39" s="7">
        <f t="shared" ref="AI39" si="39">+AI38+AI32</f>
        <v>568587744</v>
      </c>
    </row>
    <row r="40" spans="1:35"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
      <c r="A41" s="1" t="s">
        <v>128</v>
      </c>
      <c r="B41" s="3"/>
      <c r="C41" s="3"/>
      <c r="D41" s="3"/>
      <c r="E41" s="3"/>
      <c r="F41" s="3"/>
      <c r="G41" s="3"/>
      <c r="H41" s="3"/>
      <c r="I41" s="3"/>
      <c r="J41" s="3"/>
      <c r="K41" s="3"/>
      <c r="L41" s="3"/>
      <c r="M41" s="3"/>
      <c r="N41" s="3">
        <v>55000000</v>
      </c>
      <c r="O41" s="3">
        <v>239361240</v>
      </c>
      <c r="P41" s="3">
        <v>239361240</v>
      </c>
      <c r="Q41" s="3">
        <v>239361240</v>
      </c>
      <c r="R41" s="3">
        <v>239361240</v>
      </c>
      <c r="S41" s="3">
        <v>239361240</v>
      </c>
      <c r="T41" s="3">
        <v>239361240</v>
      </c>
      <c r="U41" s="3">
        <v>239361240</v>
      </c>
      <c r="V41" s="3">
        <v>239361240</v>
      </c>
      <c r="W41" s="3">
        <v>239361240</v>
      </c>
      <c r="X41" s="3">
        <v>239361240</v>
      </c>
      <c r="Y41" s="3">
        <v>239361240</v>
      </c>
      <c r="Z41" s="3">
        <v>239361240</v>
      </c>
      <c r="AA41" s="3">
        <f>253132140</f>
        <v>253132140</v>
      </c>
      <c r="AB41" s="3">
        <v>261959640</v>
      </c>
      <c r="AC41" s="3">
        <v>261959640</v>
      </c>
      <c r="AD41" s="3">
        <v>261959640</v>
      </c>
      <c r="AE41" s="3">
        <v>261959640</v>
      </c>
      <c r="AF41" s="3">
        <v>261959640</v>
      </c>
      <c r="AG41" s="3">
        <v>261959640</v>
      </c>
      <c r="AH41" s="3">
        <v>261959640</v>
      </c>
      <c r="AI41" s="3">
        <v>261959640</v>
      </c>
    </row>
    <row r="42" spans="1:35" x14ac:dyDescent="0.3">
      <c r="A42" s="1" t="s">
        <v>32</v>
      </c>
      <c r="B42" s="3"/>
      <c r="C42" s="3"/>
      <c r="D42" s="3"/>
      <c r="E42" s="3"/>
      <c r="F42" s="3"/>
      <c r="G42" s="3"/>
      <c r="H42" s="3"/>
      <c r="I42" s="3"/>
      <c r="J42" s="3"/>
      <c r="K42" s="3"/>
      <c r="L42" s="3"/>
      <c r="M42" s="3"/>
      <c r="N42" s="3">
        <v>0</v>
      </c>
      <c r="O42" s="3">
        <v>0</v>
      </c>
      <c r="P42" s="3">
        <v>0</v>
      </c>
      <c r="Q42" s="3">
        <v>0</v>
      </c>
      <c r="R42" s="3">
        <v>-573192</v>
      </c>
      <c r="S42" s="3">
        <v>-803669</v>
      </c>
      <c r="T42" s="3">
        <v>0</v>
      </c>
      <c r="U42" s="3">
        <f>45794698+4</f>
        <v>45794702</v>
      </c>
      <c r="V42" s="3">
        <v>-919890</v>
      </c>
      <c r="W42" s="3">
        <v>-1005637</v>
      </c>
      <c r="X42" s="3">
        <v>-911705</v>
      </c>
      <c r="Y42" s="3">
        <v>-840707</v>
      </c>
      <c r="Z42" s="3">
        <v>-876214</v>
      </c>
      <c r="AA42" s="3">
        <f>353100-895573</f>
        <v>-542473</v>
      </c>
      <c r="AB42" s="3">
        <v>-905019</v>
      </c>
      <c r="AC42" s="3">
        <v>-940422</v>
      </c>
      <c r="AD42" s="3">
        <v>-1655663</v>
      </c>
      <c r="AE42" s="3">
        <f>-2293892-1</f>
        <v>-2293893</v>
      </c>
      <c r="AF42" s="3">
        <v>-2561522</v>
      </c>
      <c r="AG42" s="3">
        <v>-1810178</v>
      </c>
      <c r="AH42" s="3">
        <v>-1826451</v>
      </c>
      <c r="AI42" s="3">
        <v>-1921284</v>
      </c>
    </row>
    <row r="43" spans="1:35" x14ac:dyDescent="0.3">
      <c r="A43" s="1" t="s">
        <v>33</v>
      </c>
      <c r="B43" s="3"/>
      <c r="C43" s="3"/>
      <c r="D43" s="3"/>
      <c r="E43" s="3"/>
      <c r="F43" s="3"/>
      <c r="G43" s="3"/>
      <c r="H43" s="3"/>
      <c r="I43" s="3"/>
      <c r="J43" s="3"/>
      <c r="K43" s="3"/>
      <c r="L43" s="3"/>
      <c r="M43" s="3"/>
      <c r="N43" s="3">
        <v>144107635</v>
      </c>
      <c r="O43" s="3">
        <v>30654382</v>
      </c>
      <c r="P43" s="3">
        <f>22623276+16751948</f>
        <v>39375224</v>
      </c>
      <c r="Q43" s="3">
        <f>22623276+26284461+1</f>
        <v>48907738</v>
      </c>
      <c r="R43" s="3">
        <v>46722848</v>
      </c>
      <c r="S43" s="3">
        <v>56087863</v>
      </c>
      <c r="T43" s="3">
        <f>45752647+30713531-1</f>
        <v>76466177</v>
      </c>
      <c r="U43" s="3">
        <v>59691093</v>
      </c>
      <c r="V43" s="3">
        <v>107210663</v>
      </c>
      <c r="W43" s="3">
        <v>102163330</v>
      </c>
      <c r="X43" s="3">
        <v>108022009</v>
      </c>
      <c r="Y43" s="3">
        <v>125514460</v>
      </c>
      <c r="Z43" s="3">
        <v>136375739</v>
      </c>
      <c r="AA43" s="3">
        <v>146368692</v>
      </c>
      <c r="AB43" s="3">
        <v>149614092</v>
      </c>
      <c r="AC43" s="3">
        <v>163554134</v>
      </c>
      <c r="AD43" s="3">
        <v>173118095</v>
      </c>
      <c r="AE43" s="3">
        <f>181179512</f>
        <v>181179512</v>
      </c>
      <c r="AF43" s="3">
        <f>185153762</f>
        <v>185153762</v>
      </c>
      <c r="AG43" s="3">
        <v>224616587</v>
      </c>
      <c r="AH43" s="3">
        <v>230343199</v>
      </c>
      <c r="AI43" s="3">
        <v>234763572</v>
      </c>
    </row>
    <row r="44" spans="1:35" s="6" customFormat="1" x14ac:dyDescent="0.3">
      <c r="A44" s="6" t="s">
        <v>129</v>
      </c>
      <c r="B44" s="7">
        <v>50046404</v>
      </c>
      <c r="C44" s="7">
        <v>49851938</v>
      </c>
      <c r="D44" s="7">
        <v>80618669</v>
      </c>
      <c r="E44" s="7">
        <v>100875037</v>
      </c>
      <c r="F44" s="7">
        <v>172134250</v>
      </c>
      <c r="G44" s="7"/>
      <c r="H44" s="7"/>
      <c r="I44" s="7"/>
      <c r="J44" s="7">
        <v>189229495</v>
      </c>
      <c r="K44" s="7"/>
      <c r="L44" s="7"/>
      <c r="M44" s="7"/>
      <c r="N44" s="7">
        <f t="shared" ref="N44:O44" si="40">+SUM(N40:N43)</f>
        <v>199107635</v>
      </c>
      <c r="O44" s="7">
        <f t="shared" si="40"/>
        <v>270015622</v>
      </c>
      <c r="P44" s="7">
        <f t="shared" ref="P44:Z44" si="41">+SUM(P40:P43)</f>
        <v>278736464</v>
      </c>
      <c r="Q44" s="7">
        <f t="shared" si="41"/>
        <v>288268978</v>
      </c>
      <c r="R44" s="7">
        <f t="shared" si="41"/>
        <v>285510896</v>
      </c>
      <c r="S44" s="7">
        <f t="shared" si="41"/>
        <v>294645434</v>
      </c>
      <c r="T44" s="7">
        <f t="shared" si="41"/>
        <v>315827417</v>
      </c>
      <c r="U44" s="7">
        <f t="shared" si="41"/>
        <v>344847035</v>
      </c>
      <c r="V44" s="7">
        <f t="shared" si="41"/>
        <v>345652013</v>
      </c>
      <c r="W44" s="7">
        <f t="shared" si="41"/>
        <v>340518933</v>
      </c>
      <c r="X44" s="7">
        <f t="shared" si="41"/>
        <v>346471544</v>
      </c>
      <c r="Y44" s="7">
        <f t="shared" si="41"/>
        <v>364034993</v>
      </c>
      <c r="Z44" s="7">
        <f t="shared" si="41"/>
        <v>374860765</v>
      </c>
      <c r="AA44" s="7">
        <f t="shared" ref="AA44:AB44" si="42">+SUM(AA40:AA43)</f>
        <v>398958359</v>
      </c>
      <c r="AB44" s="7">
        <f t="shared" si="42"/>
        <v>410668713</v>
      </c>
      <c r="AC44" s="7">
        <f t="shared" ref="AC44:AD44" si="43">+SUM(AC40:AC43)</f>
        <v>424573352</v>
      </c>
      <c r="AD44" s="7">
        <f t="shared" si="43"/>
        <v>433422072</v>
      </c>
      <c r="AE44" s="7">
        <f t="shared" ref="AE44:AF44" si="44">+SUM(AE40:AE43)</f>
        <v>440845259</v>
      </c>
      <c r="AF44" s="7">
        <f t="shared" si="44"/>
        <v>444551880</v>
      </c>
      <c r="AG44" s="7">
        <f t="shared" ref="AG44:AH44" si="45">+SUM(AG40:AG43)</f>
        <v>484766049</v>
      </c>
      <c r="AH44" s="7">
        <f t="shared" si="45"/>
        <v>490476388</v>
      </c>
      <c r="AI44" s="7">
        <f t="shared" ref="AI44" si="46">+SUM(AI40:AI43)</f>
        <v>494801928</v>
      </c>
    </row>
    <row r="45" spans="1:35"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3">
      <c r="A46" s="6" t="s">
        <v>131</v>
      </c>
      <c r="B46" s="7">
        <f>+B44+B39+B45</f>
        <v>207310918</v>
      </c>
      <c r="C46" s="7">
        <f t="shared" ref="C46:N46" si="47">+C44+C39+C45</f>
        <v>245782631</v>
      </c>
      <c r="D46" s="7">
        <f t="shared" si="47"/>
        <v>268431911</v>
      </c>
      <c r="E46" s="7">
        <f t="shared" si="47"/>
        <v>314302069</v>
      </c>
      <c r="F46" s="7">
        <f t="shared" si="47"/>
        <v>374564232</v>
      </c>
      <c r="G46" s="7"/>
      <c r="H46" s="7"/>
      <c r="I46" s="7"/>
      <c r="J46" s="7">
        <f t="shared" si="47"/>
        <v>419585768</v>
      </c>
      <c r="K46" s="7"/>
      <c r="L46" s="7"/>
      <c r="M46" s="7"/>
      <c r="N46" s="7">
        <f t="shared" si="47"/>
        <v>505531650</v>
      </c>
      <c r="O46" s="7">
        <f t="shared" ref="O46:Z46" si="48">+O44+O39+O45</f>
        <v>524770146</v>
      </c>
      <c r="P46" s="7">
        <f t="shared" si="48"/>
        <v>530673732</v>
      </c>
      <c r="Q46" s="7">
        <f t="shared" si="48"/>
        <v>537880660</v>
      </c>
      <c r="R46" s="7">
        <f t="shared" si="48"/>
        <v>554982535</v>
      </c>
      <c r="S46" s="7">
        <f t="shared" si="48"/>
        <v>594887453</v>
      </c>
      <c r="T46" s="7">
        <f t="shared" si="48"/>
        <v>655954892</v>
      </c>
      <c r="U46" s="7">
        <f t="shared" si="48"/>
        <v>707111638</v>
      </c>
      <c r="V46" s="7">
        <f t="shared" si="48"/>
        <v>702081034</v>
      </c>
      <c r="W46" s="7">
        <f t="shared" si="48"/>
        <v>696164685</v>
      </c>
      <c r="X46" s="7">
        <f t="shared" si="48"/>
        <v>719822076</v>
      </c>
      <c r="Y46" s="7">
        <f t="shared" si="48"/>
        <v>748742583</v>
      </c>
      <c r="Z46" s="7">
        <f t="shared" si="48"/>
        <v>769759156</v>
      </c>
      <c r="AA46" s="7">
        <f t="shared" ref="AA46:AB46" si="49">+AA44+AA39+AA45</f>
        <v>855982215</v>
      </c>
      <c r="AB46" s="7">
        <f t="shared" si="49"/>
        <v>869601403</v>
      </c>
      <c r="AC46" s="7">
        <f t="shared" ref="AC46:AD46" si="50">+AC44+AC39+AC45</f>
        <v>902559651</v>
      </c>
      <c r="AD46" s="7">
        <f t="shared" si="50"/>
        <v>908885407</v>
      </c>
      <c r="AE46" s="7">
        <f t="shared" ref="AE46:AF46" si="51">+AE44+AE39+AE45</f>
        <v>945088755</v>
      </c>
      <c r="AF46" s="7">
        <f t="shared" si="51"/>
        <v>978994902</v>
      </c>
      <c r="AG46" s="7">
        <f t="shared" ref="AG46:AH46" si="52">+AG44+AG39+AG45</f>
        <v>1049648165</v>
      </c>
      <c r="AH46" s="7">
        <f t="shared" si="52"/>
        <v>1056290697</v>
      </c>
      <c r="AI46" s="7">
        <f t="shared" ref="AI46" si="53">+AI44+AI39+AI45</f>
        <v>1063389672</v>
      </c>
    </row>
    <row r="47" spans="1:35" x14ac:dyDescent="0.3">
      <c r="A47" s="1" t="s">
        <v>38</v>
      </c>
      <c r="B47" s="4" t="str">
        <f>IF((+B46-B22)=0,"ok","error")</f>
        <v>ok</v>
      </c>
      <c r="C47" s="4" t="str">
        <f>IF((+C46-C22)=0,"ok","error")</f>
        <v>ok</v>
      </c>
      <c r="D47" s="4" t="str">
        <f t="shared" ref="D47:N47" si="54">IF((+D46-D22)=0,"ok","error")</f>
        <v>ok</v>
      </c>
      <c r="E47" s="4" t="str">
        <f t="shared" si="54"/>
        <v>ok</v>
      </c>
      <c r="F47" s="4" t="str">
        <f t="shared" si="54"/>
        <v>ok</v>
      </c>
      <c r="G47" s="4"/>
      <c r="H47" s="4"/>
      <c r="I47" s="4"/>
      <c r="J47" s="4" t="str">
        <f t="shared" si="54"/>
        <v>ok</v>
      </c>
      <c r="K47" s="4"/>
      <c r="L47" s="4"/>
      <c r="M47" s="4"/>
      <c r="N47" s="4" t="str">
        <f t="shared" si="54"/>
        <v>ok</v>
      </c>
      <c r="O47" s="4" t="str">
        <f t="shared" ref="O47:Z47" si="55">IF((+O46-O22)=0,"ok","error")</f>
        <v>ok</v>
      </c>
      <c r="P47" s="4" t="str">
        <f t="shared" si="55"/>
        <v>ok</v>
      </c>
      <c r="Q47" s="4" t="str">
        <f t="shared" si="55"/>
        <v>ok</v>
      </c>
      <c r="R47" s="4" t="str">
        <f t="shared" si="55"/>
        <v>ok</v>
      </c>
      <c r="S47" s="4" t="str">
        <f t="shared" si="55"/>
        <v>ok</v>
      </c>
      <c r="T47" s="4" t="str">
        <f t="shared" si="55"/>
        <v>ok</v>
      </c>
      <c r="U47" s="4" t="str">
        <f t="shared" si="55"/>
        <v>ok</v>
      </c>
      <c r="V47" s="4" t="str">
        <f t="shared" si="55"/>
        <v>ok</v>
      </c>
      <c r="W47" s="4" t="str">
        <f t="shared" si="55"/>
        <v>ok</v>
      </c>
      <c r="X47" s="4" t="str">
        <f t="shared" si="55"/>
        <v>ok</v>
      </c>
      <c r="Y47" s="4" t="str">
        <f t="shared" si="55"/>
        <v>ok</v>
      </c>
      <c r="Z47" s="4" t="str">
        <f t="shared" si="55"/>
        <v>ok</v>
      </c>
      <c r="AA47" s="4" t="str">
        <f t="shared" ref="AA47:AB47" si="56">IF((+AA46-AA22)=0,"ok","error")</f>
        <v>ok</v>
      </c>
      <c r="AB47" s="4" t="str">
        <f t="shared" si="56"/>
        <v>ok</v>
      </c>
      <c r="AC47" s="4" t="str">
        <f t="shared" ref="AC47:AD47" si="57">IF((+AC46-AC22)=0,"ok","error")</f>
        <v>ok</v>
      </c>
      <c r="AD47" s="4" t="str">
        <f t="shared" si="57"/>
        <v>ok</v>
      </c>
      <c r="AE47" s="4" t="str">
        <f t="shared" ref="AE47:AF47" si="58">IF((+AE46-AE22)=0,"ok","error")</f>
        <v>ok</v>
      </c>
      <c r="AF47" s="4" t="str">
        <f t="shared" si="58"/>
        <v>ok</v>
      </c>
      <c r="AG47" s="4" t="str">
        <f t="shared" ref="AG47:AH47" si="59">IF((+AG46-AG22)=0,"ok","error")</f>
        <v>ok</v>
      </c>
      <c r="AH47" s="4" t="str">
        <f t="shared" si="59"/>
        <v>ok</v>
      </c>
      <c r="AI47" s="4" t="str">
        <f t="shared" ref="AI47" si="60">IF((+AI46-AI22)=0,"ok","error")</f>
        <v>ok</v>
      </c>
    </row>
    <row r="48" spans="1:35" x14ac:dyDescent="0.3">
      <c r="A48" s="6" t="s">
        <v>132</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
      <c r="A50" s="1" t="s">
        <v>134</v>
      </c>
      <c r="B50" s="3">
        <v>20826621</v>
      </c>
      <c r="C50" s="3">
        <v>74988249</v>
      </c>
      <c r="D50" s="3">
        <v>61571015</v>
      </c>
      <c r="E50" s="3">
        <v>60060889</v>
      </c>
      <c r="F50" s="3">
        <v>69481440</v>
      </c>
      <c r="G50" s="3"/>
      <c r="H50" s="3"/>
      <c r="I50" s="3"/>
      <c r="J50" s="3">
        <v>54006735</v>
      </c>
      <c r="K50" s="3"/>
      <c r="L50" s="3"/>
      <c r="M50" s="3"/>
      <c r="N50" s="3">
        <v>31824096</v>
      </c>
      <c r="O50" s="3">
        <v>10455571</v>
      </c>
      <c r="P50" s="3">
        <v>20236000</v>
      </c>
      <c r="Q50" s="3">
        <v>30296406</v>
      </c>
      <c r="R50" s="3">
        <v>37793419</v>
      </c>
      <c r="S50" s="3">
        <v>9679013</v>
      </c>
      <c r="T50" s="3">
        <v>22207533</v>
      </c>
      <c r="U50" s="3">
        <v>34423202</v>
      </c>
      <c r="V50" s="3">
        <v>44489119</v>
      </c>
      <c r="W50" s="3">
        <v>12251128</v>
      </c>
      <c r="X50" s="3">
        <v>25834999</v>
      </c>
      <c r="Y50" s="3">
        <v>39607687</v>
      </c>
      <c r="Z50" s="3">
        <v>53512409</v>
      </c>
      <c r="AA50" s="3">
        <v>14195968</v>
      </c>
      <c r="AB50" s="3">
        <v>29307647</v>
      </c>
      <c r="AC50" s="3">
        <v>44941965</v>
      </c>
      <c r="AD50" s="3">
        <v>61176840</v>
      </c>
      <c r="AE50" s="3">
        <v>17628111</v>
      </c>
      <c r="AF50" s="3">
        <v>35185658</v>
      </c>
      <c r="AG50" s="3">
        <v>52921797</v>
      </c>
      <c r="AH50" s="3">
        <v>72905663</v>
      </c>
      <c r="AI50" s="3">
        <v>18054908</v>
      </c>
    </row>
    <row r="51" spans="1:35" x14ac:dyDescent="0.3">
      <c r="A51" s="1" t="s">
        <v>135</v>
      </c>
      <c r="B51" s="3"/>
      <c r="C51" s="3"/>
      <c r="D51" s="3"/>
      <c r="E51" s="3"/>
      <c r="F51" s="3"/>
      <c r="G51" s="3"/>
      <c r="H51" s="3"/>
      <c r="I51" s="3"/>
      <c r="J51" s="3"/>
      <c r="K51" s="3"/>
      <c r="L51" s="3"/>
      <c r="M51" s="3"/>
      <c r="N51" s="3">
        <v>-5379980</v>
      </c>
      <c r="O51" s="3">
        <v>-1217105</v>
      </c>
      <c r="P51" s="3">
        <v>-1425250</v>
      </c>
      <c r="Q51" s="3">
        <v>-2202892</v>
      </c>
      <c r="R51" s="3">
        <v>-5499822</v>
      </c>
      <c r="S51" s="3">
        <v>-1494775</v>
      </c>
      <c r="T51" s="3">
        <v>-1789417</v>
      </c>
      <c r="U51" s="3">
        <v>-3019895</v>
      </c>
      <c r="V51" s="3">
        <v>-6604651</v>
      </c>
      <c r="W51" s="3">
        <v>-2174785</v>
      </c>
      <c r="X51" s="3">
        <v>-5166237</v>
      </c>
      <c r="Y51" s="3">
        <v>-7218058</v>
      </c>
      <c r="Z51" s="3">
        <v>-10280018</v>
      </c>
      <c r="AA51" s="3">
        <v>-2042646</v>
      </c>
      <c r="AB51" s="3">
        <v>-4333400</v>
      </c>
      <c r="AC51" s="3">
        <v>-7376628</v>
      </c>
      <c r="AD51" s="3">
        <v>-9836470</v>
      </c>
      <c r="AE51" s="3">
        <v>-2554924</v>
      </c>
      <c r="AF51" s="3">
        <v>-5061600</v>
      </c>
      <c r="AG51" s="3">
        <v>-7104478</v>
      </c>
      <c r="AH51" s="3">
        <v>-10287169</v>
      </c>
      <c r="AI51" s="3">
        <v>-2291344</v>
      </c>
    </row>
    <row r="52" spans="1:35" s="6" customFormat="1" x14ac:dyDescent="0.3">
      <c r="A52" s="6" t="s">
        <v>136</v>
      </c>
      <c r="B52" s="7">
        <f>+SUM(B50:B51)</f>
        <v>20826621</v>
      </c>
      <c r="C52" s="7">
        <f t="shared" ref="C52:Z52" si="61">+SUM(C50:C51)</f>
        <v>74988249</v>
      </c>
      <c r="D52" s="7">
        <f t="shared" si="61"/>
        <v>61571015</v>
      </c>
      <c r="E52" s="7">
        <f t="shared" si="61"/>
        <v>60060889</v>
      </c>
      <c r="F52" s="7">
        <f t="shared" si="61"/>
        <v>69481440</v>
      </c>
      <c r="G52" s="7"/>
      <c r="H52" s="7"/>
      <c r="I52" s="7"/>
      <c r="J52" s="7">
        <f t="shared" si="61"/>
        <v>54006735</v>
      </c>
      <c r="K52" s="7"/>
      <c r="L52" s="7"/>
      <c r="M52" s="7"/>
      <c r="N52" s="7">
        <f t="shared" si="61"/>
        <v>26444116</v>
      </c>
      <c r="O52" s="7">
        <f t="shared" si="61"/>
        <v>9238466</v>
      </c>
      <c r="P52" s="7">
        <f t="shared" si="61"/>
        <v>18810750</v>
      </c>
      <c r="Q52" s="7">
        <f t="shared" si="61"/>
        <v>28093514</v>
      </c>
      <c r="R52" s="7">
        <f t="shared" si="61"/>
        <v>32293597</v>
      </c>
      <c r="S52" s="7">
        <f t="shared" si="61"/>
        <v>8184238</v>
      </c>
      <c r="T52" s="7">
        <f t="shared" si="61"/>
        <v>20418116</v>
      </c>
      <c r="U52" s="7">
        <f t="shared" si="61"/>
        <v>31403307</v>
      </c>
      <c r="V52" s="7">
        <f t="shared" si="61"/>
        <v>37884468</v>
      </c>
      <c r="W52" s="7">
        <f t="shared" si="61"/>
        <v>10076343</v>
      </c>
      <c r="X52" s="7">
        <f t="shared" si="61"/>
        <v>20668762</v>
      </c>
      <c r="Y52" s="7">
        <f t="shared" si="61"/>
        <v>32389629</v>
      </c>
      <c r="Z52" s="7">
        <f t="shared" si="61"/>
        <v>43232391</v>
      </c>
      <c r="AA52" s="7">
        <f t="shared" ref="AA52:AB52" si="62">+SUM(AA50:AA51)</f>
        <v>12153322</v>
      </c>
      <c r="AB52" s="7">
        <f t="shared" si="62"/>
        <v>24974247</v>
      </c>
      <c r="AC52" s="7">
        <f t="shared" ref="AC52:AD52" si="63">+SUM(AC50:AC51)</f>
        <v>37565337</v>
      </c>
      <c r="AD52" s="7">
        <f t="shared" si="63"/>
        <v>51340370</v>
      </c>
      <c r="AE52" s="7">
        <f t="shared" ref="AE52:AF52" si="64">+SUM(AE50:AE51)</f>
        <v>15073187</v>
      </c>
      <c r="AF52" s="7">
        <f t="shared" si="64"/>
        <v>30124058</v>
      </c>
      <c r="AG52" s="7">
        <f t="shared" ref="AG52:AH52" si="65">+SUM(AG50:AG51)</f>
        <v>45817319</v>
      </c>
      <c r="AH52" s="7">
        <f t="shared" si="65"/>
        <v>62618494</v>
      </c>
      <c r="AI52" s="7">
        <f t="shared" ref="AI52" si="66">+SUM(AI50:AI51)</f>
        <v>15763564</v>
      </c>
    </row>
    <row r="53" spans="1:35" x14ac:dyDescent="0.3">
      <c r="A53" s="1" t="s">
        <v>137</v>
      </c>
      <c r="B53" s="3"/>
      <c r="C53" s="3">
        <v>0</v>
      </c>
      <c r="D53" s="3">
        <v>0</v>
      </c>
      <c r="E53" s="3">
        <v>0</v>
      </c>
      <c r="F53" s="3">
        <v>0</v>
      </c>
      <c r="G53" s="3"/>
      <c r="H53" s="3"/>
      <c r="I53" s="3"/>
      <c r="J53" s="3">
        <v>0</v>
      </c>
      <c r="K53" s="3"/>
      <c r="L53" s="3"/>
      <c r="M53" s="3"/>
      <c r="N53" s="3">
        <v>157172</v>
      </c>
      <c r="O53" s="3">
        <v>0</v>
      </c>
      <c r="P53" s="3">
        <v>0</v>
      </c>
      <c r="Q53" s="3">
        <v>0</v>
      </c>
      <c r="R53" s="3">
        <v>81395</v>
      </c>
      <c r="S53" s="3">
        <v>258912</v>
      </c>
      <c r="T53" s="3">
        <v>0</v>
      </c>
      <c r="U53" s="3">
        <v>0</v>
      </c>
      <c r="V53" s="3">
        <v>0</v>
      </c>
      <c r="W53" s="3">
        <v>540863</v>
      </c>
      <c r="X53" s="3">
        <v>930948</v>
      </c>
      <c r="Y53" s="3">
        <v>0</v>
      </c>
      <c r="Z53" s="3">
        <f>34356</f>
        <v>34356</v>
      </c>
      <c r="AA53" s="3">
        <v>228472</v>
      </c>
      <c r="AB53" s="3">
        <f>446017</f>
        <v>446017</v>
      </c>
      <c r="AC53" s="3">
        <v>0</v>
      </c>
      <c r="AD53" s="3">
        <f>64231353-AD63</f>
        <v>0</v>
      </c>
      <c r="AE53" s="3">
        <f>10416515-AE63</f>
        <v>4757</v>
      </c>
      <c r="AF53" s="3">
        <v>0</v>
      </c>
      <c r="AG53" s="3">
        <f>7547+2006+28+120118</f>
        <v>129699</v>
      </c>
      <c r="AH53" s="3">
        <f>10297+2688-2992+20+120118</f>
        <v>130131</v>
      </c>
      <c r="AI53" s="3">
        <f>2746208-AI63</f>
        <v>12054</v>
      </c>
    </row>
    <row r="54" spans="1:35" x14ac:dyDescent="0.3">
      <c r="A54" s="1" t="s">
        <v>138</v>
      </c>
      <c r="B54" s="3"/>
      <c r="C54" s="3"/>
      <c r="D54" s="3"/>
      <c r="E54" s="3"/>
      <c r="F54" s="3"/>
      <c r="G54" s="3"/>
      <c r="H54" s="3"/>
      <c r="I54" s="3"/>
      <c r="J54" s="3"/>
      <c r="K54" s="3"/>
      <c r="L54" s="3"/>
      <c r="M54" s="3"/>
      <c r="N54" s="3">
        <v>-3033569</v>
      </c>
      <c r="O54" s="3">
        <v>-1725572</v>
      </c>
      <c r="P54" s="3">
        <v>-3260836</v>
      </c>
      <c r="Q54" s="3">
        <v>-4743875</v>
      </c>
      <c r="R54" s="3">
        <v>-2909074</v>
      </c>
      <c r="S54" s="3">
        <v>-518213</v>
      </c>
      <c r="T54" s="3">
        <v>-3622357</v>
      </c>
      <c r="U54" s="3">
        <v>-5752634</v>
      </c>
      <c r="V54" s="3">
        <v>-4969951</v>
      </c>
      <c r="W54" s="3">
        <v>-872664</v>
      </c>
      <c r="X54" s="3">
        <v>-2973839</v>
      </c>
      <c r="Y54" s="3">
        <v>-4170610</v>
      </c>
      <c r="Z54" s="3">
        <v>-5239821</v>
      </c>
      <c r="AA54" s="3">
        <v>-1223914</v>
      </c>
      <c r="AB54" s="3">
        <v>-2437908</v>
      </c>
      <c r="AC54" s="3">
        <v>-3512940</v>
      </c>
      <c r="AD54" s="3">
        <v>-5019420</v>
      </c>
      <c r="AE54" s="3">
        <v>-1141011</v>
      </c>
      <c r="AF54" s="3">
        <v>-2509943</v>
      </c>
      <c r="AG54" s="3">
        <v>-3627852</v>
      </c>
      <c r="AH54" s="3">
        <v>-5212561</v>
      </c>
      <c r="AI54" s="3">
        <v>-1171077</v>
      </c>
    </row>
    <row r="55" spans="1:35" x14ac:dyDescent="0.3">
      <c r="A55" s="1" t="s">
        <v>139</v>
      </c>
      <c r="B55" s="3">
        <v>-13319813</v>
      </c>
      <c r="C55" s="3">
        <v>-55182715</v>
      </c>
      <c r="D55" s="3">
        <v>-26004287</v>
      </c>
      <c r="E55" s="3">
        <v>-29386253</v>
      </c>
      <c r="F55" s="3">
        <v>-32271116</v>
      </c>
      <c r="G55" s="3"/>
      <c r="H55" s="3"/>
      <c r="I55" s="3"/>
      <c r="J55" s="3">
        <v>-26911490</v>
      </c>
      <c r="K55" s="3"/>
      <c r="L55" s="3"/>
      <c r="M55" s="3"/>
      <c r="N55" s="3">
        <v>0</v>
      </c>
      <c r="O55" s="3">
        <v>0</v>
      </c>
      <c r="P55" s="3">
        <v>0</v>
      </c>
      <c r="Q55" s="3">
        <v>0</v>
      </c>
      <c r="R55" s="3">
        <v>0</v>
      </c>
      <c r="S55" s="3">
        <v>0</v>
      </c>
      <c r="T55" s="3">
        <v>0</v>
      </c>
      <c r="U55" s="3">
        <v>0</v>
      </c>
      <c r="V55" s="3">
        <v>-79348</v>
      </c>
      <c r="W55" s="3">
        <v>0</v>
      </c>
      <c r="X55" s="3">
        <v>0</v>
      </c>
      <c r="Y55" s="3">
        <v>0</v>
      </c>
      <c r="Z55" s="3">
        <v>-2054</v>
      </c>
      <c r="AA55" s="3">
        <v>0</v>
      </c>
      <c r="AB55" s="3">
        <v>0</v>
      </c>
      <c r="AC55" s="3">
        <v>-1585</v>
      </c>
      <c r="AD55" s="3">
        <v>-3897</v>
      </c>
      <c r="AE55" s="3"/>
      <c r="AF55" s="3">
        <v>0</v>
      </c>
      <c r="AG55" s="3">
        <v>-2992</v>
      </c>
      <c r="AH55" s="3">
        <v>-488</v>
      </c>
      <c r="AI55" s="3">
        <v>0</v>
      </c>
    </row>
    <row r="56" spans="1:35" x14ac:dyDescent="0.3">
      <c r="A56" s="1" t="s">
        <v>140</v>
      </c>
      <c r="B56" s="3"/>
      <c r="C56" s="3"/>
      <c r="D56" s="3"/>
      <c r="E56" s="3"/>
      <c r="F56" s="3"/>
      <c r="G56" s="3"/>
      <c r="H56" s="3"/>
      <c r="I56" s="3"/>
      <c r="J56" s="3"/>
      <c r="K56" s="3"/>
      <c r="L56" s="3"/>
      <c r="M56" s="3"/>
      <c r="N56" s="3">
        <v>0</v>
      </c>
      <c r="O56" s="3">
        <v>22651</v>
      </c>
      <c r="P56" s="3">
        <v>0</v>
      </c>
      <c r="Q56" s="3">
        <v>0</v>
      </c>
      <c r="R56" s="3">
        <v>0</v>
      </c>
      <c r="S56" s="3">
        <v>0</v>
      </c>
      <c r="T56" s="3">
        <v>0</v>
      </c>
      <c r="U56" s="3">
        <v>0</v>
      </c>
      <c r="V56" s="3">
        <v>0</v>
      </c>
      <c r="W56" s="3">
        <v>0</v>
      </c>
      <c r="X56" s="3">
        <v>0</v>
      </c>
      <c r="Y56" s="3">
        <v>1191858</v>
      </c>
      <c r="Z56" s="3"/>
      <c r="AA56" s="3">
        <v>0</v>
      </c>
      <c r="AB56" s="3">
        <v>0</v>
      </c>
      <c r="AC56" s="3">
        <v>-16506</v>
      </c>
      <c r="AD56" s="3">
        <v>0</v>
      </c>
      <c r="AE56" s="3"/>
      <c r="AF56" s="3">
        <v>0</v>
      </c>
      <c r="AG56" s="3">
        <v>0</v>
      </c>
      <c r="AH56" s="3">
        <v>0</v>
      </c>
      <c r="AI56" s="3">
        <v>0</v>
      </c>
    </row>
    <row r="57" spans="1:35" s="6" customFormat="1" x14ac:dyDescent="0.3">
      <c r="A57" s="6" t="s">
        <v>141</v>
      </c>
      <c r="B57" s="7">
        <f>+SUM(B52:B56)</f>
        <v>7506808</v>
      </c>
      <c r="C57" s="7">
        <f t="shared" ref="C57:Z57" si="67">+SUM(C52:C56)</f>
        <v>19805534</v>
      </c>
      <c r="D57" s="7">
        <f t="shared" si="67"/>
        <v>35566728</v>
      </c>
      <c r="E57" s="7">
        <f t="shared" si="67"/>
        <v>30674636</v>
      </c>
      <c r="F57" s="7">
        <f t="shared" si="67"/>
        <v>37210324</v>
      </c>
      <c r="G57" s="7"/>
      <c r="H57" s="7"/>
      <c r="I57" s="7"/>
      <c r="J57" s="7">
        <f t="shared" si="67"/>
        <v>27095245</v>
      </c>
      <c r="K57" s="7"/>
      <c r="L57" s="7"/>
      <c r="M57" s="7"/>
      <c r="N57" s="7">
        <f t="shared" si="67"/>
        <v>23567719</v>
      </c>
      <c r="O57" s="7">
        <f t="shared" si="67"/>
        <v>7535545</v>
      </c>
      <c r="P57" s="7">
        <f t="shared" si="67"/>
        <v>15549914</v>
      </c>
      <c r="Q57" s="7">
        <f t="shared" si="67"/>
        <v>23349639</v>
      </c>
      <c r="R57" s="7">
        <f t="shared" si="67"/>
        <v>29465918</v>
      </c>
      <c r="S57" s="7">
        <f t="shared" si="67"/>
        <v>7924937</v>
      </c>
      <c r="T57" s="7">
        <f t="shared" si="67"/>
        <v>16795759</v>
      </c>
      <c r="U57" s="7">
        <f t="shared" si="67"/>
        <v>25650673</v>
      </c>
      <c r="V57" s="7">
        <f t="shared" si="67"/>
        <v>32835169</v>
      </c>
      <c r="W57" s="7">
        <f t="shared" si="67"/>
        <v>9744542</v>
      </c>
      <c r="X57" s="7">
        <f t="shared" si="67"/>
        <v>18625871</v>
      </c>
      <c r="Y57" s="7">
        <f t="shared" si="67"/>
        <v>29410877</v>
      </c>
      <c r="Z57" s="7">
        <f t="shared" si="67"/>
        <v>38024872</v>
      </c>
      <c r="AA57" s="7">
        <f t="shared" ref="AA57:AB57" si="68">+SUM(AA52:AA56)</f>
        <v>11157880</v>
      </c>
      <c r="AB57" s="7">
        <f t="shared" si="68"/>
        <v>22982356</v>
      </c>
      <c r="AC57" s="7">
        <f t="shared" ref="AC57:AD57" si="69">+SUM(AC52:AC56)</f>
        <v>34034306</v>
      </c>
      <c r="AD57" s="7">
        <f t="shared" si="69"/>
        <v>46317053</v>
      </c>
      <c r="AE57" s="7">
        <f t="shared" ref="AE57:AF57" si="70">+SUM(AE52:AE56)</f>
        <v>13936933</v>
      </c>
      <c r="AF57" s="7">
        <f t="shared" si="70"/>
        <v>27614115</v>
      </c>
      <c r="AG57" s="7">
        <f t="shared" ref="AG57:AH57" si="71">+SUM(AG52:AG56)</f>
        <v>42316174</v>
      </c>
      <c r="AH57" s="7">
        <f t="shared" si="71"/>
        <v>57535576</v>
      </c>
      <c r="AI57" s="7">
        <f t="shared" ref="AI57" si="72">+SUM(AI52:AI56)</f>
        <v>14604541</v>
      </c>
    </row>
    <row r="58" spans="1:35" x14ac:dyDescent="0.3">
      <c r="A58" s="1" t="s">
        <v>142</v>
      </c>
      <c r="B58" s="3"/>
      <c r="C58" s="3"/>
      <c r="D58" s="3"/>
      <c r="E58" s="3"/>
      <c r="F58" s="3"/>
      <c r="G58" s="3"/>
      <c r="H58" s="3"/>
      <c r="I58" s="3"/>
      <c r="J58" s="3"/>
      <c r="K58" s="3"/>
      <c r="L58" s="3"/>
      <c r="M58" s="3"/>
      <c r="N58" s="3">
        <v>0</v>
      </c>
      <c r="O58" s="3">
        <v>10170</v>
      </c>
      <c r="P58" s="3">
        <v>22191</v>
      </c>
      <c r="Q58" s="3">
        <v>46006</v>
      </c>
      <c r="R58" s="3">
        <v>0</v>
      </c>
      <c r="S58" s="3">
        <v>0</v>
      </c>
      <c r="T58" s="3">
        <v>786582</v>
      </c>
      <c r="U58" s="3">
        <v>1571288</v>
      </c>
      <c r="V58" s="3">
        <v>2302497</v>
      </c>
      <c r="W58" s="3">
        <v>0</v>
      </c>
      <c r="X58" s="3">
        <v>0</v>
      </c>
      <c r="Y58" s="3">
        <v>0</v>
      </c>
      <c r="Z58" s="3">
        <v>1539845</v>
      </c>
      <c r="AA58" s="3">
        <v>0</v>
      </c>
      <c r="AB58" s="3">
        <v>0</v>
      </c>
      <c r="AC58" s="3">
        <v>625026</v>
      </c>
      <c r="AD58" s="3">
        <v>789568</v>
      </c>
      <c r="AE58" s="3">
        <v>167298</v>
      </c>
      <c r="AF58" s="3">
        <v>395716</v>
      </c>
      <c r="AG58" s="3">
        <v>710983</v>
      </c>
      <c r="AH58" s="3">
        <f>1049906</f>
        <v>1049906</v>
      </c>
      <c r="AI58" s="3">
        <v>364663</v>
      </c>
    </row>
    <row r="59" spans="1:35" x14ac:dyDescent="0.3">
      <c r="A59" s="1" t="s">
        <v>143</v>
      </c>
      <c r="B59" s="3"/>
      <c r="C59" s="3"/>
      <c r="D59" s="3"/>
      <c r="E59" s="3"/>
      <c r="F59" s="3"/>
      <c r="G59" s="3"/>
      <c r="H59" s="3"/>
      <c r="I59" s="3"/>
      <c r="J59" s="3"/>
      <c r="K59" s="3"/>
      <c r="L59" s="3"/>
      <c r="M59" s="3"/>
      <c r="N59" s="3">
        <v>-4996279</v>
      </c>
      <c r="O59" s="3">
        <v>-1053757</v>
      </c>
      <c r="P59" s="3">
        <f>-1883082-116253</f>
        <v>-1999335</v>
      </c>
      <c r="Q59" s="3">
        <f>-116253-2757005</f>
        <v>-2873258</v>
      </c>
      <c r="R59" s="3">
        <v>-3278438</v>
      </c>
      <c r="S59" s="3">
        <v>-1087046</v>
      </c>
      <c r="T59" s="3">
        <v>-2161811</v>
      </c>
      <c r="U59" s="3">
        <v>-3497654</v>
      </c>
      <c r="V59" s="3">
        <v>-5151005</v>
      </c>
      <c r="W59" s="3">
        <v>-1507693</v>
      </c>
      <c r="X59" s="3">
        <v>-3114953</v>
      </c>
      <c r="Y59" s="3">
        <v>-4739286</v>
      </c>
      <c r="Z59" s="3">
        <v>-6591177</v>
      </c>
      <c r="AA59" s="3">
        <v>-1964444</v>
      </c>
      <c r="AB59" s="3">
        <v>-4219665</v>
      </c>
      <c r="AC59" s="3">
        <v>-6455968</v>
      </c>
      <c r="AD59" s="3">
        <v>-8633652</v>
      </c>
      <c r="AE59" s="3">
        <v>-2573463</v>
      </c>
      <c r="AF59" s="3">
        <f>-4650735-309455-289133-1</f>
        <v>-5249324</v>
      </c>
      <c r="AG59" s="3">
        <v>-8219265</v>
      </c>
      <c r="AH59" s="3">
        <v>-10954725</v>
      </c>
      <c r="AI59" s="3">
        <v>-2715280</v>
      </c>
    </row>
    <row r="60" spans="1:35" ht="28.8" x14ac:dyDescent="0.3">
      <c r="A60" s="5" t="s">
        <v>144</v>
      </c>
      <c r="B60" s="3"/>
      <c r="C60" s="3"/>
      <c r="D60" s="3"/>
      <c r="E60" s="3"/>
      <c r="F60" s="3"/>
      <c r="G60" s="3"/>
      <c r="H60" s="3"/>
      <c r="I60" s="3"/>
      <c r="J60" s="3"/>
      <c r="K60" s="3"/>
      <c r="L60" s="3"/>
      <c r="M60" s="3"/>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row>
    <row r="61" spans="1:35" x14ac:dyDescent="0.3">
      <c r="A61" s="1" t="s">
        <v>145</v>
      </c>
      <c r="B61" s="3"/>
      <c r="C61" s="3"/>
      <c r="D61" s="3"/>
      <c r="E61" s="3"/>
      <c r="F61" s="3"/>
      <c r="G61" s="3"/>
      <c r="H61" s="3"/>
      <c r="I61" s="3"/>
      <c r="J61" s="3"/>
      <c r="K61" s="3"/>
      <c r="L61" s="3"/>
      <c r="M61" s="3"/>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c r="AI61" s="3">
        <v>0</v>
      </c>
    </row>
    <row r="62" spans="1:35" x14ac:dyDescent="0.3">
      <c r="A62" s="1" t="s">
        <v>146</v>
      </c>
      <c r="B62" s="3"/>
      <c r="C62" s="3"/>
      <c r="D62" s="3"/>
      <c r="E62" s="3"/>
      <c r="F62" s="3"/>
      <c r="G62" s="3"/>
      <c r="H62" s="3"/>
      <c r="I62" s="3"/>
      <c r="J62" s="3"/>
      <c r="K62" s="3"/>
      <c r="L62" s="3"/>
      <c r="M62" s="3"/>
      <c r="N62" s="3">
        <v>-4157581</v>
      </c>
      <c r="O62" s="3">
        <v>-1465387</v>
      </c>
      <c r="P62" s="3">
        <v>0</v>
      </c>
      <c r="Q62" s="3">
        <v>0</v>
      </c>
      <c r="R62" s="3">
        <v>-7722102</v>
      </c>
      <c r="S62" s="3">
        <v>-2744729</v>
      </c>
      <c r="T62" s="3">
        <v>0</v>
      </c>
      <c r="U62" s="3">
        <v>0</v>
      </c>
      <c r="V62" s="3">
        <v>-19397366</v>
      </c>
      <c r="W62" s="3">
        <v>-2450801</v>
      </c>
      <c r="X62" s="3">
        <v>-5269192</v>
      </c>
      <c r="Y62" s="3">
        <v>-5824252</v>
      </c>
      <c r="Z62" s="3">
        <v>-8996580</v>
      </c>
      <c r="AA62" s="3">
        <v>-1724734</v>
      </c>
      <c r="AB62" s="3">
        <v>-4816771</v>
      </c>
      <c r="AC62" s="3">
        <v>-7099752</v>
      </c>
      <c r="AD62" s="3">
        <v>-10237763</v>
      </c>
      <c r="AE62" s="3">
        <v>-2288505</v>
      </c>
      <c r="AF62" s="3">
        <v>-4462191</v>
      </c>
      <c r="AG62" s="3">
        <v>-6955622</v>
      </c>
      <c r="AH62" s="3">
        <v>-8764677</v>
      </c>
      <c r="AI62" s="3">
        <v>-791944</v>
      </c>
    </row>
    <row r="63" spans="1:35" x14ac:dyDescent="0.3">
      <c r="A63" s="1" t="s">
        <v>147</v>
      </c>
      <c r="B63" s="3"/>
      <c r="C63" s="3"/>
      <c r="D63" s="3"/>
      <c r="E63" s="3"/>
      <c r="F63" s="3"/>
      <c r="G63" s="3"/>
      <c r="H63" s="3"/>
      <c r="I63" s="3"/>
      <c r="J63" s="3"/>
      <c r="K63" s="3"/>
      <c r="L63" s="3"/>
      <c r="M63" s="3"/>
      <c r="N63" s="3">
        <v>57454032</v>
      </c>
      <c r="O63" s="3">
        <v>5126946</v>
      </c>
      <c r="P63" s="3">
        <v>7478461</v>
      </c>
      <c r="Q63" s="3">
        <v>12118404</v>
      </c>
      <c r="R63" s="3">
        <v>26918714</v>
      </c>
      <c r="S63" s="3">
        <v>11949104</v>
      </c>
      <c r="T63" s="3">
        <v>24595824</v>
      </c>
      <c r="U63" s="3">
        <v>56287557</v>
      </c>
      <c r="V63" s="3">
        <v>90394417</v>
      </c>
      <c r="W63" s="3">
        <v>8266047</v>
      </c>
      <c r="X63" s="3">
        <v>17412975</v>
      </c>
      <c r="Y63" s="3">
        <v>44292762</v>
      </c>
      <c r="Z63" s="3">
        <v>55545834</v>
      </c>
      <c r="AA63" s="3">
        <v>16105899</v>
      </c>
      <c r="AB63" s="3">
        <v>32818906</v>
      </c>
      <c r="AC63" s="3">
        <v>53156908</v>
      </c>
      <c r="AD63" s="3">
        <f>34566969+29664384</f>
        <v>64231353</v>
      </c>
      <c r="AE63" s="3">
        <v>10411758</v>
      </c>
      <c r="AF63" s="3">
        <f>30788744</f>
        <v>30788744</v>
      </c>
      <c r="AG63" s="3">
        <f>83843623-(7547+2006+28+120118)</f>
        <v>83713924</v>
      </c>
      <c r="AH63" s="3">
        <f>89238655</f>
        <v>89238655</v>
      </c>
      <c r="AI63" s="3">
        <v>2734154</v>
      </c>
    </row>
    <row r="64" spans="1:35" s="6" customFormat="1" x14ac:dyDescent="0.3">
      <c r="A64" s="6" t="s">
        <v>148</v>
      </c>
      <c r="B64" s="7">
        <f>+SUM(B57:B63)</f>
        <v>7506808</v>
      </c>
      <c r="C64" s="7">
        <f t="shared" ref="C64:Z64" si="73">+SUM(C57:C63)</f>
        <v>19805534</v>
      </c>
      <c r="D64" s="7">
        <f t="shared" si="73"/>
        <v>35566728</v>
      </c>
      <c r="E64" s="7">
        <f t="shared" si="73"/>
        <v>30674636</v>
      </c>
      <c r="F64" s="7">
        <f t="shared" si="73"/>
        <v>37210324</v>
      </c>
      <c r="G64" s="7"/>
      <c r="H64" s="7"/>
      <c r="I64" s="7"/>
      <c r="J64" s="7">
        <f t="shared" si="73"/>
        <v>27095245</v>
      </c>
      <c r="K64" s="7"/>
      <c r="L64" s="7"/>
      <c r="M64" s="7"/>
      <c r="N64" s="7">
        <f t="shared" si="73"/>
        <v>71867891</v>
      </c>
      <c r="O64" s="7">
        <f t="shared" si="73"/>
        <v>10153517</v>
      </c>
      <c r="P64" s="7">
        <f t="shared" si="73"/>
        <v>21051231</v>
      </c>
      <c r="Q64" s="7">
        <f t="shared" si="73"/>
        <v>32640791</v>
      </c>
      <c r="R64" s="7">
        <f t="shared" si="73"/>
        <v>45384092</v>
      </c>
      <c r="S64" s="7">
        <f t="shared" si="73"/>
        <v>16042266</v>
      </c>
      <c r="T64" s="7">
        <f t="shared" si="73"/>
        <v>40016354</v>
      </c>
      <c r="U64" s="7">
        <f t="shared" si="73"/>
        <v>80011864</v>
      </c>
      <c r="V64" s="7">
        <f t="shared" si="73"/>
        <v>100983712</v>
      </c>
      <c r="W64" s="7">
        <f t="shared" si="73"/>
        <v>14052095</v>
      </c>
      <c r="X64" s="7">
        <f t="shared" si="73"/>
        <v>27654701</v>
      </c>
      <c r="Y64" s="7">
        <f t="shared" si="73"/>
        <v>63140101</v>
      </c>
      <c r="Z64" s="7">
        <f t="shared" si="73"/>
        <v>79522794</v>
      </c>
      <c r="AA64" s="7">
        <f t="shared" ref="AA64:AB64" si="74">+SUM(AA57:AA63)</f>
        <v>23574601</v>
      </c>
      <c r="AB64" s="7">
        <f t="shared" si="74"/>
        <v>46764826</v>
      </c>
      <c r="AC64" s="7">
        <f t="shared" ref="AC64:AD64" si="75">+SUM(AC57:AC63)</f>
        <v>74260520</v>
      </c>
      <c r="AD64" s="7">
        <f t="shared" si="75"/>
        <v>92466559</v>
      </c>
      <c r="AE64" s="7">
        <f t="shared" ref="AE64:AF64" si="76">+SUM(AE57:AE63)</f>
        <v>19654021</v>
      </c>
      <c r="AF64" s="7">
        <f t="shared" si="76"/>
        <v>49087060</v>
      </c>
      <c r="AG64" s="7">
        <f t="shared" ref="AG64:AH64" si="77">+SUM(AG57:AG63)</f>
        <v>111566194</v>
      </c>
      <c r="AH64" s="7">
        <f t="shared" si="77"/>
        <v>128104735</v>
      </c>
      <c r="AI64" s="7">
        <f t="shared" ref="AI64" si="78">+SUM(AI57:AI63)</f>
        <v>14196134</v>
      </c>
    </row>
    <row r="65" spans="1:35" x14ac:dyDescent="0.3">
      <c r="A65" s="1" t="s">
        <v>149</v>
      </c>
      <c r="B65" s="3"/>
      <c r="C65" s="3"/>
      <c r="D65" s="3"/>
      <c r="E65" s="3"/>
      <c r="F65" s="3"/>
      <c r="G65" s="3"/>
      <c r="H65" s="3"/>
      <c r="I65" s="3"/>
      <c r="J65" s="3"/>
      <c r="K65" s="3"/>
      <c r="L65" s="3"/>
      <c r="M65" s="3"/>
      <c r="N65" s="3">
        <v>-19939751</v>
      </c>
      <c r="O65" s="3">
        <v>-2122410</v>
      </c>
      <c r="P65" s="3">
        <v>-4299283</v>
      </c>
      <c r="Q65" s="3">
        <v>-6356330</v>
      </c>
      <c r="R65" s="3">
        <v>-11284519</v>
      </c>
      <c r="S65" s="3">
        <v>-3527252</v>
      </c>
      <c r="T65" s="3">
        <v>-9302823</v>
      </c>
      <c r="U65" s="3">
        <v>-20320771</v>
      </c>
      <c r="V65" s="3">
        <v>-27165897</v>
      </c>
      <c r="W65" s="3">
        <v>-2899429</v>
      </c>
      <c r="X65" s="3">
        <v>-6443356</v>
      </c>
      <c r="Y65" s="3">
        <v>-20236307</v>
      </c>
      <c r="Z65" s="3">
        <v>-21547718</v>
      </c>
      <c r="AA65" s="3">
        <v>-8031648</v>
      </c>
      <c r="AB65" s="3">
        <v>-13688851</v>
      </c>
      <c r="AC65" s="3">
        <v>-21632742</v>
      </c>
      <c r="AD65" s="3">
        <v>-24926362</v>
      </c>
      <c r="AE65" s="3">
        <v>-4909148</v>
      </c>
      <c r="AF65" s="3">
        <v>-12666529</v>
      </c>
      <c r="AG65" s="3">
        <v>-29759961</v>
      </c>
      <c r="AH65" s="3">
        <v>-34625119</v>
      </c>
      <c r="AI65" s="3">
        <v>-3823121</v>
      </c>
    </row>
    <row r="66" spans="1:35" x14ac:dyDescent="0.3">
      <c r="A66" s="1" t="s">
        <v>150</v>
      </c>
      <c r="B66" s="7">
        <f>+SUM(B64:B65)</f>
        <v>7506808</v>
      </c>
      <c r="C66" s="7">
        <f t="shared" ref="C66:N66" si="79">+SUM(C64:C65)</f>
        <v>19805534</v>
      </c>
      <c r="D66" s="7">
        <f t="shared" si="79"/>
        <v>35566728</v>
      </c>
      <c r="E66" s="7">
        <f t="shared" si="79"/>
        <v>30674636</v>
      </c>
      <c r="F66" s="7">
        <f t="shared" si="79"/>
        <v>37210324</v>
      </c>
      <c r="G66" s="7"/>
      <c r="H66" s="7"/>
      <c r="I66" s="7"/>
      <c r="J66" s="7">
        <f t="shared" si="79"/>
        <v>27095245</v>
      </c>
      <c r="K66" s="7"/>
      <c r="L66" s="7"/>
      <c r="M66" s="7"/>
      <c r="N66" s="7">
        <f t="shared" si="79"/>
        <v>51928140</v>
      </c>
      <c r="O66" s="7">
        <f t="shared" ref="O66:Z66" si="80">+SUM(O64:O65)</f>
        <v>8031107</v>
      </c>
      <c r="P66" s="7">
        <f t="shared" si="80"/>
        <v>16751948</v>
      </c>
      <c r="Q66" s="7">
        <f t="shared" si="80"/>
        <v>26284461</v>
      </c>
      <c r="R66" s="7">
        <f t="shared" si="80"/>
        <v>34099573</v>
      </c>
      <c r="S66" s="7">
        <f t="shared" si="80"/>
        <v>12515014</v>
      </c>
      <c r="T66" s="7">
        <f t="shared" si="80"/>
        <v>30713531</v>
      </c>
      <c r="U66" s="7">
        <f t="shared" si="80"/>
        <v>59691093</v>
      </c>
      <c r="V66" s="7">
        <f t="shared" si="80"/>
        <v>73817815</v>
      </c>
      <c r="W66" s="7">
        <f t="shared" si="80"/>
        <v>11152666</v>
      </c>
      <c r="X66" s="7">
        <f t="shared" si="80"/>
        <v>21211345</v>
      </c>
      <c r="Y66" s="7">
        <f t="shared" si="80"/>
        <v>42903794</v>
      </c>
      <c r="Z66" s="7">
        <f t="shared" si="80"/>
        <v>57975076</v>
      </c>
      <c r="AA66" s="7">
        <f t="shared" ref="AA66:AB66" si="81">+SUM(AA64:AA65)</f>
        <v>15542953</v>
      </c>
      <c r="AB66" s="7">
        <f t="shared" si="81"/>
        <v>33075975</v>
      </c>
      <c r="AC66" s="7">
        <f t="shared" ref="AC66:AD66" si="82">+SUM(AC64:AC65)</f>
        <v>52627778</v>
      </c>
      <c r="AD66" s="7">
        <f t="shared" si="82"/>
        <v>67540197</v>
      </c>
      <c r="AE66" s="7">
        <f t="shared" ref="AE66:AF66" si="83">+SUM(AE64:AE65)</f>
        <v>14744873</v>
      </c>
      <c r="AF66" s="7">
        <f t="shared" si="83"/>
        <v>36420531</v>
      </c>
      <c r="AG66" s="7">
        <f t="shared" ref="AG66:AH66" si="84">+SUM(AG64:AG65)</f>
        <v>81806233</v>
      </c>
      <c r="AH66" s="7">
        <f t="shared" si="84"/>
        <v>93479616</v>
      </c>
      <c r="AI66" s="7">
        <f t="shared" ref="AI66" si="85">+SUM(AI64:AI65)</f>
        <v>10373013</v>
      </c>
    </row>
    <row r="67" spans="1:35" x14ac:dyDescent="0.3">
      <c r="A67" s="1" t="s">
        <v>151</v>
      </c>
      <c r="B67" s="3"/>
      <c r="C67" s="3">
        <v>0</v>
      </c>
      <c r="D67" s="3">
        <v>0</v>
      </c>
      <c r="E67" s="3">
        <v>0</v>
      </c>
      <c r="F67" s="3">
        <v>0</v>
      </c>
      <c r="G67" s="3"/>
      <c r="H67" s="3"/>
      <c r="I67" s="3"/>
      <c r="J67" s="3">
        <v>0</v>
      </c>
      <c r="K67" s="3"/>
      <c r="L67" s="3"/>
      <c r="M67" s="3"/>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row>
    <row r="68" spans="1:35" s="6" customFormat="1" x14ac:dyDescent="0.3">
      <c r="A68" s="6" t="s">
        <v>152</v>
      </c>
      <c r="B68" s="7">
        <f>+SUM(B66:B67)</f>
        <v>7506808</v>
      </c>
      <c r="C68" s="7">
        <f>+SUM(C66:C67)</f>
        <v>19805534</v>
      </c>
      <c r="D68" s="7">
        <f t="shared" ref="D68:N68" si="86">+SUM(D66:D67)</f>
        <v>35566728</v>
      </c>
      <c r="E68" s="7">
        <f t="shared" si="86"/>
        <v>30674636</v>
      </c>
      <c r="F68" s="7">
        <f t="shared" si="86"/>
        <v>37210324</v>
      </c>
      <c r="G68" s="7"/>
      <c r="H68" s="7"/>
      <c r="I68" s="7"/>
      <c r="J68" s="7">
        <f t="shared" si="86"/>
        <v>27095245</v>
      </c>
      <c r="K68" s="7"/>
      <c r="L68" s="7"/>
      <c r="M68" s="7"/>
      <c r="N68" s="7">
        <f t="shared" si="86"/>
        <v>51928140</v>
      </c>
      <c r="O68" s="7">
        <f t="shared" ref="O68:Z68" si="87">+SUM(O66:O67)</f>
        <v>8031107</v>
      </c>
      <c r="P68" s="7">
        <f t="shared" si="87"/>
        <v>16751948</v>
      </c>
      <c r="Q68" s="7">
        <f t="shared" si="87"/>
        <v>26284461</v>
      </c>
      <c r="R68" s="7">
        <f t="shared" si="87"/>
        <v>34099573</v>
      </c>
      <c r="S68" s="7">
        <f t="shared" si="87"/>
        <v>12515014</v>
      </c>
      <c r="T68" s="7">
        <f t="shared" si="87"/>
        <v>30713531</v>
      </c>
      <c r="U68" s="7">
        <f t="shared" si="87"/>
        <v>59691093</v>
      </c>
      <c r="V68" s="7">
        <f t="shared" si="87"/>
        <v>73817815</v>
      </c>
      <c r="W68" s="7">
        <f t="shared" si="87"/>
        <v>11152666</v>
      </c>
      <c r="X68" s="7">
        <f t="shared" si="87"/>
        <v>21211345</v>
      </c>
      <c r="Y68" s="7">
        <f t="shared" si="87"/>
        <v>42903794</v>
      </c>
      <c r="Z68" s="7">
        <f t="shared" si="87"/>
        <v>57975076</v>
      </c>
      <c r="AA68" s="7">
        <f t="shared" ref="AA68:AB68" si="88">+SUM(AA66:AA67)</f>
        <v>15542953</v>
      </c>
      <c r="AB68" s="7">
        <f t="shared" si="88"/>
        <v>33075975</v>
      </c>
      <c r="AC68" s="7">
        <f t="shared" ref="AC68:AD68" si="89">+SUM(AC66:AC67)</f>
        <v>52627778</v>
      </c>
      <c r="AD68" s="7">
        <f t="shared" si="89"/>
        <v>67540197</v>
      </c>
      <c r="AE68" s="7">
        <f t="shared" ref="AE68:AF68" si="90">+SUM(AE66:AE67)</f>
        <v>14744873</v>
      </c>
      <c r="AF68" s="7">
        <f t="shared" si="90"/>
        <v>36420531</v>
      </c>
      <c r="AG68" s="7">
        <f t="shared" ref="AG68:AH68" si="91">+SUM(AG66:AG67)</f>
        <v>81806233</v>
      </c>
      <c r="AH68" s="7">
        <f t="shared" si="91"/>
        <v>93479616</v>
      </c>
      <c r="AI68" s="7">
        <f t="shared" ref="AI68" si="92">+SUM(AI66:AI67)</f>
        <v>10373013</v>
      </c>
    </row>
    <row r="71" spans="1:35"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
      <c r="A72" s="1" t="s">
        <v>80</v>
      </c>
      <c r="B72" s="3"/>
      <c r="C72" s="3"/>
      <c r="D72" s="3"/>
      <c r="E72" s="3"/>
      <c r="F72" s="3"/>
      <c r="G72" s="3"/>
      <c r="H72" s="3"/>
      <c r="I72" s="3"/>
      <c r="J72" s="3"/>
      <c r="K72" s="3"/>
      <c r="L72" s="3"/>
      <c r="M72" s="3"/>
      <c r="N72" s="3">
        <v>0</v>
      </c>
      <c r="O72" s="3">
        <v>0</v>
      </c>
      <c r="P72" s="3">
        <v>0</v>
      </c>
      <c r="Q72" s="3">
        <v>0</v>
      </c>
      <c r="R72" s="3">
        <v>0</v>
      </c>
      <c r="S72" s="3">
        <v>0</v>
      </c>
      <c r="T72" s="3">
        <v>0</v>
      </c>
      <c r="U72" s="3">
        <v>0</v>
      </c>
      <c r="V72" s="3">
        <v>0</v>
      </c>
      <c r="W72" s="3">
        <v>0</v>
      </c>
      <c r="X72" s="3">
        <v>0</v>
      </c>
      <c r="Y72" s="3">
        <v>0</v>
      </c>
      <c r="Z72" s="3">
        <v>0</v>
      </c>
      <c r="AA72" s="3">
        <v>0</v>
      </c>
      <c r="AB72" s="3">
        <v>0</v>
      </c>
      <c r="AC72" s="3">
        <v>0</v>
      </c>
      <c r="AD72" s="3">
        <v>0</v>
      </c>
      <c r="AE72" s="3">
        <v>0</v>
      </c>
      <c r="AF72" s="3">
        <v>0</v>
      </c>
      <c r="AG72" s="3">
        <v>0</v>
      </c>
      <c r="AH72" s="3">
        <v>0</v>
      </c>
      <c r="AI72" s="3">
        <v>0</v>
      </c>
    </row>
    <row r="73" spans="1:35" x14ac:dyDescent="0.3">
      <c r="A73" s="1" t="s">
        <v>81</v>
      </c>
      <c r="B73" s="3"/>
      <c r="C73" s="3"/>
      <c r="D73" s="3"/>
      <c r="E73" s="3"/>
      <c r="F73" s="3"/>
      <c r="G73" s="3"/>
      <c r="H73" s="3"/>
      <c r="I73" s="3"/>
      <c r="J73" s="3"/>
      <c r="K73" s="3"/>
      <c r="L73" s="3"/>
      <c r="M73" s="3"/>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c r="AI73" s="3">
        <v>0</v>
      </c>
    </row>
    <row r="74" spans="1:35" x14ac:dyDescent="0.3">
      <c r="A74" s="1" t="s">
        <v>82</v>
      </c>
      <c r="B74" s="3"/>
      <c r="C74" s="3"/>
      <c r="D74" s="3"/>
      <c r="E74" s="3"/>
      <c r="F74" s="3"/>
      <c r="G74" s="3"/>
      <c r="H74" s="3"/>
      <c r="I74" s="3"/>
      <c r="J74" s="3"/>
      <c r="K74" s="3"/>
      <c r="L74" s="3"/>
      <c r="M74" s="3"/>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c r="AI74" s="3">
        <v>0</v>
      </c>
    </row>
    <row r="75" spans="1:35" x14ac:dyDescent="0.3">
      <c r="A75" s="1" t="s">
        <v>83</v>
      </c>
      <c r="B75" s="3"/>
      <c r="C75" s="3"/>
      <c r="D75" s="3"/>
      <c r="E75" s="3"/>
      <c r="F75" s="3"/>
      <c r="G75" s="3"/>
      <c r="H75" s="3"/>
      <c r="I75" s="3"/>
      <c r="J75" s="3"/>
      <c r="K75" s="3"/>
      <c r="L75" s="3"/>
      <c r="M75" s="3"/>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c r="AI75" s="3">
        <v>0</v>
      </c>
    </row>
    <row r="76" spans="1:35" x14ac:dyDescent="0.3">
      <c r="A76" s="1" t="s">
        <v>84</v>
      </c>
      <c r="B76" s="3"/>
      <c r="C76" s="3"/>
      <c r="D76" s="3"/>
      <c r="E76" s="3"/>
      <c r="F76" s="3"/>
      <c r="G76" s="3"/>
      <c r="H76" s="3"/>
      <c r="I76" s="3"/>
      <c r="J76" s="3"/>
      <c r="K76" s="3"/>
      <c r="L76" s="3"/>
      <c r="M76" s="3"/>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row>
    <row r="77" spans="1:35" x14ac:dyDescent="0.3">
      <c r="A77" s="1" t="s">
        <v>85</v>
      </c>
      <c r="B77" s="3"/>
      <c r="C77" s="3"/>
      <c r="D77" s="3"/>
      <c r="E77" s="3"/>
      <c r="F77" s="3"/>
      <c r="G77" s="3"/>
      <c r="H77" s="3"/>
      <c r="I77" s="3"/>
      <c r="J77" s="3"/>
      <c r="K77" s="3"/>
      <c r="L77" s="3"/>
      <c r="M77" s="3"/>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row>
    <row r="78" spans="1:35" x14ac:dyDescent="0.3">
      <c r="A78" s="1" t="s">
        <v>86</v>
      </c>
      <c r="B78" s="3"/>
      <c r="C78" s="3"/>
      <c r="D78" s="3"/>
      <c r="E78" s="3"/>
      <c r="F78" s="3"/>
      <c r="G78" s="3"/>
      <c r="H78" s="3"/>
      <c r="I78" s="3"/>
      <c r="J78" s="3"/>
      <c r="K78" s="3"/>
      <c r="L78" s="3"/>
      <c r="M78" s="3"/>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row>
    <row r="79" spans="1:35" x14ac:dyDescent="0.3">
      <c r="A79" s="1" t="s">
        <v>87</v>
      </c>
      <c r="B79" s="3"/>
      <c r="C79" s="3"/>
      <c r="D79" s="3"/>
      <c r="E79" s="3"/>
      <c r="F79" s="3"/>
      <c r="G79" s="3"/>
      <c r="H79" s="3"/>
      <c r="I79" s="3"/>
      <c r="J79" s="3"/>
      <c r="K79" s="3"/>
      <c r="L79" s="3"/>
      <c r="M79" s="3"/>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c r="AI79" s="3">
        <v>0</v>
      </c>
    </row>
    <row r="80" spans="1:35" x14ac:dyDescent="0.3">
      <c r="A80" s="1" t="s">
        <v>88</v>
      </c>
      <c r="B80" s="3"/>
      <c r="C80" s="3"/>
      <c r="D80" s="3"/>
      <c r="E80" s="3"/>
      <c r="F80" s="3"/>
      <c r="G80" s="3"/>
      <c r="H80" s="3"/>
      <c r="I80" s="3"/>
      <c r="J80" s="3"/>
      <c r="K80" s="3"/>
      <c r="L80" s="3"/>
      <c r="M80" s="3"/>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c r="AI80" s="3">
        <v>0</v>
      </c>
    </row>
    <row r="81" spans="1:39" x14ac:dyDescent="0.3">
      <c r="A81" s="1" t="s">
        <v>89</v>
      </c>
      <c r="B81" s="3"/>
      <c r="C81" s="3"/>
      <c r="D81" s="3"/>
      <c r="E81" s="3"/>
      <c r="F81" s="3"/>
      <c r="G81" s="3"/>
      <c r="H81" s="3"/>
      <c r="I81" s="3"/>
      <c r="J81" s="3"/>
      <c r="K81" s="3"/>
      <c r="L81" s="3"/>
      <c r="M81" s="3"/>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c r="AI81" s="3">
        <v>0</v>
      </c>
    </row>
    <row r="82" spans="1:39" x14ac:dyDescent="0.3">
      <c r="A82" s="1" t="s">
        <v>153</v>
      </c>
      <c r="B82" s="3"/>
      <c r="C82" s="3"/>
      <c r="D82" s="3"/>
      <c r="E82" s="3"/>
      <c r="F82" s="3"/>
      <c r="G82" s="3"/>
      <c r="H82" s="3"/>
      <c r="I82" s="3"/>
      <c r="J82" s="3"/>
      <c r="K82" s="3"/>
      <c r="L82" s="3"/>
      <c r="M82" s="3"/>
      <c r="N82" s="3">
        <v>0</v>
      </c>
      <c r="O82" s="3">
        <v>90982</v>
      </c>
      <c r="P82" s="3">
        <v>186798</v>
      </c>
      <c r="Q82" s="3">
        <v>288524</v>
      </c>
      <c r="R82" s="3">
        <v>0</v>
      </c>
      <c r="S82" s="3"/>
      <c r="T82" s="3">
        <v>156987</v>
      </c>
      <c r="U82" s="3">
        <v>258181</v>
      </c>
      <c r="V82" s="3">
        <v>0</v>
      </c>
      <c r="W82" s="3">
        <v>17800</v>
      </c>
      <c r="X82" s="3">
        <v>982101</v>
      </c>
      <c r="Y82" s="3">
        <v>1124924</v>
      </c>
      <c r="Z82" s="3">
        <f>1291788</f>
        <v>1291788</v>
      </c>
      <c r="AA82" s="3">
        <v>86457</v>
      </c>
      <c r="AB82" s="3">
        <f>180207</f>
        <v>180207</v>
      </c>
      <c r="AC82" s="3">
        <v>634192</v>
      </c>
      <c r="AD82" s="3">
        <v>590508</v>
      </c>
      <c r="AE82" s="3">
        <f>98287</f>
        <v>98287</v>
      </c>
      <c r="AF82" s="3">
        <f>205010+114814</f>
        <v>319824</v>
      </c>
      <c r="AG82" s="3">
        <f>274571+179404</f>
        <v>453975</v>
      </c>
      <c r="AH82" s="3">
        <f>399187</f>
        <v>399187</v>
      </c>
      <c r="AI82" s="3">
        <v>92618</v>
      </c>
    </row>
    <row r="83" spans="1:39" x14ac:dyDescent="0.3">
      <c r="A83" s="1" t="s">
        <v>90</v>
      </c>
      <c r="B83" s="3"/>
      <c r="C83" s="3"/>
      <c r="D83" s="3"/>
      <c r="E83" s="3"/>
      <c r="F83" s="3"/>
      <c r="G83" s="3"/>
      <c r="H83" s="3"/>
      <c r="I83" s="3"/>
      <c r="J83" s="3"/>
      <c r="K83" s="3"/>
      <c r="L83" s="3"/>
      <c r="M83" s="3"/>
      <c r="N83" s="3">
        <f>1224890+1533128+74884+63607+97892</f>
        <v>2994401</v>
      </c>
      <c r="O83" s="3">
        <f>592555-9435-259764</f>
        <v>323356</v>
      </c>
      <c r="P83" s="3">
        <v>596407</v>
      </c>
      <c r="Q83" s="3">
        <v>600824</v>
      </c>
      <c r="R83" s="3">
        <f>1438957+1169369+98344+45237+103012+17172</f>
        <v>2872091</v>
      </c>
      <c r="S83" s="3">
        <v>-287728</v>
      </c>
      <c r="T83" s="3">
        <v>670921</v>
      </c>
      <c r="U83" s="3">
        <v>1297389</v>
      </c>
      <c r="V83" s="3">
        <f>4969951-82838</f>
        <v>4887113</v>
      </c>
      <c r="W83" s="3">
        <v>1061748</v>
      </c>
      <c r="X83" s="3">
        <v>2159790</v>
      </c>
      <c r="Y83" s="3">
        <v>4153097</v>
      </c>
      <c r="Z83" s="3">
        <f>-4510081-3204597+7540075+2953825+156024+9906+327071+389313</f>
        <v>3661536</v>
      </c>
      <c r="AA83" s="3">
        <v>1030396</v>
      </c>
      <c r="AB83" s="3">
        <f>--1333967+15502+2104+313+75275+35803+30072+12765+236189+175956</f>
        <v>1917946</v>
      </c>
      <c r="AC83" s="3">
        <v>361992</v>
      </c>
      <c r="AD83" s="3">
        <v>3516788</v>
      </c>
      <c r="AE83" s="3">
        <f>3142619-2909611</f>
        <v>233008</v>
      </c>
      <c r="AF83" s="3">
        <f>-(2890885+2788604)+4506982+1679524+-29750+225609+255565</f>
        <v>958441</v>
      </c>
      <c r="AG83" s="3">
        <f>-4381922-4178948+6980571+2387276+19553+292025+400</f>
        <v>1118955</v>
      </c>
      <c r="AH83" s="3">
        <f>-5901115-5660356+9515552+3500763+287063-14732+403396</f>
        <v>2130571</v>
      </c>
      <c r="AI83" s="3">
        <f>-1544087-1689600+2551739+248171+806543+41403-51256+118073</f>
        <v>480986</v>
      </c>
    </row>
    <row r="84" spans="1:39" x14ac:dyDescent="0.3">
      <c r="A84" s="1" t="s">
        <v>154</v>
      </c>
      <c r="B84" s="3"/>
      <c r="C84" s="3"/>
      <c r="D84" s="3"/>
      <c r="E84" s="3"/>
      <c r="F84" s="3"/>
      <c r="G84" s="3"/>
      <c r="H84" s="3"/>
      <c r="I84" s="3"/>
      <c r="J84" s="3"/>
      <c r="K84" s="3"/>
      <c r="L84" s="3"/>
      <c r="M84" s="3"/>
      <c r="N84" s="3">
        <v>3788044</v>
      </c>
      <c r="O84" s="3">
        <v>950628</v>
      </c>
      <c r="P84" s="3">
        <v>1937595</v>
      </c>
      <c r="Q84" s="3">
        <v>2820699</v>
      </c>
      <c r="R84" s="3">
        <v>3928837</v>
      </c>
      <c r="S84" s="3">
        <v>998159</v>
      </c>
      <c r="T84" s="3">
        <v>2348939</v>
      </c>
      <c r="U84" s="3">
        <v>3723025</v>
      </c>
      <c r="V84" s="3">
        <v>4874554</v>
      </c>
      <c r="W84" s="3">
        <v>1517057</v>
      </c>
      <c r="X84" s="3">
        <v>3381710</v>
      </c>
      <c r="Y84" s="3">
        <v>4519272</v>
      </c>
      <c r="Z84" s="3">
        <v>6883109</v>
      </c>
      <c r="AA84" s="3">
        <v>1860045</v>
      </c>
      <c r="AB84" s="3">
        <f>3839139</f>
        <v>3839139</v>
      </c>
      <c r="AC84" s="3">
        <v>6128621</v>
      </c>
      <c r="AD84" s="3">
        <v>8460123</v>
      </c>
      <c r="AE84" s="3">
        <v>2608049</v>
      </c>
      <c r="AF84" s="3">
        <v>5123090</v>
      </c>
      <c r="AG84" s="3">
        <f>7732037</f>
        <v>7732037</v>
      </c>
      <c r="AH84" s="3">
        <v>10394997</v>
      </c>
      <c r="AI84" s="3">
        <v>2634520</v>
      </c>
    </row>
    <row r="85" spans="1:39" x14ac:dyDescent="0.3">
      <c r="A85" s="1" t="s">
        <v>155</v>
      </c>
      <c r="B85" s="3"/>
      <c r="C85" s="3"/>
      <c r="D85" s="3"/>
      <c r="E85" s="3"/>
      <c r="F85" s="3"/>
      <c r="G85" s="3"/>
      <c r="H85" s="3"/>
      <c r="I85" s="3"/>
      <c r="J85" s="3"/>
      <c r="K85" s="3"/>
      <c r="L85" s="3"/>
      <c r="M85" s="3"/>
      <c r="N85" s="3">
        <v>388669</v>
      </c>
      <c r="O85" s="3">
        <v>110044</v>
      </c>
      <c r="P85" s="3">
        <v>229779</v>
      </c>
      <c r="Q85" s="3">
        <v>375849</v>
      </c>
      <c r="R85" s="3">
        <v>531116</v>
      </c>
      <c r="S85" s="3">
        <v>121048</v>
      </c>
      <c r="T85" s="3">
        <v>298440</v>
      </c>
      <c r="U85" s="3">
        <v>435549</v>
      </c>
      <c r="V85" s="3">
        <v>0</v>
      </c>
      <c r="W85" s="3">
        <v>216481</v>
      </c>
      <c r="X85" s="3">
        <f>421661+4737</f>
        <v>426398</v>
      </c>
      <c r="Y85" s="3">
        <v>636536</v>
      </c>
      <c r="Z85" s="3">
        <v>1068939</v>
      </c>
      <c r="AA85" s="3">
        <v>0</v>
      </c>
      <c r="AB85" s="3">
        <v>463560</v>
      </c>
      <c r="AC85" s="3">
        <v>725405</v>
      </c>
      <c r="AD85" s="3">
        <v>957402</v>
      </c>
      <c r="AE85" s="3">
        <f>446796</f>
        <v>446796</v>
      </c>
      <c r="AF85" s="3">
        <v>520407</v>
      </c>
      <c r="AG85" s="3">
        <f>778240</f>
        <v>778240</v>
      </c>
      <c r="AH85" s="3">
        <v>1033471</v>
      </c>
      <c r="AI85" s="3">
        <v>0</v>
      </c>
    </row>
    <row r="86" spans="1:39" x14ac:dyDescent="0.3">
      <c r="A86" s="1" t="s">
        <v>91</v>
      </c>
      <c r="B86" s="3"/>
      <c r="C86" s="3"/>
      <c r="D86" s="3"/>
      <c r="E86" s="3"/>
      <c r="F86" s="3"/>
      <c r="G86" s="3"/>
      <c r="H86" s="3"/>
      <c r="I86" s="3"/>
      <c r="J86" s="3"/>
      <c r="K86" s="3"/>
      <c r="L86" s="3"/>
      <c r="M86" s="3"/>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c r="AI86" s="3">
        <v>0</v>
      </c>
    </row>
    <row r="87" spans="1:39" x14ac:dyDescent="0.3">
      <c r="A87" s="1" t="s">
        <v>156</v>
      </c>
      <c r="B87" s="3"/>
      <c r="C87" s="3"/>
      <c r="D87" s="3"/>
      <c r="E87" s="3"/>
      <c r="F87" s="3"/>
      <c r="G87" s="3"/>
      <c r="H87" s="3"/>
      <c r="I87" s="3"/>
      <c r="J87" s="3"/>
      <c r="K87" s="3"/>
      <c r="L87" s="3"/>
      <c r="M87" s="3"/>
      <c r="N87" s="3">
        <f>-2515386-1855540+4969877</f>
        <v>598951</v>
      </c>
      <c r="O87" s="3">
        <v>1198468</v>
      </c>
      <c r="P87" s="3">
        <v>1399629</v>
      </c>
      <c r="Q87" s="3">
        <v>2142414</v>
      </c>
      <c r="R87" s="3">
        <f>-2763775-2254463+5178400</f>
        <v>160162</v>
      </c>
      <c r="S87" s="3">
        <v>898851</v>
      </c>
      <c r="T87" s="3">
        <v>1643365</v>
      </c>
      <c r="U87" s="3">
        <v>2598051</v>
      </c>
      <c r="V87" s="3">
        <v>0</v>
      </c>
      <c r="W87" s="3">
        <v>0</v>
      </c>
      <c r="X87" s="3">
        <v>0</v>
      </c>
      <c r="Y87" s="3">
        <v>0</v>
      </c>
      <c r="Z87" s="3">
        <v>0</v>
      </c>
      <c r="AA87" s="3">
        <v>0</v>
      </c>
      <c r="AB87" s="3">
        <v>0</v>
      </c>
      <c r="AC87" s="3">
        <v>0</v>
      </c>
      <c r="AD87" s="3">
        <v>0</v>
      </c>
      <c r="AE87" s="3">
        <v>0</v>
      </c>
      <c r="AF87" s="3">
        <v>0</v>
      </c>
      <c r="AG87" s="3">
        <v>0</v>
      </c>
      <c r="AH87" s="3">
        <v>0</v>
      </c>
      <c r="AI87" s="3">
        <v>0</v>
      </c>
    </row>
    <row r="88" spans="1:39" x14ac:dyDescent="0.3">
      <c r="A88" s="1" t="s">
        <v>157</v>
      </c>
      <c r="B88" s="3"/>
      <c r="C88" s="3"/>
      <c r="D88" s="3"/>
      <c r="E88" s="3"/>
      <c r="F88" s="3"/>
      <c r="G88" s="3"/>
      <c r="H88" s="3"/>
      <c r="I88" s="3"/>
      <c r="J88" s="3"/>
      <c r="K88" s="3"/>
      <c r="L88" s="3"/>
      <c r="M88" s="3"/>
      <c r="N88" s="3"/>
      <c r="O88" s="3"/>
      <c r="P88" s="3"/>
      <c r="Q88" s="3"/>
      <c r="R88" s="3">
        <v>0</v>
      </c>
      <c r="S88" s="3"/>
      <c r="T88" s="3"/>
      <c r="U88" s="3"/>
      <c r="V88" s="3">
        <v>0</v>
      </c>
      <c r="W88" s="3">
        <v>0</v>
      </c>
      <c r="X88" s="3">
        <v>0</v>
      </c>
      <c r="Y88" s="3">
        <v>0</v>
      </c>
      <c r="Z88" s="3">
        <v>0</v>
      </c>
      <c r="AA88" s="3">
        <v>0</v>
      </c>
      <c r="AB88" s="3">
        <v>0</v>
      </c>
      <c r="AC88" s="3">
        <v>0</v>
      </c>
      <c r="AD88" s="3">
        <v>0</v>
      </c>
      <c r="AE88" s="3">
        <v>0</v>
      </c>
      <c r="AF88" s="3">
        <v>0</v>
      </c>
      <c r="AG88" s="3">
        <v>0</v>
      </c>
      <c r="AH88" s="3">
        <v>0</v>
      </c>
      <c r="AI88" s="3">
        <v>0</v>
      </c>
    </row>
    <row r="89" spans="1:39" x14ac:dyDescent="0.3">
      <c r="A89" s="1" t="s">
        <v>158</v>
      </c>
      <c r="B89" s="3"/>
      <c r="C89" s="3"/>
      <c r="D89" s="3"/>
      <c r="E89" s="3"/>
      <c r="F89" s="3"/>
      <c r="G89" s="3"/>
      <c r="H89" s="3"/>
      <c r="I89" s="3"/>
      <c r="J89" s="3"/>
      <c r="K89" s="3"/>
      <c r="L89" s="3"/>
      <c r="M89" s="3"/>
      <c r="N89" s="3">
        <v>604316</v>
      </c>
      <c r="O89" s="3">
        <v>259764</v>
      </c>
      <c r="P89" s="3">
        <v>551597</v>
      </c>
      <c r="Q89" s="3">
        <v>694474</v>
      </c>
      <c r="R89" s="3">
        <v>862535</v>
      </c>
      <c r="S89" s="3">
        <v>272752</v>
      </c>
      <c r="T89" s="3">
        <v>253614</v>
      </c>
      <c r="U89" s="3">
        <v>397785</v>
      </c>
      <c r="V89" s="3">
        <f>6356267-2646712-3603627+596541+1027628</f>
        <v>1730097</v>
      </c>
      <c r="W89" s="3">
        <v>209247</v>
      </c>
      <c r="X89" s="3">
        <v>1138726</v>
      </c>
      <c r="Y89" s="3">
        <v>869099</v>
      </c>
      <c r="Z89" s="3">
        <v>2502573</v>
      </c>
      <c r="AA89" s="3">
        <v>263510</v>
      </c>
      <c r="AB89" s="3">
        <f>596501</f>
        <v>596501</v>
      </c>
      <c r="AC89" s="3">
        <v>2951678</v>
      </c>
      <c r="AD89" s="3">
        <v>1192731</v>
      </c>
      <c r="AE89" s="3">
        <v>155042</v>
      </c>
      <c r="AF89" s="3">
        <v>590610</v>
      </c>
      <c r="AG89" s="3">
        <v>174500</v>
      </c>
      <c r="AH89" s="3">
        <v>904620</v>
      </c>
      <c r="AI89" s="3">
        <v>90601</v>
      </c>
    </row>
    <row r="90" spans="1:39" x14ac:dyDescent="0.3">
      <c r="A90" s="1" t="s">
        <v>159</v>
      </c>
      <c r="B90" s="3"/>
      <c r="C90" s="3"/>
      <c r="D90" s="3"/>
      <c r="E90" s="3"/>
      <c r="F90" s="3"/>
      <c r="G90" s="3"/>
      <c r="H90" s="3"/>
      <c r="I90" s="3"/>
      <c r="J90" s="3"/>
      <c r="K90" s="3"/>
      <c r="L90" s="3"/>
      <c r="M90" s="3"/>
      <c r="N90" s="3">
        <v>39168</v>
      </c>
      <c r="O90" s="3">
        <v>9435</v>
      </c>
      <c r="P90" s="3">
        <v>16787</v>
      </c>
      <c r="Q90" s="3">
        <v>23983</v>
      </c>
      <c r="R90" s="3">
        <v>54155</v>
      </c>
      <c r="S90" s="3">
        <v>9906</v>
      </c>
      <c r="T90" s="3">
        <v>39508</v>
      </c>
      <c r="U90" s="3">
        <v>62549</v>
      </c>
      <c r="V90" s="3">
        <v>82838</v>
      </c>
      <c r="W90" s="3">
        <v>25116</v>
      </c>
      <c r="X90" s="3">
        <v>51351</v>
      </c>
      <c r="Y90" s="3">
        <v>85740</v>
      </c>
      <c r="Z90" s="3">
        <v>111894</v>
      </c>
      <c r="AA90" s="3">
        <v>26152</v>
      </c>
      <c r="AB90" s="3">
        <v>52107</v>
      </c>
      <c r="AC90" s="3">
        <v>80040</v>
      </c>
      <c r="AD90" s="3">
        <v>108338</v>
      </c>
      <c r="AE90" s="3">
        <f>29764+124989</f>
        <v>154753</v>
      </c>
      <c r="AF90" s="3">
        <v>59171</v>
      </c>
      <c r="AG90" s="3">
        <f>88310+386313</f>
        <v>474623</v>
      </c>
      <c r="AH90" s="3">
        <f>117936+518948</f>
        <v>636884</v>
      </c>
      <c r="AI90" s="3">
        <f>36116+127580</f>
        <v>163696</v>
      </c>
    </row>
    <row r="91" spans="1:39"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9" x14ac:dyDescent="0.3">
      <c r="A92" s="6" t="s">
        <v>92</v>
      </c>
      <c r="B92" s="7">
        <f>SUM(B72:B91)</f>
        <v>0</v>
      </c>
      <c r="C92" s="7">
        <f t="shared" ref="C92:Z92" si="93">SUM(C72:C91)</f>
        <v>0</v>
      </c>
      <c r="D92" s="7">
        <f t="shared" si="93"/>
        <v>0</v>
      </c>
      <c r="E92" s="7">
        <f t="shared" si="93"/>
        <v>0</v>
      </c>
      <c r="F92" s="7">
        <f t="shared" si="93"/>
        <v>0</v>
      </c>
      <c r="G92" s="7"/>
      <c r="H92" s="7"/>
      <c r="I92" s="7"/>
      <c r="J92" s="7">
        <f t="shared" si="93"/>
        <v>0</v>
      </c>
      <c r="K92" s="7"/>
      <c r="L92" s="7"/>
      <c r="M92" s="7"/>
      <c r="N92" s="7">
        <f t="shared" si="93"/>
        <v>8413549</v>
      </c>
      <c r="O92" s="7">
        <f t="shared" si="93"/>
        <v>2942677</v>
      </c>
      <c r="P92" s="7">
        <f t="shared" si="93"/>
        <v>4918592</v>
      </c>
      <c r="Q92" s="7">
        <f t="shared" si="93"/>
        <v>6946767</v>
      </c>
      <c r="R92" s="7">
        <f t="shared" si="93"/>
        <v>8408896</v>
      </c>
      <c r="S92" s="7">
        <f t="shared" si="93"/>
        <v>2012988</v>
      </c>
      <c r="T92" s="7">
        <f t="shared" si="93"/>
        <v>5411774</v>
      </c>
      <c r="U92" s="7">
        <f t="shared" si="93"/>
        <v>8772529</v>
      </c>
      <c r="V92" s="7">
        <f t="shared" si="93"/>
        <v>11574602</v>
      </c>
      <c r="W92" s="7">
        <f t="shared" si="93"/>
        <v>3047449</v>
      </c>
      <c r="X92" s="7">
        <f t="shared" si="93"/>
        <v>8140076</v>
      </c>
      <c r="Y92" s="7">
        <f t="shared" si="93"/>
        <v>11388668</v>
      </c>
      <c r="Z92" s="7">
        <f t="shared" si="93"/>
        <v>15519839</v>
      </c>
      <c r="AA92" s="7">
        <f t="shared" ref="AA92:AB92" si="94">SUM(AA72:AA91)</f>
        <v>3266560</v>
      </c>
      <c r="AB92" s="7">
        <f t="shared" si="94"/>
        <v>7049460</v>
      </c>
      <c r="AC92" s="7">
        <f t="shared" ref="AC92:AD92" si="95">SUM(AC72:AC91)</f>
        <v>10881928</v>
      </c>
      <c r="AD92" s="7">
        <f t="shared" si="95"/>
        <v>14825890</v>
      </c>
      <c r="AE92" s="7">
        <f t="shared" ref="AE92:AF92" si="96">SUM(AE72:AE91)</f>
        <v>3695935</v>
      </c>
      <c r="AF92" s="7">
        <f t="shared" si="96"/>
        <v>7571543</v>
      </c>
      <c r="AG92" s="7">
        <f t="shared" ref="AG92:AH92" si="97">SUM(AG72:AG91)</f>
        <v>10732330</v>
      </c>
      <c r="AH92" s="7">
        <f t="shared" si="97"/>
        <v>15499730</v>
      </c>
      <c r="AI92" s="7">
        <f t="shared" ref="AI92" si="98">SUM(AI72:AI91)</f>
        <v>3462421</v>
      </c>
    </row>
    <row r="94" spans="1:39"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9" x14ac:dyDescent="0.3">
      <c r="A95" s="1" t="s">
        <v>94</v>
      </c>
      <c r="B95" s="3"/>
      <c r="C95" s="3"/>
      <c r="D95" s="3"/>
      <c r="E95" s="3"/>
      <c r="F95" s="3"/>
      <c r="G95" s="3"/>
      <c r="H95" s="3"/>
      <c r="I95" s="3"/>
      <c r="J95" s="3"/>
      <c r="K95" s="3"/>
      <c r="L95" s="3"/>
      <c r="M95" s="3"/>
      <c r="N95" s="3">
        <v>0</v>
      </c>
      <c r="O95" s="3">
        <v>0</v>
      </c>
      <c r="P95" s="3">
        <v>0</v>
      </c>
      <c r="Q95" s="3">
        <v>0</v>
      </c>
      <c r="R95" s="3">
        <v>0</v>
      </c>
      <c r="S95" s="3">
        <v>0</v>
      </c>
      <c r="T95" s="3">
        <v>0</v>
      </c>
      <c r="U95" s="3">
        <v>0</v>
      </c>
      <c r="V95" s="3">
        <v>0</v>
      </c>
      <c r="W95" s="3">
        <v>0</v>
      </c>
      <c r="X95" s="3">
        <v>0</v>
      </c>
      <c r="Y95" s="3">
        <v>0</v>
      </c>
      <c r="Z95" s="3">
        <v>0</v>
      </c>
      <c r="AA95" s="3">
        <v>3385</v>
      </c>
      <c r="AB95" s="3">
        <v>152827</v>
      </c>
      <c r="AC95" s="3">
        <v>0</v>
      </c>
      <c r="AD95" s="3">
        <v>0</v>
      </c>
      <c r="AE95" s="3">
        <v>104606</v>
      </c>
      <c r="AF95" s="3">
        <v>216617</v>
      </c>
      <c r="AG95" s="3">
        <v>326734</v>
      </c>
      <c r="AH95" s="3">
        <v>438886</v>
      </c>
      <c r="AI95" s="3">
        <v>111021</v>
      </c>
      <c r="AJ95" s="119"/>
      <c r="AK95" s="119"/>
      <c r="AL95" s="119"/>
      <c r="AM95" s="119"/>
    </row>
    <row r="96" spans="1:39" x14ac:dyDescent="0.3">
      <c r="A96" s="1" t="s">
        <v>167</v>
      </c>
      <c r="B96" s="3"/>
      <c r="C96" s="3"/>
      <c r="D96" s="3"/>
      <c r="E96" s="3"/>
      <c r="F96" s="3"/>
      <c r="G96" s="3"/>
      <c r="H96" s="3"/>
      <c r="I96" s="3"/>
      <c r="J96" s="3"/>
      <c r="K96" s="3"/>
      <c r="L96" s="3"/>
      <c r="M96" s="3"/>
      <c r="N96" s="3">
        <v>1354200</v>
      </c>
      <c r="O96" s="3">
        <v>116253</v>
      </c>
      <c r="P96" s="3">
        <v>0</v>
      </c>
      <c r="Q96" s="3">
        <v>0</v>
      </c>
      <c r="R96" s="3">
        <v>116253</v>
      </c>
      <c r="S96" s="3">
        <v>0</v>
      </c>
      <c r="T96" s="3">
        <v>0</v>
      </c>
      <c r="U96" s="3">
        <v>0</v>
      </c>
      <c r="V96" s="3">
        <v>0</v>
      </c>
      <c r="W96" s="3">
        <v>0</v>
      </c>
      <c r="X96" s="3">
        <v>0</v>
      </c>
      <c r="Y96" s="3">
        <v>0</v>
      </c>
      <c r="Z96" s="3">
        <v>0</v>
      </c>
      <c r="AA96" s="3">
        <v>1451</v>
      </c>
      <c r="AB96" s="3">
        <v>1451</v>
      </c>
      <c r="AC96" s="3">
        <v>0</v>
      </c>
      <c r="AD96" s="3">
        <v>0</v>
      </c>
      <c r="AE96" s="3">
        <f>149437-AE95</f>
        <v>44831</v>
      </c>
      <c r="AF96" s="3">
        <v>92838</v>
      </c>
      <c r="AG96" s="3">
        <v>140028</v>
      </c>
      <c r="AH96" s="3">
        <v>188093</v>
      </c>
      <c r="AI96" s="3">
        <f>158601-AI95</f>
        <v>47580</v>
      </c>
    </row>
    <row r="97" spans="1:35" x14ac:dyDescent="0.3">
      <c r="A97" s="1" t="s">
        <v>96</v>
      </c>
      <c r="B97" s="3"/>
      <c r="C97" s="3"/>
      <c r="D97" s="3"/>
      <c r="E97" s="3"/>
      <c r="F97" s="3"/>
      <c r="G97" s="3"/>
      <c r="H97" s="3"/>
      <c r="I97" s="3"/>
      <c r="J97" s="3"/>
      <c r="K97" s="3"/>
      <c r="L97" s="3"/>
      <c r="M97" s="3"/>
      <c r="N97" s="3">
        <f>433915+3121779</f>
        <v>3555694</v>
      </c>
      <c r="O97" s="3">
        <v>937504</v>
      </c>
      <c r="P97" s="3">
        <f>1883082-116253</f>
        <v>1766829</v>
      </c>
      <c r="Q97" s="3">
        <v>2873258</v>
      </c>
      <c r="R97" s="3">
        <f>759355+2313365</f>
        <v>3072720</v>
      </c>
      <c r="S97" s="3">
        <v>1087046</v>
      </c>
      <c r="T97" s="3">
        <v>2161811</v>
      </c>
      <c r="U97" s="3">
        <v>3497654</v>
      </c>
      <c r="V97" s="3">
        <f>3241347+1449835</f>
        <v>4691182</v>
      </c>
      <c r="W97" s="3">
        <f>-W59</f>
        <v>1507693</v>
      </c>
      <c r="X97" s="3">
        <v>3114953</v>
      </c>
      <c r="Y97" s="3">
        <v>4739286</v>
      </c>
      <c r="Z97" s="3">
        <f>2537674+3469586</f>
        <v>6007260</v>
      </c>
      <c r="AA97" s="3">
        <f>1820393+139215</f>
        <v>1959608</v>
      </c>
      <c r="AB97" s="3">
        <v>3787235</v>
      </c>
      <c r="AC97" s="3">
        <v>6463608</v>
      </c>
      <c r="AD97" s="3">
        <v>8663652</v>
      </c>
      <c r="AE97" s="3">
        <f>--1078968--1160121+143276+3772</f>
        <v>2386137</v>
      </c>
      <c r="AF97" s="3">
        <v>4825552</v>
      </c>
      <c r="AG97" s="3">
        <v>7586119</v>
      </c>
      <c r="AH97" s="3">
        <f>4454909+5126099</f>
        <v>9581008</v>
      </c>
      <c r="AI97" s="3">
        <f>1335200+1076317+145162</f>
        <v>2556679</v>
      </c>
    </row>
    <row r="98" spans="1:35" x14ac:dyDescent="0.3">
      <c r="A98" s="1" t="s">
        <v>97</v>
      </c>
      <c r="B98" s="3"/>
      <c r="C98" s="3"/>
      <c r="D98" s="3"/>
      <c r="E98" s="3"/>
      <c r="F98" s="3"/>
      <c r="G98" s="3"/>
      <c r="H98" s="3"/>
      <c r="I98" s="3"/>
      <c r="J98" s="3"/>
      <c r="K98" s="3"/>
      <c r="L98" s="3"/>
      <c r="M98" s="3"/>
      <c r="N98" s="3">
        <v>86385</v>
      </c>
      <c r="O98" s="3">
        <v>0</v>
      </c>
      <c r="P98" s="3">
        <v>0</v>
      </c>
      <c r="Q98" s="3">
        <v>0</v>
      </c>
      <c r="R98" s="3">
        <v>89465</v>
      </c>
      <c r="S98" s="3">
        <v>0</v>
      </c>
      <c r="T98" s="3">
        <v>0</v>
      </c>
      <c r="U98" s="3">
        <v>0</v>
      </c>
      <c r="V98" s="3">
        <f>--170239+289584</f>
        <v>459823</v>
      </c>
      <c r="W98" s="3">
        <v>0</v>
      </c>
      <c r="X98" s="3">
        <v>0</v>
      </c>
      <c r="Y98" s="3">
        <v>0</v>
      </c>
      <c r="Z98" s="3">
        <f>115846+468071</f>
        <v>583917</v>
      </c>
      <c r="AA98" s="3">
        <v>0</v>
      </c>
      <c r="AB98" s="3">
        <v>0</v>
      </c>
      <c r="AC98" s="3">
        <v>0</v>
      </c>
      <c r="AD98" s="3">
        <v>0</v>
      </c>
      <c r="AE98" s="3">
        <f>--37889</f>
        <v>37889</v>
      </c>
      <c r="AF98" s="3">
        <v>114317</v>
      </c>
      <c r="AG98" s="3">
        <v>166384</v>
      </c>
      <c r="AH98" s="3">
        <f>166384+580354</f>
        <v>746738</v>
      </c>
      <c r="AI98" s="3">
        <v>0</v>
      </c>
    </row>
    <row r="99" spans="1:35" x14ac:dyDescent="0.3">
      <c r="A99" s="6" t="s">
        <v>92</v>
      </c>
      <c r="B99" s="7">
        <f>SUM(B95:B98)</f>
        <v>0</v>
      </c>
      <c r="C99" s="7">
        <f>SUM(C95:C98)</f>
        <v>0</v>
      </c>
      <c r="D99" s="7">
        <f t="shared" ref="D99:Z99" si="99">SUM(D95:D98)</f>
        <v>0</v>
      </c>
      <c r="E99" s="7">
        <f t="shared" si="99"/>
        <v>0</v>
      </c>
      <c r="F99" s="7">
        <f t="shared" si="99"/>
        <v>0</v>
      </c>
      <c r="G99" s="7"/>
      <c r="H99" s="7"/>
      <c r="I99" s="7"/>
      <c r="J99" s="7">
        <f t="shared" si="99"/>
        <v>0</v>
      </c>
      <c r="K99" s="7"/>
      <c r="L99" s="7"/>
      <c r="M99" s="7"/>
      <c r="N99" s="7">
        <f t="shared" si="99"/>
        <v>4996279</v>
      </c>
      <c r="O99" s="7">
        <f t="shared" si="99"/>
        <v>1053757</v>
      </c>
      <c r="P99" s="7">
        <f t="shared" si="99"/>
        <v>1766829</v>
      </c>
      <c r="Q99" s="7">
        <f t="shared" si="99"/>
        <v>2873258</v>
      </c>
      <c r="R99" s="7">
        <f t="shared" si="99"/>
        <v>3278438</v>
      </c>
      <c r="S99" s="7">
        <f t="shared" si="99"/>
        <v>1087046</v>
      </c>
      <c r="T99" s="7">
        <f t="shared" si="99"/>
        <v>2161811</v>
      </c>
      <c r="U99" s="7">
        <f t="shared" si="99"/>
        <v>3497654</v>
      </c>
      <c r="V99" s="7">
        <f t="shared" si="99"/>
        <v>5151005</v>
      </c>
      <c r="W99" s="7">
        <f t="shared" si="99"/>
        <v>1507693</v>
      </c>
      <c r="X99" s="7">
        <f t="shared" si="99"/>
        <v>3114953</v>
      </c>
      <c r="Y99" s="7">
        <f t="shared" si="99"/>
        <v>4739286</v>
      </c>
      <c r="Z99" s="7">
        <f t="shared" si="99"/>
        <v>6591177</v>
      </c>
      <c r="AA99" s="7">
        <f t="shared" ref="AA99:AB99" si="100">SUM(AA95:AA98)</f>
        <v>1964444</v>
      </c>
      <c r="AB99" s="7">
        <f t="shared" si="100"/>
        <v>3941513</v>
      </c>
      <c r="AC99" s="7">
        <f t="shared" ref="AC99:AD99" si="101">SUM(AC95:AC98)</f>
        <v>6463608</v>
      </c>
      <c r="AD99" s="7">
        <f t="shared" si="101"/>
        <v>8663652</v>
      </c>
      <c r="AE99" s="7">
        <f t="shared" ref="AE99:AF99" si="102">SUM(AE95:AE98)</f>
        <v>2573463</v>
      </c>
      <c r="AF99" s="7">
        <f t="shared" si="102"/>
        <v>5249324</v>
      </c>
      <c r="AG99" s="7">
        <f t="shared" ref="AG99:AH99" si="103">SUM(AG95:AG98)</f>
        <v>8219265</v>
      </c>
      <c r="AH99" s="7">
        <f t="shared" si="103"/>
        <v>10954725</v>
      </c>
      <c r="AI99" s="7">
        <f t="shared" ref="AI99" si="104">SUM(AI95:AI98)</f>
        <v>2715280</v>
      </c>
    </row>
    <row r="101" spans="1:35" x14ac:dyDescent="0.3">
      <c r="A101" s="1" t="s">
        <v>98</v>
      </c>
      <c r="B101" s="3">
        <f>+B92+B99+B59+B51+B54</f>
        <v>0</v>
      </c>
      <c r="C101" s="3">
        <f t="shared" ref="C101:R101" si="105">+C92+C99+C59+C51+C54</f>
        <v>0</v>
      </c>
      <c r="D101" s="3">
        <f t="shared" si="105"/>
        <v>0</v>
      </c>
      <c r="E101" s="3">
        <f t="shared" si="105"/>
        <v>0</v>
      </c>
      <c r="F101" s="3">
        <f t="shared" si="105"/>
        <v>0</v>
      </c>
      <c r="G101" s="3"/>
      <c r="H101" s="3"/>
      <c r="I101" s="3"/>
      <c r="J101" s="3">
        <f t="shared" si="105"/>
        <v>0</v>
      </c>
      <c r="K101" s="3"/>
      <c r="L101" s="3"/>
      <c r="M101" s="3"/>
      <c r="N101" s="3">
        <f t="shared" si="105"/>
        <v>0</v>
      </c>
      <c r="O101" s="3">
        <f t="shared" ref="O101:Q101" si="106">+O92+O99+O59+O51+O54</f>
        <v>0</v>
      </c>
      <c r="P101" s="3">
        <f t="shared" si="106"/>
        <v>0</v>
      </c>
      <c r="Q101" s="3">
        <f t="shared" si="106"/>
        <v>0</v>
      </c>
      <c r="R101" s="3">
        <f t="shared" si="105"/>
        <v>0</v>
      </c>
      <c r="S101" s="3">
        <f t="shared" ref="S101:Z101" si="107">+S92+S99+S59+S51+S54</f>
        <v>0</v>
      </c>
      <c r="T101" s="3">
        <f t="shared" si="107"/>
        <v>0</v>
      </c>
      <c r="U101" s="3">
        <f t="shared" si="107"/>
        <v>0</v>
      </c>
      <c r="V101" s="3">
        <f t="shared" si="107"/>
        <v>0</v>
      </c>
      <c r="W101" s="3">
        <f t="shared" si="107"/>
        <v>0</v>
      </c>
      <c r="X101" s="3">
        <f t="shared" si="107"/>
        <v>0</v>
      </c>
      <c r="Y101" s="3">
        <f t="shared" si="107"/>
        <v>0</v>
      </c>
      <c r="Z101" s="3">
        <f t="shared" si="107"/>
        <v>0</v>
      </c>
      <c r="AA101" s="3">
        <f t="shared" ref="AA101:AB101" si="108">+AA92+AA99+AA59+AA51+AA54</f>
        <v>0</v>
      </c>
      <c r="AB101" s="3">
        <f t="shared" si="108"/>
        <v>0</v>
      </c>
      <c r="AC101" s="3">
        <f t="shared" ref="AC101:AD101" si="109">+AC92+AC99+AC59+AC51+AC54</f>
        <v>0</v>
      </c>
      <c r="AD101" s="3">
        <f t="shared" si="109"/>
        <v>0</v>
      </c>
      <c r="AE101" s="3">
        <f t="shared" ref="AE101:AF101" si="110">+AE92+AE99+AE59+AE51+AE54</f>
        <v>0</v>
      </c>
      <c r="AF101" s="3">
        <f t="shared" si="110"/>
        <v>0</v>
      </c>
      <c r="AG101" s="3">
        <f t="shared" ref="AG101:AH101" si="111">+AG92+AG99+AG59+AG51+AG54</f>
        <v>0</v>
      </c>
      <c r="AH101" s="3">
        <f t="shared" si="111"/>
        <v>0</v>
      </c>
      <c r="AI101" s="3">
        <f t="shared" ref="AI101" si="112">+AI92+AI99+AI59+AI51+AI54</f>
        <v>0</v>
      </c>
    </row>
    <row r="102" spans="1:35" s="8" customFormat="1" x14ac:dyDescent="0.3">
      <c r="A102" s="8" t="s">
        <v>160</v>
      </c>
      <c r="B102" s="22">
        <v>0</v>
      </c>
      <c r="C102" s="22">
        <v>0</v>
      </c>
      <c r="D102" s="22">
        <v>0</v>
      </c>
      <c r="E102" s="22">
        <v>0</v>
      </c>
      <c r="F102" s="22">
        <v>0</v>
      </c>
      <c r="G102" s="22"/>
      <c r="H102" s="22"/>
      <c r="I102" s="22"/>
      <c r="J102" s="22">
        <v>0</v>
      </c>
      <c r="K102" s="22"/>
      <c r="L102" s="22"/>
      <c r="M102" s="22"/>
      <c r="N102" s="22">
        <v>0.4</v>
      </c>
      <c r="O102" s="22">
        <v>0.4</v>
      </c>
      <c r="P102" s="22">
        <v>0.4</v>
      </c>
      <c r="Q102" s="22">
        <v>0.4</v>
      </c>
      <c r="R102" s="22">
        <v>0.7</v>
      </c>
      <c r="S102" s="22">
        <v>0.7</v>
      </c>
      <c r="T102" s="22">
        <v>0.7</v>
      </c>
      <c r="U102" s="22">
        <v>0.7</v>
      </c>
      <c r="V102" s="22">
        <v>0.7</v>
      </c>
      <c r="W102" s="22">
        <v>0.7</v>
      </c>
      <c r="X102" s="22">
        <v>0.7</v>
      </c>
      <c r="Y102" s="22">
        <v>0.7</v>
      </c>
      <c r="Z102" s="22">
        <v>0.7</v>
      </c>
      <c r="AA102" s="22">
        <v>0.7</v>
      </c>
      <c r="AB102" s="22">
        <v>0.7</v>
      </c>
      <c r="AC102" s="22">
        <v>0.7</v>
      </c>
      <c r="AD102" s="22">
        <v>0.7</v>
      </c>
      <c r="AE102" s="22">
        <v>0.7</v>
      </c>
      <c r="AF102" s="22">
        <v>0.7</v>
      </c>
      <c r="AG102" s="22">
        <v>0.7</v>
      </c>
      <c r="AH102" s="22">
        <v>0.7</v>
      </c>
      <c r="AI102" s="22">
        <v>0.7</v>
      </c>
    </row>
    <row r="103" spans="1:35" x14ac:dyDescent="0.3">
      <c r="A103" s="1" t="s">
        <v>99</v>
      </c>
    </row>
    <row r="104" spans="1:35" x14ac:dyDescent="0.3">
      <c r="A104" s="1" t="s">
        <v>177</v>
      </c>
    </row>
    <row r="105" spans="1:35" x14ac:dyDescent="0.3">
      <c r="A105" s="1" t="s">
        <v>178</v>
      </c>
    </row>
    <row r="106" spans="1:35" x14ac:dyDescent="0.3">
      <c r="A106" s="1" t="s">
        <v>179</v>
      </c>
    </row>
  </sheetData>
  <pageMargins left="0.7" right="0.7" top="0.75" bottom="0.75" header="0.3" footer="0.3"/>
  <pageSetup scale="4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79F6C-1096-4A83-8EEC-5F1141E64A6D}">
  <dimension ref="A1:AI98"/>
  <sheetViews>
    <sheetView workbookViewId="0">
      <pane xSplit="1" ySplit="1" topLeftCell="AC2" activePane="bottomRight" state="frozen"/>
      <selection pane="topRight" activeCell="B1" sqref="B1"/>
      <selection pane="bottomLeft" activeCell="A2" sqref="A2"/>
      <selection pane="bottomRight" activeCell="AI2" sqref="AI2"/>
    </sheetView>
  </sheetViews>
  <sheetFormatPr baseColWidth="10" defaultColWidth="11.44140625" defaultRowHeight="14.4" x14ac:dyDescent="0.3"/>
  <cols>
    <col min="1" max="1" width="74" customWidth="1"/>
    <col min="2" max="6" width="12.109375" bestFit="1" customWidth="1"/>
    <col min="7" max="9" width="12.109375" customWidth="1"/>
    <col min="10" max="10" width="12.109375" bestFit="1" customWidth="1"/>
    <col min="11" max="13" width="12.109375" customWidth="1"/>
    <col min="14" max="14" width="12.109375" bestFit="1" customWidth="1"/>
    <col min="15" max="17" width="12.109375" customWidth="1"/>
    <col min="18" max="18" width="12.109375" bestFit="1" customWidth="1"/>
    <col min="19" max="35" width="14.109375" bestFit="1" customWidth="1"/>
  </cols>
  <sheetData>
    <row r="1" spans="1:35" x14ac:dyDescent="0.3">
      <c r="A1" s="1" t="s">
        <v>180</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+BFC!AC1</f>
        <v>45565</v>
      </c>
      <c r="AD1" s="2">
        <f>+BFC!AD1</f>
        <v>45657</v>
      </c>
      <c r="AE1" s="2">
        <f>+BFC!AE1</f>
        <v>45747</v>
      </c>
      <c r="AF1" s="2">
        <f>+BFC!AF1</f>
        <v>45838</v>
      </c>
      <c r="AG1" s="2">
        <f>+BFC!AG1</f>
        <v>45930</v>
      </c>
      <c r="AH1" s="2">
        <f>+BFC!AH1</f>
        <v>46022</v>
      </c>
      <c r="AI1" s="2">
        <f>+BFC!AI1</f>
        <v>46112</v>
      </c>
    </row>
    <row r="2" spans="1:35" x14ac:dyDescent="0.3">
      <c r="A2" s="6" t="s">
        <v>8</v>
      </c>
      <c r="B2" s="7"/>
      <c r="C2" s="7"/>
      <c r="D2" s="7"/>
      <c r="E2" s="7"/>
      <c r="F2" s="7"/>
      <c r="G2" s="7"/>
      <c r="H2" s="7"/>
      <c r="I2" s="7"/>
      <c r="J2" s="7"/>
      <c r="K2" s="7"/>
      <c r="L2" s="7"/>
      <c r="M2" s="7"/>
      <c r="N2" s="7"/>
      <c r="O2" s="7"/>
      <c r="P2" s="7"/>
      <c r="Q2" s="7"/>
      <c r="R2" s="7"/>
      <c r="S2" s="7"/>
      <c r="T2" s="7"/>
      <c r="U2" s="7"/>
      <c r="V2" s="7"/>
    </row>
    <row r="3" spans="1:35" x14ac:dyDescent="0.3">
      <c r="A3" s="1" t="s">
        <v>9</v>
      </c>
      <c r="B3" s="3"/>
      <c r="C3" s="3"/>
      <c r="D3" s="3"/>
      <c r="E3" s="3"/>
      <c r="F3" s="3"/>
      <c r="G3" s="3"/>
      <c r="H3" s="3"/>
      <c r="I3" s="3"/>
      <c r="J3" s="3"/>
      <c r="K3" s="3"/>
      <c r="L3" s="3"/>
      <c r="M3" s="3"/>
      <c r="N3" s="3"/>
      <c r="O3" s="3"/>
      <c r="P3" s="3"/>
      <c r="Q3" s="3"/>
      <c r="R3" s="3"/>
      <c r="S3" s="3"/>
      <c r="T3" s="3"/>
      <c r="U3" s="3"/>
      <c r="V3" s="3"/>
    </row>
    <row r="4" spans="1:35" x14ac:dyDescent="0.3">
      <c r="A4" s="1" t="s">
        <v>10</v>
      </c>
      <c r="B4" s="3"/>
      <c r="C4" s="3"/>
      <c r="D4" s="3"/>
      <c r="E4" s="3"/>
      <c r="F4" s="3"/>
      <c r="G4" s="3"/>
      <c r="H4" s="3"/>
      <c r="I4" s="3"/>
      <c r="J4" s="3"/>
      <c r="K4" s="3"/>
      <c r="L4" s="3"/>
      <c r="M4" s="3"/>
      <c r="N4" s="3"/>
      <c r="O4" s="3"/>
      <c r="P4" s="3"/>
      <c r="Q4" s="3"/>
      <c r="R4" s="3"/>
      <c r="S4" s="3"/>
      <c r="T4" s="3"/>
      <c r="U4" s="3"/>
      <c r="V4" s="3"/>
    </row>
    <row r="5" spans="1:35" x14ac:dyDescent="0.3">
      <c r="A5" s="1" t="s">
        <v>11</v>
      </c>
      <c r="B5" s="3">
        <f>+Descubrimiento!B5*Descubrimiento!B$103+'Rentas SpA'!B5*'Rentas SpA'!B$102+'Pza Const'!B5*'Pza Const'!B$102+'Pza Arauc'!B5*'Pza Arauc'!B$102+RRetail!B5*RRetail!B$102+Bucarest!B5*Bucarest!B$102+Magdalena!B5*Magdalena!B$102+BFC!B5*BFC!B$102</f>
        <v>1044794</v>
      </c>
      <c r="C5" s="3">
        <f>+Descubrimiento!C5*Descubrimiento!C$103+'Rentas SpA'!C5*'Rentas SpA'!C$102+'Pza Const'!C5*'Pza Const'!C$102+'Pza Arauc'!C5*'Pza Arauc'!C$102+RRetail!C5*RRetail!C$102+Bucarest!C5*Bucarest!C$102+Magdalena!C5*Magdalena!C$102+BFC!C5*BFC!C$102</f>
        <v>5903596.5</v>
      </c>
      <c r="D5" s="3">
        <f>+Descubrimiento!D5*Descubrimiento!D$103+'Rentas SpA'!D5*'Rentas SpA'!D$102+'Pza Const'!D5*'Pza Const'!D$102+'Pza Arauc'!D5*'Pza Arauc'!D$102+RRetail!D5*RRetail!D$102+Bucarest!D5*Bucarest!D$102+Magdalena!D5*Magdalena!D$102+BFC!D5*BFC!D$102</f>
        <v>7634536</v>
      </c>
      <c r="E5" s="3">
        <f>+Descubrimiento!E5*Descubrimiento!E$103+'Rentas SpA'!E5*'Rentas SpA'!E$102+'Pza Const'!E5*'Pza Const'!E$102+'Pza Arauc'!E5*'Pza Arauc'!E$102+RRetail!E5*RRetail!E$102+Bucarest!E5*Bucarest!E$102+Magdalena!E5*Magdalena!E$102+BFC!E5*BFC!E$102</f>
        <v>1588482</v>
      </c>
      <c r="F5" s="3">
        <f>+Descubrimiento!F5*Descubrimiento!F$103+'Rentas SpA'!F5*'Rentas SpA'!F$102+'Pza Const'!F5*'Pza Const'!F$102+'Pza Arauc'!F5*'Pza Arauc'!F$102+RRetail!F5*RRetail!F$102+Bucarest!F5*Bucarest!F$102+Magdalena!F5*Magdalena!F$102+BFC!F5*BFC!F$102</f>
        <v>738006</v>
      </c>
      <c r="G5" s="3">
        <f>+Descubrimiento!G5*Descubrimiento!G$103+'Rentas SpA'!G5*'Rentas SpA'!G$102+'Pza Const'!G5*'Pza Const'!G$102+'Pza Arauc'!G5*'Pza Arauc'!G$102+RRetail!G5*RRetail!G$102+Bucarest!G5*Bucarest!G$102+Magdalena!G5*Magdalena!G$102+BFC!G5*BFC!G$102</f>
        <v>3990154</v>
      </c>
      <c r="H5" s="3">
        <f>+Descubrimiento!H5*Descubrimiento!H$103+'Rentas SpA'!H5*'Rentas SpA'!H$102+'Pza Const'!H5*'Pza Const'!H$102+'Pza Arauc'!H5*'Pza Arauc'!H$102+RRetail!H5*RRetail!H$102+Bucarest!H5*Bucarest!H$102+Magdalena!H5*Magdalena!H$102+BFC!H5*BFC!H$102</f>
        <v>3737917</v>
      </c>
      <c r="I5" s="3">
        <f>+Descubrimiento!I5*Descubrimiento!I$103+'Rentas SpA'!I5*'Rentas SpA'!I$102+'Pza Const'!I5*'Pza Const'!I$102+'Pza Arauc'!I5*'Pza Arauc'!I$102+RRetail!I5*RRetail!I$102+Bucarest!I5*Bucarest!I$102+Magdalena!I5*Magdalena!I$102+BFC!I5*BFC!I$102</f>
        <v>5532378</v>
      </c>
      <c r="J5" s="3">
        <f>+Descubrimiento!J5*Descubrimiento!J$103+'Rentas SpA'!J5*'Rentas SpA'!J$102+'Pza Const'!J5*'Pza Const'!J$102+'Pza Arauc'!J5*'Pza Arauc'!J$102+RRetail!J5*RRetail!J$102+Bucarest!J5*Bucarest!J$102+Magdalena!J5*Magdalena!J$102+BFC!J5*BFC!J$102</f>
        <v>3121089</v>
      </c>
      <c r="K5" s="3">
        <f>+Descubrimiento!K5*Descubrimiento!K$103+'Rentas SpA'!K5*'Rentas SpA'!K$102+'Pza Const'!K5*'Pza Const'!K$102+'Pza Arauc'!K5*'Pza Arauc'!K$102+RRetail!K5*RRetail!K$102+Bucarest!K5*Bucarest!K$102+Magdalena!K5*Magdalena!K$102+BFC!K5*BFC!K$102</f>
        <v>4409258</v>
      </c>
      <c r="L5" s="3">
        <f>+Descubrimiento!L5*Descubrimiento!L$103+'Rentas SpA'!L5*'Rentas SpA'!L$102+'Pza Const'!L5*'Pza Const'!L$102+'Pza Arauc'!L5*'Pza Arauc'!L$102+RRetail!L5*RRetail!L$102+Bucarest!L5*Bucarest!L$102+Magdalena!L5*Magdalena!L$102+BFC!L5*BFC!L$102</f>
        <v>4187730</v>
      </c>
      <c r="M5" s="3">
        <f>+Descubrimiento!M5*Descubrimiento!M$103+'Rentas SpA'!M5*'Rentas SpA'!M$102+'Pza Const'!M5*'Pza Const'!M$102+'Pza Arauc'!M5*'Pza Arauc'!M$102+RRetail!M5*RRetail!M$102+Bucarest!M5*Bucarest!M$102+Magdalena!M5*Magdalena!M$102+BFC!M5*BFC!M$102</f>
        <v>9263015</v>
      </c>
      <c r="N5" s="3">
        <f>+Descubrimiento!N5*Descubrimiento!N$103+'Rentas SpA'!N5*'Rentas SpA'!N$102+'Pza Const'!N5*'Pza Const'!N$102+'Pza Arauc'!N5*'Pza Arauc'!N$102+RRetail!N5*RRetail!N$102+Bucarest!N5*Bucarest!N$102+Magdalena!N5*Magdalena!N$102+BFC!N5*BFC!N$102</f>
        <v>8518259.8000000007</v>
      </c>
      <c r="O5" s="3">
        <f>+Descubrimiento!O5*Descubrimiento!O$103+'Rentas SpA'!O5*'Rentas SpA'!O$102+'Pza Const'!O5*'Pza Const'!O$102+'Pza Arauc'!O5*'Pza Arauc'!O$102+RRetail!O5*RRetail!O$102+Bucarest!O5*Bucarest!O$102+Magdalena!O5*Magdalena!O$102+BFC!O5*BFC!O$102</f>
        <v>17101218.800000001</v>
      </c>
      <c r="P5" s="3">
        <f>+Descubrimiento!P5*Descubrimiento!P$103+'Rentas SpA'!P5*'Rentas SpA'!P$102+'Pza Const'!P5*'Pza Const'!P$102+'Pza Arauc'!P5*'Pza Arauc'!P$102+RRetail!P5*RRetail!P$102+Bucarest!P5*Bucarest!P$102+Magdalena!P5*Magdalena!P$102+BFC!P5*BFC!P$102</f>
        <v>12966928</v>
      </c>
      <c r="Q5" s="3">
        <f>+Descubrimiento!Q5*Descubrimiento!Q$103+'Rentas SpA'!Q5*'Rentas SpA'!Q$102+'Pza Const'!Q5*'Pza Const'!Q$102+'Pza Arauc'!Q5*'Pza Arauc'!Q$102+RRetail!Q5*RRetail!Q$102+Bucarest!Q5*Bucarest!Q$102+Magdalena!Q5*Magdalena!Q$102+BFC!Q5*BFC!Q$102</f>
        <v>12730125.800000001</v>
      </c>
      <c r="R5" s="3">
        <f>+Descubrimiento!R5*Descubrimiento!R$103+'Rentas SpA'!R5*'Rentas SpA'!R$102+'Pza Const'!R5*'Pza Const'!R$102+'Pza Arauc'!R5*'Pza Arauc'!R$102+RRetail!R5*RRetail!R$102+Bucarest!R5*Bucarest!R$102+Magdalena!R5*Magdalena!R$102+BFC!R5*BFC!R$102</f>
        <v>16108261.800000001</v>
      </c>
      <c r="S5" s="3">
        <f>+Descubrimiento!S5*Descubrimiento!S$103+'Rentas SpA'!S5*'Rentas SpA'!S$102+'Pza Const'!S5*'Pza Const'!S$102+'Pza Arauc'!S5*'Pza Arauc'!S$102+RRetail!S5*RRetail!S$102+Bucarest!S5*Bucarest!S$102+Magdalena!S5*Magdalena!S$102+BFC!S5*BFC!S$102</f>
        <v>20747859.299999997</v>
      </c>
      <c r="T5" s="3">
        <f>+Descubrimiento!T5*Descubrimiento!T$103+'Rentas SpA'!T5*'Rentas SpA'!T$102+'Pza Const'!T5*'Pza Const'!T$102+'Pza Arauc'!T5*'Pza Arauc'!T$102+RRetail!T5*RRetail!T$102+Bucarest!T5*Bucarest!T$102+Magdalena!T5*Magdalena!T$102+BFC!T5*BFC!T$102</f>
        <v>27199494.899999999</v>
      </c>
      <c r="U5" s="3">
        <f>+Descubrimiento!U5*Descubrimiento!U$103+'Rentas SpA'!U5*'Rentas SpA'!U$102+'Pza Const'!U5*'Pza Const'!U$102+'Pza Arauc'!U5*'Pza Arauc'!U$102+RRetail!U5*RRetail!U$102+Bucarest!U5*Bucarest!U$102+Magdalena!U5*Magdalena!U$102+BFC!U5*BFC!U$102</f>
        <v>23164721.599999998</v>
      </c>
      <c r="V5" s="3">
        <f>+Descubrimiento!V5*Descubrimiento!V$103+'Rentas SpA'!V5*'Rentas SpA'!V$102+'Pza Const'!V5*'Pza Const'!V$102+'Pza Arauc'!V5*'Pza Arauc'!V$102+RRetail!V5*RRetail!V$102+Bucarest!V5*Bucarest!V$102+Magdalena!V5*Magdalena!V$102+BFC!V5*BFC!V$102</f>
        <v>20664743.199999999</v>
      </c>
      <c r="W5" s="3">
        <f>+Descubrimiento!W5*Descubrimiento!W$103+'Rentas SpA'!W5*'Rentas SpA'!W$102+'Pza Const'!W5*'Pza Const'!W$102+'Pza Arauc'!W5*'Pza Arauc'!W$102+RRetail!W5*RRetail!W$102+Bucarest!W5*Bucarest!W$102+Magdalena!W5*Magdalena!W$102+BFC!W5*BFC!W$102</f>
        <v>24096709</v>
      </c>
      <c r="X5" s="3">
        <f>+Descubrimiento!X5*Descubrimiento!X$103+'Rentas SpA'!X5*'Rentas SpA'!X$102+'Pza Const'!X5*'Pza Const'!X$102+'Pza Arauc'!X5*'Pza Arauc'!X$102+RRetail!X5*RRetail!X$102+Bucarest!X5*Bucarest!X$102+Magdalena!X5*Magdalena!X$102+BFC!X5*BFC!X$102</f>
        <v>9329803.5999999996</v>
      </c>
      <c r="Y5" s="3">
        <f>+Descubrimiento!Y5*Descubrimiento!Y$103+'Rentas SpA'!Y5*'Rentas SpA'!Y$102+'Pza Const'!Y5*'Pza Const'!Y$102+'Pza Arauc'!Y5*'Pza Arauc'!Y$102+RRetail!Y5*RRetail!Y$102+Bucarest!Y5*Bucarest!Y$102+Magdalena!Y5*Magdalena!Y$102+BFC!Y5*BFC!Y$102</f>
        <v>5125134.8</v>
      </c>
      <c r="Z5" s="3">
        <f>+Descubrimiento!Z5*Descubrimiento!Z$103+'Rentas SpA'!Z5*'Rentas SpA'!Z$102+'Pza Const'!Z5*'Pza Const'!Z$102+'Pza Arauc'!Z5*'Pza Arauc'!Z$102+RRetail!Z5*RRetail!Z$102+Bucarest!Z5*Bucarest!Z$102+Magdalena!Z5*Magdalena!Z$102+BFC!Z5*BFC!Z$102</f>
        <v>9557569.3000000007</v>
      </c>
      <c r="AA5" s="3">
        <f>+Descubrimiento!AA5*Descubrimiento!AA$103+'Rentas SpA'!AA5*'Rentas SpA'!AA$102+'Pza Const'!AA5*'Pza Const'!AA$102+'Pza Arauc'!AA5*'Pza Arauc'!AA$102+RRetail!AA5*RRetail!AA$102+Bucarest!AA5*Bucarest!AA$102+Magdalena!AA5*Magdalena!AA$102+BFC!AA5*BFC!AA$102</f>
        <v>16877967</v>
      </c>
      <c r="AB5" s="3">
        <f>+Descubrimiento!AB5*Descubrimiento!AB$103+'Rentas SpA'!AB5*'Rentas SpA'!AB$102+'Pza Const'!AB5*'Pza Const'!AB$102+'Pza Arauc'!AB5*'Pza Arauc'!AB$102+RRetail!AB5*RRetail!AB$102+Bucarest!AB5*Bucarest!AB$102+Magdalena!AB5*Magdalena!AB$102+BFC!AB5*BFC!AB$102</f>
        <v>7746697</v>
      </c>
      <c r="AC5" s="3">
        <f>+Descubrimiento!AC5*Descubrimiento!AC$103+'Rentas SpA'!AC5*'Rentas SpA'!AC$102+'Pza Const'!AC5*'Pza Const'!AC$102+'Pza Arauc'!AC5*'Pza Arauc'!AC$102+RRetail!AC5*RRetail!AC$102+Bucarest!AC5*Bucarest!AC$102+Magdalena!AC5*Magdalena!AC$102+BFC!AC5*BFC!AC$102</f>
        <v>12081038.1</v>
      </c>
      <c r="AD5" s="3">
        <f>+Descubrimiento!AD5*Descubrimiento!AD$103+'Rentas SpA'!AD5*'Rentas SpA'!AD$102+'Pza Const'!AD5*'Pza Const'!AD$102+'Pza Arauc'!AD5*'Pza Arauc'!AD$102+RRetail!AD5*RRetail!AD$102+Bucarest!AD5*Bucarest!AD$102+Magdalena!AD5*Magdalena!AD$102+BFC!AD5*BFC!AD$102</f>
        <v>5962908.9000000004</v>
      </c>
      <c r="AE5" s="3">
        <f>+Descubrimiento!AE5*Descubrimiento!AE$103+'Rentas SpA'!AE5*'Rentas SpA'!AE$102+'Pza Const'!AE5*'Pza Const'!AE$102+'Pza Arauc'!AE5*'Pza Arauc'!AE$102+RRetail!AE5*RRetail!AE$102+Bucarest!AE5*Bucarest!AE$102+Magdalena!AE5*Magdalena!AE$102+BFC!AE5*BFC!AE$102</f>
        <v>13687172.399999999</v>
      </c>
      <c r="AF5" s="3">
        <f>+Descubrimiento!AF5*Descubrimiento!AF$103+'Rentas SpA'!AF5*'Rentas SpA'!AF$102+'Pza Const'!AF5*'Pza Const'!AF$102+'Pza Arauc'!AF5*'Pza Arauc'!AF$102+RRetail!AF5*RRetail!AF$102+Bucarest!AF5*Bucarest!AF$102+Magdalena!AF5*Magdalena!AF$102+BFC!AF5*BFC!AF$102</f>
        <v>14821015.799999999</v>
      </c>
      <c r="AG5" s="3">
        <f>+Descubrimiento!AG5*Descubrimiento!AG$103+'Rentas SpA'!AG5*'Rentas SpA'!AG$102+'Pza Const'!AG5*'Pza Const'!AG$102+'Pza Arauc'!AG5*'Pza Arauc'!AG$102+RRetail!AG5*RRetail!AG$102+Bucarest!AG5*Bucarest!AG$102+Magdalena!AG5*Magdalena!AG$102+BFC!AG5*BFC!AG$102</f>
        <v>25716470.699999999</v>
      </c>
      <c r="AH5" s="3">
        <f>+Descubrimiento!AH5*Descubrimiento!AH$103+'Rentas SpA'!AH5*'Rentas SpA'!AH$102+'Pza Const'!AH5*'Pza Const'!AH$102+'Pza Arauc'!AH5*'Pza Arauc'!AH$102+RRetail!AH5*RRetail!AH$102+Bucarest!AH5*Bucarest!AH$102+Magdalena!AH5*Magdalena!AH$102+BFC!AH5*BFC!AH$102</f>
        <v>26691275.099999998</v>
      </c>
      <c r="AI5" s="3">
        <f>+Descubrimiento!AI5*Descubrimiento!AI$103+'Rentas SpA'!AI5*'Rentas SpA'!AI$102+'Pza Const'!AI5*'Pza Const'!AI$102+'Pza Arauc'!AI5*'Pza Arauc'!AI$102+RRetail!AI5*RRetail!AI$102+Bucarest!AI5*Bucarest!AI$102+Magdalena!AI5*Magdalena!AI$102+BFC!AI5*BFC!AI$102</f>
        <v>24218130.699999999</v>
      </c>
    </row>
    <row r="6" spans="1:35" x14ac:dyDescent="0.3">
      <c r="A6" s="1" t="s">
        <v>101</v>
      </c>
      <c r="B6" s="3">
        <f>+Descubrimiento!B6*Descubrimiento!B$103+'Rentas SpA'!B6*'Rentas SpA'!B$102+'Pza Const'!B6*'Pza Const'!B$102+'Pza Arauc'!B6*'Pza Arauc'!B$102+RRetail!B6*RRetail!B$102+Bucarest!B6*Bucarest!B$102+Magdalena!B6*Magdalena!B$102+BFC!B6*BFC!B$102</f>
        <v>0</v>
      </c>
      <c r="C6" s="3">
        <f>+Descubrimiento!C6*Descubrimiento!C$103+'Rentas SpA'!C6*'Rentas SpA'!C$102+'Pza Const'!C6*'Pza Const'!C$102+'Pza Arauc'!C6*'Pza Arauc'!C$102+RRetail!C6*RRetail!C$102+Bucarest!C6*Bucarest!C$102+Magdalena!C6*Magdalena!C$102+BFC!C6*BFC!C$102</f>
        <v>0</v>
      </c>
      <c r="D6" s="3">
        <f>+Descubrimiento!D6*Descubrimiento!D$103+'Rentas SpA'!D6*'Rentas SpA'!D$102+'Pza Const'!D6*'Pza Const'!D$102+'Pza Arauc'!D6*'Pza Arauc'!D$102+RRetail!D6*RRetail!D$102+Bucarest!D6*Bucarest!D$102+Magdalena!D6*Magdalena!D$102+BFC!D6*BFC!D$102</f>
        <v>0</v>
      </c>
      <c r="E6" s="3">
        <f>+Descubrimiento!E6*Descubrimiento!E$103+'Rentas SpA'!E6*'Rentas SpA'!E$102+'Pza Const'!E6*'Pza Const'!E$102+'Pza Arauc'!E6*'Pza Arauc'!E$102+RRetail!E6*RRetail!E$102+Bucarest!E6*Bucarest!E$102+Magdalena!E6*Magdalena!E$102+BFC!E6*BFC!E$102</f>
        <v>53880</v>
      </c>
      <c r="F6" s="3">
        <f>+Descubrimiento!F6*Descubrimiento!F$103+'Rentas SpA'!F6*'Rentas SpA'!F$102+'Pza Const'!F6*'Pza Const'!F$102+'Pza Arauc'!F6*'Pza Arauc'!F$102+RRetail!F6*RRetail!F$102+Bucarest!F6*Bucarest!F$102+Magdalena!F6*Magdalena!F$102+BFC!F6*BFC!F$102</f>
        <v>11926</v>
      </c>
      <c r="G6" s="3">
        <f>+Descubrimiento!G6*Descubrimiento!G$103+'Rentas SpA'!G6*'Rentas SpA'!G$102+'Pza Const'!G6*'Pza Const'!G$102+'Pza Arauc'!G6*'Pza Arauc'!G$102+RRetail!G6*RRetail!G$102+Bucarest!G6*Bucarest!G$102+Magdalena!G6*Magdalena!G$102+BFC!G6*BFC!G$102</f>
        <v>2939</v>
      </c>
      <c r="H6" s="3">
        <f>+Descubrimiento!H6*Descubrimiento!H$103+'Rentas SpA'!H6*'Rentas SpA'!H$102+'Pza Const'!H6*'Pza Const'!H$102+'Pza Arauc'!H6*'Pza Arauc'!H$102+RRetail!H6*RRetail!H$102+Bucarest!H6*Bucarest!H$102+Magdalena!H6*Magdalena!H$102+BFC!H6*BFC!H$102</f>
        <v>5983</v>
      </c>
      <c r="I6" s="3">
        <f>+Descubrimiento!I6*Descubrimiento!I$103+'Rentas SpA'!I6*'Rentas SpA'!I$102+'Pza Const'!I6*'Pza Const'!I$102+'Pza Arauc'!I6*'Pza Arauc'!I$102+RRetail!I6*RRetail!I$102+Bucarest!I6*Bucarest!I$102+Magdalena!I6*Magdalena!I$102+BFC!I6*BFC!I$102</f>
        <v>9072</v>
      </c>
      <c r="J6" s="3">
        <f>+Descubrimiento!J6*Descubrimiento!J$103+'Rentas SpA'!J6*'Rentas SpA'!J$102+'Pza Const'!J6*'Pza Const'!J$102+'Pza Arauc'!J6*'Pza Arauc'!J$102+RRetail!J6*RRetail!J$102+Bucarest!J6*Bucarest!J$102+Magdalena!J6*Magdalena!J$102+BFC!J6*BFC!J$102</f>
        <v>12249</v>
      </c>
      <c r="K6" s="3">
        <f>+Descubrimiento!K6*Descubrimiento!K$103+'Rentas SpA'!K6*'Rentas SpA'!K$102+'Pza Const'!K6*'Pza Const'!K$102+'Pza Arauc'!K6*'Pza Arauc'!K$102+RRetail!K6*RRetail!K$102+Bucarest!K6*Bucarest!K$102+Magdalena!K6*Magdalena!K$102+BFC!K6*BFC!K$102</f>
        <v>6461</v>
      </c>
      <c r="L6" s="3">
        <f>+Descubrimiento!L6*Descubrimiento!L$103+'Rentas SpA'!L6*'Rentas SpA'!L$102+'Pza Const'!L6*'Pza Const'!L$102+'Pza Arauc'!L6*'Pza Arauc'!L$102+RRetail!L6*RRetail!L$102+Bucarest!L6*Bucarest!L$102+Magdalena!L6*Magdalena!L$102+BFC!L6*BFC!L$102</f>
        <v>0</v>
      </c>
      <c r="M6" s="3">
        <f>+Descubrimiento!M6*Descubrimiento!M$103+'Rentas SpA'!M6*'Rentas SpA'!M$102+'Pza Const'!M6*'Pza Const'!M$102+'Pza Arauc'!M6*'Pza Arauc'!M$102+RRetail!M6*RRetail!M$102+Bucarest!M6*Bucarest!M$102+Magdalena!M6*Magdalena!M$102+BFC!M6*BFC!M$102</f>
        <v>8982</v>
      </c>
      <c r="N6" s="3">
        <f>+Descubrimiento!N6*Descubrimiento!N$103+'Rentas SpA'!N6*'Rentas SpA'!N$102+'Pza Const'!N6*'Pza Const'!N$102+'Pza Arauc'!N6*'Pza Arauc'!N$102+RRetail!N6*RRetail!N$102+Bucarest!N6*Bucarest!N$102+Magdalena!N6*Magdalena!N$102+BFC!N6*BFC!N$102</f>
        <v>31104</v>
      </c>
      <c r="O6" s="3">
        <f>+Descubrimiento!O6*Descubrimiento!O$103+'Rentas SpA'!O6*'Rentas SpA'!O$102+'Pza Const'!O6*'Pza Const'!O$102+'Pza Arauc'!O6*'Pza Arauc'!O$102+RRetail!O6*RRetail!O$102+Bucarest!O6*Bucarest!O$102+Magdalena!O6*Magdalena!O$102+BFC!O6*BFC!O$102</f>
        <v>49311</v>
      </c>
      <c r="P6" s="3">
        <f>+Descubrimiento!P6*Descubrimiento!P$103+'Rentas SpA'!P6*'Rentas SpA'!P$102+'Pza Const'!P6*'Pza Const'!P$102+'Pza Arauc'!P6*'Pza Arauc'!P$102+RRetail!P6*RRetail!P$102+Bucarest!P6*Bucarest!P$102+Magdalena!P6*Magdalena!P$102+BFC!P6*BFC!P$102</f>
        <v>345324</v>
      </c>
      <c r="Q6" s="3">
        <f>+Descubrimiento!Q6*Descubrimiento!Q$103+'Rentas SpA'!Q6*'Rentas SpA'!Q$102+'Pza Const'!Q6*'Pza Const'!Q$102+'Pza Arauc'!Q6*'Pza Arauc'!Q$102+RRetail!Q6*RRetail!Q$102+Bucarest!Q6*Bucarest!Q$102+Magdalena!Q6*Magdalena!Q$102+BFC!Q6*BFC!Q$102</f>
        <v>384469</v>
      </c>
      <c r="R6" s="3">
        <f>+Descubrimiento!R6*Descubrimiento!R$103+'Rentas SpA'!R6*'Rentas SpA'!R$102+'Pza Const'!R6*'Pza Const'!R$102+'Pza Arauc'!R6*'Pza Arauc'!R$102+RRetail!R6*RRetail!R$102+Bucarest!R6*Bucarest!R$102+Magdalena!R6*Magdalena!R$102+BFC!R6*BFC!R$102</f>
        <v>367451</v>
      </c>
      <c r="S6" s="3">
        <f>+Descubrimiento!S6*Descubrimiento!S$103+'Rentas SpA'!S6*'Rentas SpA'!S$102+'Pza Const'!S6*'Pza Const'!S$102+'Pza Arauc'!S6*'Pza Arauc'!S$102+RRetail!S6*RRetail!S$102+Bucarest!S6*Bucarest!S$102+Magdalena!S6*Magdalena!S$102+BFC!S6*BFC!S$102</f>
        <v>412255</v>
      </c>
      <c r="T6" s="3">
        <f>+Descubrimiento!T6*Descubrimiento!T$103+'Rentas SpA'!T6*'Rentas SpA'!T$102+'Pza Const'!T6*'Pza Const'!T$102+'Pza Arauc'!T6*'Pza Arauc'!T$102+RRetail!T6*RRetail!T$102+Bucarest!T6*Bucarest!T$102+Magdalena!T6*Magdalena!T$102+BFC!T6*BFC!T$102</f>
        <v>-61270</v>
      </c>
      <c r="U6" s="3">
        <f>+Descubrimiento!U6*Descubrimiento!U$103+'Rentas SpA'!U6*'Rentas SpA'!U$102+'Pza Const'!U6*'Pza Const'!U$102+'Pza Arauc'!U6*'Pza Arauc'!U$102+RRetail!U6*RRetail!U$102+Bucarest!U6*Bucarest!U$102+Magdalena!U6*Magdalena!U$102+BFC!U6*BFC!U$102</f>
        <v>271758</v>
      </c>
      <c r="V6" s="3">
        <f>+Descubrimiento!V6*Descubrimiento!V$103+'Rentas SpA'!V6*'Rentas SpA'!V$102+'Pza Const'!V6*'Pza Const'!V$102+'Pza Arauc'!V6*'Pza Arauc'!V$102+RRetail!V6*RRetail!V$102+Bucarest!V6*Bucarest!V$102+Magdalena!V6*Magdalena!V$102+BFC!V6*BFC!V$102</f>
        <v>244630</v>
      </c>
      <c r="W6" s="3">
        <f>+Descubrimiento!W6*Descubrimiento!W$103+'Rentas SpA'!W6*'Rentas SpA'!W$102+'Pza Const'!W6*'Pza Const'!W$102+'Pza Arauc'!W6*'Pza Arauc'!W$102+RRetail!W6*RRetail!W$102+Bucarest!W6*Bucarest!W$102+Magdalena!W6*Magdalena!W$102+BFC!W6*BFC!W$102</f>
        <v>286787.59899999999</v>
      </c>
      <c r="X6" s="3">
        <f>+Descubrimiento!X6*Descubrimiento!X$103+'Rentas SpA'!X6*'Rentas SpA'!X$102+'Pza Const'!X6*'Pza Const'!X$102+'Pza Arauc'!X6*'Pza Arauc'!X$102+RRetail!X6*RRetail!X$102+Bucarest!X6*Bucarest!X$102+Magdalena!X6*Magdalena!X$102+BFC!X6*BFC!X$102</f>
        <v>797645.59100000001</v>
      </c>
      <c r="Y6" s="3">
        <f>+Descubrimiento!Y6*Descubrimiento!Y$103+'Rentas SpA'!Y6*'Rentas SpA'!Y$102+'Pza Const'!Y6*'Pza Const'!Y$102+'Pza Arauc'!Y6*'Pza Arauc'!Y$102+RRetail!Y6*RRetail!Y$102+Bucarest!Y6*Bucarest!Y$102+Magdalena!Y6*Magdalena!Y$102+BFC!Y6*BFC!Y$102</f>
        <v>296906.22100000002</v>
      </c>
      <c r="Z6" s="3">
        <f>+Descubrimiento!Z6*Descubrimiento!Z$103+'Rentas SpA'!Z6*'Rentas SpA'!Z$102+'Pza Const'!Z6*'Pza Const'!Z$102+'Pza Arauc'!Z6*'Pza Arauc'!Z$102+RRetail!Z6*RRetail!Z$102+Bucarest!Z6*Bucarest!Z$102+Magdalena!Z6*Magdalena!Z$102+BFC!Z6*BFC!Z$102</f>
        <v>8785</v>
      </c>
      <c r="AA6" s="3">
        <f>+Descubrimiento!AA6*Descubrimiento!AA$103+'Rentas SpA'!AA6*'Rentas SpA'!AA$102+'Pza Const'!AA6*'Pza Const'!AA$102+'Pza Arauc'!AA6*'Pza Arauc'!AA$102+RRetail!AA6*RRetail!AA$102+Bucarest!AA6*Bucarest!AA$102+Magdalena!AA6*Magdalena!AA$102+BFC!AA6*BFC!AA$102</f>
        <v>47757</v>
      </c>
      <c r="AB6" s="3">
        <f>+Descubrimiento!AB6*Descubrimiento!AB$103+'Rentas SpA'!AB6*'Rentas SpA'!AB$102+'Pza Const'!AB6*'Pza Const'!AB$102+'Pza Arauc'!AB6*'Pza Arauc'!AB$102+RRetail!AB6*RRetail!AB$102+Bucarest!AB6*Bucarest!AB$102+Magdalena!AB6*Magdalena!AB$102+BFC!AB6*BFC!AB$102</f>
        <v>299254</v>
      </c>
      <c r="AC6" s="3">
        <f>+Descubrimiento!AC6*Descubrimiento!AC$103+'Rentas SpA'!AC6*'Rentas SpA'!AC$102+'Pza Const'!AC6*'Pza Const'!AC$102+'Pza Arauc'!AC6*'Pza Arauc'!AC$102+RRetail!AC6*RRetail!AC$102+Bucarest!AC6*Bucarest!AC$102+Magdalena!AC6*Magdalena!AC$102+BFC!AC6*BFC!AC$102</f>
        <v>343056</v>
      </c>
      <c r="AD6" s="3">
        <f>+Descubrimiento!AD6*Descubrimiento!AD$103+'Rentas SpA'!AD6*'Rentas SpA'!AD$102+'Pza Const'!AD6*'Pza Const'!AD$102+'Pza Arauc'!AD6*'Pza Arauc'!AD$102+RRetail!AD6*RRetail!AD$102+Bucarest!AD6*Bucarest!AD$102+Magdalena!AD6*Magdalena!AD$102+BFC!AD6*BFC!AD$102</f>
        <v>3501480</v>
      </c>
      <c r="AE6" s="3">
        <f>+Descubrimiento!AE6*Descubrimiento!AE$103+'Rentas SpA'!AE6*'Rentas SpA'!AE$102+'Pza Const'!AE6*'Pza Const'!AE$102+'Pza Arauc'!AE6*'Pza Arauc'!AE$102+RRetail!AE6*RRetail!AE$102+Bucarest!AE6*Bucarest!AE$102+Magdalena!AE6*Magdalena!AE$102+BFC!AE6*BFC!AE$102</f>
        <v>3565988.2519999999</v>
      </c>
      <c r="AF6" s="3">
        <f>+Descubrimiento!AF6*Descubrimiento!AF$103+'Rentas SpA'!AF6*'Rentas SpA'!AF$102+'Pza Const'!AF6*'Pza Const'!AF$102+'Pza Arauc'!AF6*'Pza Arauc'!AF$102+RRetail!AF6*RRetail!AF$102+Bucarest!AF6*Bucarest!AF$102+Magdalena!AF6*Magdalena!AF$102+BFC!AF6*BFC!AF$102</f>
        <v>3250885</v>
      </c>
      <c r="AG6" s="3">
        <f>+Descubrimiento!AG6*Descubrimiento!AG$103+'Rentas SpA'!AG6*'Rentas SpA'!AG$102+'Pza Const'!AG6*'Pza Const'!AG$102+'Pza Arauc'!AG6*'Pza Arauc'!AG$102+RRetail!AG6*RRetail!AG$102+Bucarest!AG6*Bucarest!AG$102+Magdalena!AG6*Magdalena!AG$102+BFC!AG6*BFC!AG$102</f>
        <v>3310251</v>
      </c>
      <c r="AH6" s="3">
        <f>+Descubrimiento!AH6*Descubrimiento!AH$103+'Rentas SpA'!AH6*'Rentas SpA'!AH$102+'Pza Const'!AH6*'Pza Const'!AH$102+'Pza Arauc'!AH6*'Pza Arauc'!AH$102+RRetail!AH6*RRetail!AH$102+Bucarest!AH6*Bucarest!AH$102+Magdalena!AH6*Magdalena!AH$102+BFC!AH6*BFC!AH$102</f>
        <v>3376727</v>
      </c>
      <c r="AI6" s="3">
        <f>+Descubrimiento!AI6*Descubrimiento!AI$103+'Rentas SpA'!AI6*'Rentas SpA'!AI$102+'Pza Const'!AI6*'Pza Const'!AI$102+'Pza Arauc'!AI6*'Pza Arauc'!AI$102+RRetail!AI6*RRetail!AI$102+Bucarest!AI6*Bucarest!AI$102+Magdalena!AI6*Magdalena!AI$102+BFC!AI6*BFC!AI$102</f>
        <v>0</v>
      </c>
    </row>
    <row r="7" spans="1:35" x14ac:dyDescent="0.3">
      <c r="A7" s="1" t="s">
        <v>102</v>
      </c>
      <c r="B7" s="3">
        <f>+Descubrimiento!B7*Descubrimiento!B$103+'Rentas SpA'!B7*'Rentas SpA'!B$102+'Pza Const'!B7*'Pza Const'!B$102+'Pza Arauc'!B7*'Pza Arauc'!B$102+RRetail!B7*RRetail!B$102+Bucarest!B7*Bucarest!B$102+Magdalena!B7*Magdalena!B$102+BFC!B7*BFC!B$102</f>
        <v>828315</v>
      </c>
      <c r="C7" s="3">
        <f>+Descubrimiento!C7*Descubrimiento!C$103+'Rentas SpA'!C7*'Rentas SpA'!C$102+'Pza Const'!C7*'Pza Const'!C$102+'Pza Arauc'!C7*'Pza Arauc'!C$102+RRetail!C7*RRetail!C$102+Bucarest!C7*Bucarest!C$102+Magdalena!C7*Magdalena!C$102+BFC!C7*BFC!C$102</f>
        <v>455362</v>
      </c>
      <c r="D7" s="3">
        <f>+Descubrimiento!D7*Descubrimiento!D$103+'Rentas SpA'!D7*'Rentas SpA'!D$102+'Pza Const'!D7*'Pza Const'!D$102+'Pza Arauc'!D7*'Pza Arauc'!D$102+RRetail!D7*RRetail!D$102+Bucarest!D7*Bucarest!D$102+Magdalena!D7*Magdalena!D$102+BFC!D7*BFC!D$102</f>
        <v>487145</v>
      </c>
      <c r="E7" s="3">
        <f>+Descubrimiento!E7*Descubrimiento!E$103+'Rentas SpA'!E7*'Rentas SpA'!E$102+'Pza Const'!E7*'Pza Const'!E$102+'Pza Arauc'!E7*'Pza Arauc'!E$102+RRetail!E7*RRetail!E$102+Bucarest!E7*Bucarest!E$102+Magdalena!E7*Magdalena!E$102+BFC!E7*BFC!E$102</f>
        <v>333712</v>
      </c>
      <c r="F7" s="3">
        <f>+Descubrimiento!F7*Descubrimiento!F$103+'Rentas SpA'!F7*'Rentas SpA'!F$102+'Pza Const'!F7*'Pza Const'!F$102+'Pza Arauc'!F7*'Pza Arauc'!F$102+RRetail!F7*RRetail!F$102+Bucarest!F7*Bucarest!F$102+Magdalena!F7*Magdalena!F$102+BFC!F7*BFC!F$102</f>
        <v>438572</v>
      </c>
      <c r="G7" s="3">
        <f>+Descubrimiento!G7*Descubrimiento!G$103+'Rentas SpA'!G7*'Rentas SpA'!G$102+'Pza Const'!G7*'Pza Const'!G$102+'Pza Arauc'!G7*'Pza Arauc'!G$102+RRetail!G7*RRetail!G$102+Bucarest!G7*Bucarest!G$102+Magdalena!G7*Magdalena!G$102+BFC!G7*BFC!G$102</f>
        <v>339848</v>
      </c>
      <c r="H7" s="3">
        <f>+Descubrimiento!H7*Descubrimiento!H$103+'Rentas SpA'!H7*'Rentas SpA'!H$102+'Pza Const'!H7*'Pza Const'!H$102+'Pza Arauc'!H7*'Pza Arauc'!H$102+RRetail!H7*RRetail!H$102+Bucarest!H7*Bucarest!H$102+Magdalena!H7*Magdalena!H$102+BFC!H7*BFC!H$102</f>
        <v>293934</v>
      </c>
      <c r="I7" s="3">
        <f>+Descubrimiento!I7*Descubrimiento!I$103+'Rentas SpA'!I7*'Rentas SpA'!I$102+'Pza Const'!I7*'Pza Const'!I$102+'Pza Arauc'!I7*'Pza Arauc'!I$102+RRetail!I7*RRetail!I$102+Bucarest!I7*Bucarest!I$102+Magdalena!I7*Magdalena!I$102+BFC!I7*BFC!I$102</f>
        <v>260189</v>
      </c>
      <c r="J7" s="3">
        <f>+Descubrimiento!J7*Descubrimiento!J$103+'Rentas SpA'!J7*'Rentas SpA'!J$102+'Pza Const'!J7*'Pza Const'!J$102+'Pza Arauc'!J7*'Pza Arauc'!J$102+RRetail!J7*RRetail!J$102+Bucarest!J7*Bucarest!J$102+Magdalena!J7*Magdalena!J$102+BFC!J7*BFC!J$102</f>
        <v>534342</v>
      </c>
      <c r="K7" s="3">
        <f>+Descubrimiento!K7*Descubrimiento!K$103+'Rentas SpA'!K7*'Rentas SpA'!K$102+'Pza Const'!K7*'Pza Const'!K$102+'Pza Arauc'!K7*'Pza Arauc'!K$102+RRetail!K7*RRetail!K$102+Bucarest!K7*Bucarest!K$102+Magdalena!K7*Magdalena!K$102+BFC!K7*BFC!K$102</f>
        <v>527784</v>
      </c>
      <c r="L7" s="3">
        <f>+Descubrimiento!L7*Descubrimiento!L$103+'Rentas SpA'!L7*'Rentas SpA'!L$102+'Pza Const'!L7*'Pza Const'!L$102+'Pza Arauc'!L7*'Pza Arauc'!L$102+RRetail!L7*RRetail!L$102+Bucarest!L7*Bucarest!L$102+Magdalena!L7*Magdalena!L$102+BFC!L7*BFC!L$102</f>
        <v>384000</v>
      </c>
      <c r="M7" s="3">
        <f>+Descubrimiento!M7*Descubrimiento!M$103+'Rentas SpA'!M7*'Rentas SpA'!M$102+'Pza Const'!M7*'Pza Const'!M$102+'Pza Arauc'!M7*'Pza Arauc'!M$102+RRetail!M7*RRetail!M$102+Bucarest!M7*Bucarest!M$102+Magdalena!M7*Magdalena!M$102+BFC!M7*BFC!M$102</f>
        <v>264741</v>
      </c>
      <c r="N7" s="3">
        <f>+Descubrimiento!N7*Descubrimiento!N$103+'Rentas SpA'!N7*'Rentas SpA'!N$102+'Pza Const'!N7*'Pza Const'!N$102+'Pza Arauc'!N7*'Pza Arauc'!N$102+RRetail!N7*RRetail!N$102+Bucarest!N7*Bucarest!N$102+Magdalena!N7*Magdalena!N$102+BFC!N7*BFC!N$102</f>
        <v>457219.4</v>
      </c>
      <c r="O7" s="3">
        <f>+Descubrimiento!O7*Descubrimiento!O$103+'Rentas SpA'!O7*'Rentas SpA'!O$102+'Pza Const'!O7*'Pza Const'!O$102+'Pza Arauc'!O7*'Pza Arauc'!O$102+RRetail!O7*RRetail!O$102+Bucarest!O7*Bucarest!O$102+Magdalena!O7*Magdalena!O$102+BFC!O7*BFC!O$102</f>
        <v>403647.6</v>
      </c>
      <c r="P7" s="3">
        <f>+Descubrimiento!P7*Descubrimiento!P$103+'Rentas SpA'!P7*'Rentas SpA'!P$102+'Pza Const'!P7*'Pza Const'!P$102+'Pza Arauc'!P7*'Pza Arauc'!P$102+RRetail!P7*RRetail!P$102+Bucarest!P7*Bucarest!P$102+Magdalena!P7*Magdalena!P$102+BFC!P7*BFC!P$102</f>
        <v>2235167.6</v>
      </c>
      <c r="Q7" s="3">
        <f>+Descubrimiento!Q7*Descubrimiento!Q$103+'Rentas SpA'!Q7*'Rentas SpA'!Q$102+'Pza Const'!Q7*'Pza Const'!Q$102+'Pza Arauc'!Q7*'Pza Arauc'!Q$102+RRetail!Q7*RRetail!Q$102+Bucarest!Q7*Bucarest!Q$102+Magdalena!Q7*Magdalena!Q$102+BFC!Q7*BFC!Q$102</f>
        <v>4033656.6</v>
      </c>
      <c r="R7" s="3">
        <f>+Descubrimiento!R7*Descubrimiento!R$103+'Rentas SpA'!R7*'Rentas SpA'!R$102+'Pza Const'!R7*'Pza Const'!R$102+'Pza Arauc'!R7*'Pza Arauc'!R$102+RRetail!R7*RRetail!R$102+Bucarest!R7*Bucarest!R$102+Magdalena!R7*Magdalena!R$102+BFC!R7*BFC!R$102</f>
        <v>1113861.8</v>
      </c>
      <c r="S7" s="3">
        <f>+Descubrimiento!S7*Descubrimiento!S$103+'Rentas SpA'!S7*'Rentas SpA'!S$102+'Pza Const'!S7*'Pza Const'!S$102+'Pza Arauc'!S7*'Pza Arauc'!S$102+RRetail!S7*RRetail!S$102+Bucarest!S7*Bucarest!S$102+Magdalena!S7*Magdalena!S$102+BFC!S7*BFC!S$102</f>
        <v>853251.5</v>
      </c>
      <c r="T7" s="3">
        <f>+Descubrimiento!T7*Descubrimiento!T$103+'Rentas SpA'!T7*'Rentas SpA'!T$102+'Pza Const'!T7*'Pza Const'!T$102+'Pza Arauc'!T7*'Pza Arauc'!T$102+RRetail!T7*RRetail!T$102+Bucarest!T7*Bucarest!T$102+Magdalena!T7*Magdalena!T$102+BFC!T7*BFC!T$102</f>
        <v>5107076.5</v>
      </c>
      <c r="U7" s="3">
        <f>+Descubrimiento!U7*Descubrimiento!U$103+'Rentas SpA'!U7*'Rentas SpA'!U$102+'Pza Const'!U7*'Pza Const'!U$102+'Pza Arauc'!U7*'Pza Arauc'!U$102+RRetail!U7*RRetail!U$102+Bucarest!U7*Bucarest!U$102+Magdalena!U7*Magdalena!U$102+BFC!U7*BFC!U$102</f>
        <v>7265288.1999999993</v>
      </c>
      <c r="V7" s="3">
        <f>+Descubrimiento!V7*Descubrimiento!V$103+'Rentas SpA'!V7*'Rentas SpA'!V$102+'Pza Const'!V7*'Pza Const'!V$102+'Pza Arauc'!V7*'Pza Arauc'!V$102+RRetail!V7*RRetail!V$102+Bucarest!V7*Bucarest!V$102+Magdalena!V7*Magdalena!V$102+BFC!V7*BFC!V$102</f>
        <v>170069.3</v>
      </c>
      <c r="W7" s="3">
        <f>+Descubrimiento!W7*Descubrimiento!W$103+'Rentas SpA'!W7*'Rentas SpA'!W$102+'Pza Const'!W7*'Pza Const'!W$102+'Pza Arauc'!W7*'Pza Arauc'!W$102+RRetail!W7*RRetail!W$102+Bucarest!W7*Bucarest!W$102+Magdalena!W7*Magdalena!W$102+BFC!W7*BFC!W$102</f>
        <v>1632872.2999999998</v>
      </c>
      <c r="X7" s="3">
        <f>+Descubrimiento!X7*Descubrimiento!X$103+'Rentas SpA'!X7*'Rentas SpA'!X$102+'Pza Const'!X7*'Pza Const'!X$102+'Pza Arauc'!X7*'Pza Arauc'!X$102+RRetail!X7*RRetail!X$102+Bucarest!X7*Bucarest!X$102+Magdalena!X7*Magdalena!X$102+BFC!X7*BFC!X$102</f>
        <v>808725</v>
      </c>
      <c r="Y7" s="3">
        <f>+Descubrimiento!Y7*Descubrimiento!Y$103+'Rentas SpA'!Y7*'Rentas SpA'!Y$102+'Pza Const'!Y7*'Pza Const'!Y$102+'Pza Arauc'!Y7*'Pza Arauc'!Y$102+RRetail!Y7*RRetail!Y$102+Bucarest!Y7*Bucarest!Y$102+Magdalena!Y7*Magdalena!Y$102+BFC!Y7*BFC!Y$102</f>
        <v>1165527.8999999999</v>
      </c>
      <c r="Z7" s="3">
        <f>+Descubrimiento!Z7*Descubrimiento!Z$103+'Rentas SpA'!Z7*'Rentas SpA'!Z$102+'Pza Const'!Z7*'Pza Const'!Z$102+'Pza Arauc'!Z7*'Pza Arauc'!Z$102+RRetail!Z7*RRetail!Z$102+Bucarest!Z7*Bucarest!Z$102+Magdalena!Z7*Magdalena!Z$102+BFC!Z7*BFC!Z$102</f>
        <v>744946.6</v>
      </c>
      <c r="AA7" s="3">
        <f>+Descubrimiento!AA7*Descubrimiento!AA$103+'Rentas SpA'!AA7*'Rentas SpA'!AA$102+'Pza Const'!AA7*'Pza Const'!AA$102+'Pza Arauc'!AA7*'Pza Arauc'!AA$102+RRetail!AA7*RRetail!AA$102+Bucarest!AA7*Bucarest!AA$102+Magdalena!AA7*Magdalena!AA$102+BFC!AA7*BFC!AA$102</f>
        <v>799083</v>
      </c>
      <c r="AB7" s="3">
        <f>+Descubrimiento!AB7*Descubrimiento!AB$103+'Rentas SpA'!AB7*'Rentas SpA'!AB$102+'Pza Const'!AB7*'Pza Const'!AB$102+'Pza Arauc'!AB7*'Pza Arauc'!AB$102+RRetail!AB7*RRetail!AB$102+Bucarest!AB7*Bucarest!AB$102+Magdalena!AB7*Magdalena!AB$102+BFC!AB7*BFC!AB$102</f>
        <v>1352710.2</v>
      </c>
      <c r="AC7" s="3">
        <f>+Descubrimiento!AC7*Descubrimiento!AC$103+'Rentas SpA'!AC7*'Rentas SpA'!AC$102+'Pza Const'!AC7*'Pza Const'!AC$102+'Pza Arauc'!AC7*'Pza Arauc'!AC$102+RRetail!AC7*RRetail!AC$102+Bucarest!AC7*Bucarest!AC$102+Magdalena!AC7*Magdalena!AC$102+BFC!AC7*BFC!AC$102</f>
        <v>2279546</v>
      </c>
      <c r="AD7" s="3">
        <f>+Descubrimiento!AD7*Descubrimiento!AD$103+'Rentas SpA'!AD7*'Rentas SpA'!AD$102+'Pza Const'!AD7*'Pza Const'!AD$102+'Pza Arauc'!AD7*'Pza Arauc'!AD$102+RRetail!AD7*RRetail!AD$102+Bucarest!AD7*Bucarest!AD$102+Magdalena!AD7*Magdalena!AD$102+BFC!AD7*BFC!AD$102</f>
        <v>1735687.1</v>
      </c>
      <c r="AE7" s="3">
        <f>+Descubrimiento!AE7*Descubrimiento!AE$103+'Rentas SpA'!AE7*'Rentas SpA'!AE$102+'Pza Const'!AE7*'Pza Const'!AE$102+'Pza Arauc'!AE7*'Pza Arauc'!AE$102+RRetail!AE7*RRetail!AE$102+Bucarest!AE7*Bucarest!AE$102+Magdalena!AE7*Magdalena!AE$102+BFC!AE7*BFC!AE$102</f>
        <v>1500038.4</v>
      </c>
      <c r="AF7" s="3">
        <f>+Descubrimiento!AF7*Descubrimiento!AF$103+'Rentas SpA'!AF7*'Rentas SpA'!AF$102+'Pza Const'!AF7*'Pza Const'!AF$102+'Pza Arauc'!AF7*'Pza Arauc'!AF$102+RRetail!AF7*RRetail!AF$102+Bucarest!AF7*Bucarest!AF$102+Magdalena!AF7*Magdalena!AF$102+BFC!AF7*BFC!AF$102</f>
        <v>1288770.7</v>
      </c>
      <c r="AG7" s="3">
        <f>+Descubrimiento!AG7*Descubrimiento!AG$103+'Rentas SpA'!AG7*'Rentas SpA'!AG$102+'Pza Const'!AG7*'Pza Const'!AG$102+'Pza Arauc'!AG7*'Pza Arauc'!AG$102+RRetail!AG7*RRetail!AG$102+Bucarest!AG7*Bucarest!AG$102+Magdalena!AG7*Magdalena!AG$102+BFC!AG7*BFC!AG$102</f>
        <v>972435.1</v>
      </c>
      <c r="AH7" s="3">
        <f>+Descubrimiento!AH7*Descubrimiento!AH$103+'Rentas SpA'!AH7*'Rentas SpA'!AH$102+'Pza Const'!AH7*'Pza Const'!AH$102+'Pza Arauc'!AH7*'Pza Arauc'!AH$102+RRetail!AH7*RRetail!AH$102+Bucarest!AH7*Bucarest!AH$102+Magdalena!AH7*Magdalena!AH$102+BFC!AH7*BFC!AH$102</f>
        <v>879291.2</v>
      </c>
      <c r="AI7" s="3">
        <f>+Descubrimiento!AI7*Descubrimiento!AI$103+'Rentas SpA'!AI7*'Rentas SpA'!AI$102+'Pza Const'!AI7*'Pza Const'!AI$102+'Pza Arauc'!AI7*'Pza Arauc'!AI$102+RRetail!AI7*RRetail!AI$102+Bucarest!AI7*Bucarest!AI$102+Magdalena!AI7*Magdalena!AI$102+BFC!AI7*BFC!AI$102</f>
        <v>1973880.4</v>
      </c>
    </row>
    <row r="8" spans="1:35" x14ac:dyDescent="0.3">
      <c r="A8" s="1" t="s">
        <v>103</v>
      </c>
      <c r="B8" s="3">
        <f>+Descubrimiento!B8*Descubrimiento!B$103+'Rentas SpA'!B8*'Rentas SpA'!B$102+'Pza Const'!B8*'Pza Const'!B$102+'Pza Arauc'!B8*'Pza Arauc'!B$102+RRetail!B8*RRetail!B$102+Bucarest!B8*Bucarest!B$102+Magdalena!B8*Magdalena!B$102+BFC!B8*BFC!B$102</f>
        <v>8857238.5</v>
      </c>
      <c r="C8" s="3">
        <f>+Descubrimiento!C8*Descubrimiento!C$103+'Rentas SpA'!C8*'Rentas SpA'!C$102+'Pza Const'!C8*'Pza Const'!C$102+'Pza Arauc'!C8*'Pza Arauc'!C$102+RRetail!C8*RRetail!C$102+Bucarest!C8*Bucarest!C$102+Magdalena!C8*Magdalena!C$102+BFC!C8*BFC!C$102</f>
        <v>11926590.5</v>
      </c>
      <c r="D8" s="3">
        <f>+Descubrimiento!D8*Descubrimiento!D$103+'Rentas SpA'!D8*'Rentas SpA'!D$102+'Pza Const'!D8*'Pza Const'!D$102+'Pza Arauc'!D8*'Pza Arauc'!D$102+RRetail!D8*RRetail!D$102+Bucarest!D8*Bucarest!D$102+Magdalena!D8*Magdalena!D$102+BFC!D8*BFC!D$102</f>
        <v>4336019</v>
      </c>
      <c r="E8" s="3">
        <f>+Descubrimiento!E8*Descubrimiento!E$103+'Rentas SpA'!E8*'Rentas SpA'!E$102+'Pza Const'!E8*'Pza Const'!E$102+'Pza Arauc'!E8*'Pza Arauc'!E$102+RRetail!E8*RRetail!E$102+Bucarest!E8*Bucarest!E$102+Magdalena!E8*Magdalena!E$102+BFC!E8*BFC!E$102</f>
        <v>3127775</v>
      </c>
      <c r="F8" s="3">
        <f>+Descubrimiento!F8*Descubrimiento!F$103+'Rentas SpA'!F8*'Rentas SpA'!F$102+'Pza Const'!F8*'Pza Const'!F$102+'Pza Arauc'!F8*'Pza Arauc'!F$102+RRetail!F8*RRetail!F$102+Bucarest!F8*Bucarest!F$102+Magdalena!F8*Magdalena!F$102+BFC!F8*BFC!F$102</f>
        <v>14790732</v>
      </c>
      <c r="G8" s="3">
        <f>+Descubrimiento!G8*Descubrimiento!G$103+'Rentas SpA'!G8*'Rentas SpA'!G$102+'Pza Const'!G8*'Pza Const'!G$102+'Pza Arauc'!G8*'Pza Arauc'!G$102+RRetail!G8*RRetail!G$102+Bucarest!G8*Bucarest!G$102+Magdalena!G8*Magdalena!G$102+BFC!G8*BFC!G$102</f>
        <v>361825</v>
      </c>
      <c r="H8" s="3">
        <f>+Descubrimiento!H8*Descubrimiento!H$103+'Rentas SpA'!H8*'Rentas SpA'!H$102+'Pza Const'!H8*'Pza Const'!H$102+'Pza Arauc'!H8*'Pza Arauc'!H$102+RRetail!H8*RRetail!H$102+Bucarest!H8*Bucarest!H$102+Magdalena!H8*Magdalena!H$102+BFC!H8*BFC!H$102</f>
        <v>616467</v>
      </c>
      <c r="I8" s="3">
        <f>+Descubrimiento!I8*Descubrimiento!I$103+'Rentas SpA'!I8*'Rentas SpA'!I$102+'Pza Const'!I8*'Pza Const'!I$102+'Pza Arauc'!I8*'Pza Arauc'!I$102+RRetail!I8*RRetail!I$102+Bucarest!I8*Bucarest!I$102+Magdalena!I8*Magdalena!I$102+BFC!I8*BFC!I$102</f>
        <v>4881438</v>
      </c>
      <c r="J8" s="3">
        <f>+Descubrimiento!J8*Descubrimiento!J$103+'Rentas SpA'!J8*'Rentas SpA'!J$102+'Pza Const'!J8*'Pza Const'!J$102+'Pza Arauc'!J8*'Pza Arauc'!J$102+RRetail!J8*RRetail!J$102+Bucarest!J8*Bucarest!J$102+Magdalena!J8*Magdalena!J$102+BFC!J8*BFC!J$102</f>
        <v>691002</v>
      </c>
      <c r="K8" s="3">
        <f>+Descubrimiento!K8*Descubrimiento!K$103+'Rentas SpA'!K8*'Rentas SpA'!K$102+'Pza Const'!K8*'Pza Const'!K$102+'Pza Arauc'!K8*'Pza Arauc'!K$102+RRetail!K8*RRetail!K$102+Bucarest!K8*Bucarest!K$102+Magdalena!K8*Magdalena!K$102+BFC!K8*BFC!K$102</f>
        <v>456889</v>
      </c>
      <c r="L8" s="3">
        <f>+Descubrimiento!L8*Descubrimiento!L$103+'Rentas SpA'!L8*'Rentas SpA'!L$102+'Pza Const'!L8*'Pza Const'!L$102+'Pza Arauc'!L8*'Pza Arauc'!L$102+RRetail!L8*RRetail!L$102+Bucarest!L8*Bucarest!L$102+Magdalena!L8*Magdalena!L$102+BFC!L8*BFC!L$102</f>
        <v>1355667</v>
      </c>
      <c r="M8" s="3">
        <f>+Descubrimiento!M8*Descubrimiento!M$103+'Rentas SpA'!M8*'Rentas SpA'!M$102+'Pza Const'!M8*'Pza Const'!M$102+'Pza Arauc'!M8*'Pza Arauc'!M$102+RRetail!M8*RRetail!M$102+Bucarest!M8*Bucarest!M$102+Magdalena!M8*Magdalena!M$102+BFC!M8*BFC!M$102</f>
        <v>1129084</v>
      </c>
      <c r="N8" s="3">
        <f>+Descubrimiento!N8*Descubrimiento!N$103+'Rentas SpA'!N8*'Rentas SpA'!N$102+'Pza Const'!N8*'Pza Const'!N$102+'Pza Arauc'!N8*'Pza Arauc'!N$102+RRetail!N8*RRetail!N$102+Bucarest!N8*Bucarest!N$102+Magdalena!N8*Magdalena!N$102+BFC!N8*BFC!N$102</f>
        <v>2785492.6</v>
      </c>
      <c r="O8" s="3">
        <f>+Descubrimiento!O8*Descubrimiento!O$103+'Rentas SpA'!O8*'Rentas SpA'!O$102+'Pza Const'!O8*'Pza Const'!O$102+'Pza Arauc'!O8*'Pza Arauc'!O$102+RRetail!O8*RRetail!O$102+Bucarest!O8*Bucarest!O$102+Magdalena!O8*Magdalena!O$102+BFC!O8*BFC!O$102</f>
        <v>1905277.2000000002</v>
      </c>
      <c r="P8" s="3">
        <f>+Descubrimiento!P8*Descubrimiento!P$103+'Rentas SpA'!P8*'Rentas SpA'!P$102+'Pza Const'!P8*'Pza Const'!P$102+'Pza Arauc'!P8*'Pza Arauc'!P$102+RRetail!P8*RRetail!P$102+Bucarest!P8*Bucarest!P$102+Magdalena!P8*Magdalena!P$102+BFC!P8*BFC!P$102</f>
        <v>2256163.6</v>
      </c>
      <c r="Q8" s="3">
        <f>+Descubrimiento!Q8*Descubrimiento!Q$103+'Rentas SpA'!Q8*'Rentas SpA'!Q$102+'Pza Const'!Q8*'Pza Const'!Q$102+'Pza Arauc'!Q8*'Pza Arauc'!Q$102+RRetail!Q8*RRetail!Q$102+Bucarest!Q8*Bucarest!Q$102+Magdalena!Q8*Magdalena!Q$102+BFC!Q8*BFC!Q$102</f>
        <v>1713779.2000000002</v>
      </c>
      <c r="R8" s="3">
        <f>+Descubrimiento!R8*Descubrimiento!R$103+'Rentas SpA'!R8*'Rentas SpA'!R$102+'Pza Const'!R8*'Pza Const'!R$102+'Pza Arauc'!R8*'Pza Arauc'!R$102+RRetail!R8*RRetail!R$102+Bucarest!R8*Bucarest!R$102+Magdalena!R8*Magdalena!R$102+BFC!R8*BFC!R$102</f>
        <v>2358021.5999999996</v>
      </c>
      <c r="S8" s="3">
        <f>+Descubrimiento!S8*Descubrimiento!S$103+'Rentas SpA'!S8*'Rentas SpA'!S$102+'Pza Const'!S8*'Pza Const'!S$102+'Pza Arauc'!S8*'Pza Arauc'!S$102+RRetail!S8*RRetail!S$102+Bucarest!S8*Bucarest!S$102+Magdalena!S8*Magdalena!S$102+BFC!S8*BFC!S$102</f>
        <v>2955783.1999999997</v>
      </c>
      <c r="T8" s="3">
        <f>+Descubrimiento!T8*Descubrimiento!T$103+'Rentas SpA'!T8*'Rentas SpA'!T$102+'Pza Const'!T8*'Pza Const'!T$102+'Pza Arauc'!T8*'Pza Arauc'!T$102+RRetail!T8*RRetail!T$102+Bucarest!T8*Bucarest!T$102+Magdalena!T8*Magdalena!T$102+BFC!T8*BFC!T$102</f>
        <v>3982213.0999999996</v>
      </c>
      <c r="U8" s="3">
        <f>+Descubrimiento!U8*Descubrimiento!U$103+'Rentas SpA'!U8*'Rentas SpA'!U$102+'Pza Const'!U8*'Pza Const'!U$102+'Pza Arauc'!U8*'Pza Arauc'!U$102+RRetail!U8*RRetail!U$102+Bucarest!U8*Bucarest!U$102+Magdalena!U8*Magdalena!U$102+BFC!U8*BFC!U$102</f>
        <v>3849976</v>
      </c>
      <c r="V8" s="3">
        <f>+Descubrimiento!V8*Descubrimiento!V$103+'Rentas SpA'!V8*'Rentas SpA'!V$102+'Pza Const'!V8*'Pza Const'!V$102+'Pza Arauc'!V8*'Pza Arauc'!V$102+RRetail!V8*RRetail!V$102+Bucarest!V8*Bucarest!V$102+Magdalena!V8*Magdalena!V$102+BFC!V8*BFC!V$102</f>
        <v>5142264.3999999994</v>
      </c>
      <c r="W8" s="3">
        <f>+Descubrimiento!W8*Descubrimiento!W$103+'Rentas SpA'!W8*'Rentas SpA'!W$102+'Pza Const'!W8*'Pza Const'!W$102+'Pza Arauc'!W8*'Pza Arauc'!W$102+RRetail!W8*RRetail!W$102+Bucarest!W8*Bucarest!W$102+Magdalena!W8*Magdalena!W$102+BFC!W8*BFC!W$102</f>
        <v>37873238.200000003</v>
      </c>
      <c r="X8" s="3">
        <f>+Descubrimiento!X8*Descubrimiento!X$103+'Rentas SpA'!X8*'Rentas SpA'!X$102+'Pza Const'!X8*'Pza Const'!X$102+'Pza Arauc'!X8*'Pza Arauc'!X$102+RRetail!X8*RRetail!X$102+Bucarest!X8*Bucarest!X$102+Magdalena!X8*Magdalena!X$102+BFC!X8*BFC!X$102</f>
        <v>5476069.7000000002</v>
      </c>
      <c r="Y8" s="3">
        <f>+Descubrimiento!Y8*Descubrimiento!Y$103+'Rentas SpA'!Y8*'Rentas SpA'!Y$102+'Pza Const'!Y8*'Pza Const'!Y$102+'Pza Arauc'!Y8*'Pza Arauc'!Y$102+RRetail!Y8*RRetail!Y$102+Bucarest!Y8*Bucarest!Y$102+Magdalena!Y8*Magdalena!Y$102+BFC!Y8*BFC!Y$102</f>
        <v>4847667.5999999996</v>
      </c>
      <c r="Z8" s="3">
        <f>+Descubrimiento!Z8*Descubrimiento!Z$103+'Rentas SpA'!Z8*'Rentas SpA'!Z$102+'Pza Const'!Z8*'Pza Const'!Z$102+'Pza Arauc'!Z8*'Pza Arauc'!Z$102+RRetail!Z8*RRetail!Z$102+Bucarest!Z8*Bucarest!Z$102+Magdalena!Z8*Magdalena!Z$102+BFC!Z8*BFC!Z$102</f>
        <v>5013754.4000000004</v>
      </c>
      <c r="AA8" s="3">
        <f>+Descubrimiento!AA8*Descubrimiento!AA$103+'Rentas SpA'!AA8*'Rentas SpA'!AA$102+'Pza Const'!AA8*'Pza Const'!AA$102+'Pza Arauc'!AA8*'Pza Arauc'!AA$102+RRetail!AA8*RRetail!AA$102+Bucarest!AA8*Bucarest!AA$102+Magdalena!AA8*Magdalena!AA$102+BFC!AA8*BFC!AA$102</f>
        <v>4188553.0999999996</v>
      </c>
      <c r="AB8" s="3">
        <f>+Descubrimiento!AB8*Descubrimiento!AB$103+'Rentas SpA'!AB8*'Rentas SpA'!AB$102+'Pza Const'!AB8*'Pza Const'!AB$102+'Pza Arauc'!AB8*'Pza Arauc'!AB$102+RRetail!AB8*RRetail!AB$102+Bucarest!AB8*Bucarest!AB$102+Magdalena!AB8*Magdalena!AB$102+BFC!AB8*BFC!AB$102</f>
        <v>4374137.5999999996</v>
      </c>
      <c r="AC8" s="3">
        <f>+Descubrimiento!AC8*Descubrimiento!AC$103+'Rentas SpA'!AC8*'Rentas SpA'!AC$102+'Pza Const'!AC8*'Pza Const'!AC$102+'Pza Arauc'!AC8*'Pza Arauc'!AC$102+RRetail!AC8*RRetail!AC$102+Bucarest!AC8*Bucarest!AC$102+Magdalena!AC8*Magdalena!AC$102+BFC!AC8*BFC!AC$102</f>
        <v>4622662.2</v>
      </c>
      <c r="AD8" s="3">
        <f>+Descubrimiento!AD8*Descubrimiento!AD$103+'Rentas SpA'!AD8*'Rentas SpA'!AD$102+'Pza Const'!AD8*'Pza Const'!AD$102+'Pza Arauc'!AD8*'Pza Arauc'!AD$102+RRetail!AD8*RRetail!AD$102+Bucarest!AD8*Bucarest!AD$102+Magdalena!AD8*Magdalena!AD$102+BFC!AD8*BFC!AD$102</f>
        <v>4559869.4000000004</v>
      </c>
      <c r="AE8" s="3">
        <f>+Descubrimiento!AE8*Descubrimiento!AE$103+'Rentas SpA'!AE8*'Rentas SpA'!AE$102+'Pza Const'!AE8*'Pza Const'!AE$102+'Pza Arauc'!AE8*'Pza Arauc'!AE$102+RRetail!AE8*RRetail!AE$102+Bucarest!AE8*Bucarest!AE$102+Magdalena!AE8*Magdalena!AE$102+BFC!AE8*BFC!AE$102</f>
        <v>4525775.7</v>
      </c>
      <c r="AF8" s="3">
        <f>+Descubrimiento!AF8*Descubrimiento!AF$103+'Rentas SpA'!AF8*'Rentas SpA'!AF$102+'Pza Const'!AF8*'Pza Const'!AF$102+'Pza Arauc'!AF8*'Pza Arauc'!AF$102+RRetail!AF8*RRetail!AF$102+Bucarest!AF8*Bucarest!AF$102+Magdalena!AF8*Magdalena!AF$102+BFC!AF8*BFC!AF$102</f>
        <v>4032966.3</v>
      </c>
      <c r="AG8" s="3">
        <f>+Descubrimiento!AG8*Descubrimiento!AG$103+'Rentas SpA'!AG8*'Rentas SpA'!AG$102+'Pza Const'!AG8*'Pza Const'!AG$102+'Pza Arauc'!AG8*'Pza Arauc'!AG$102+RRetail!AG8*RRetail!AG$102+Bucarest!AG8*Bucarest!AG$102+Magdalena!AG8*Magdalena!AG$102+BFC!AG8*BFC!AG$102</f>
        <v>3962295.3</v>
      </c>
      <c r="AH8" s="3">
        <f>+Descubrimiento!AH8*Descubrimiento!AH$103+'Rentas SpA'!AH8*'Rentas SpA'!AH$102+'Pza Const'!AH8*'Pza Const'!AH$102+'Pza Arauc'!AH8*'Pza Arauc'!AH$102+RRetail!AH8*RRetail!AH$102+Bucarest!AH8*Bucarest!AH$102+Magdalena!AH8*Magdalena!AH$102+BFC!AH8*BFC!AH$102</f>
        <v>5784087.0999999996</v>
      </c>
      <c r="AI8" s="3">
        <f>+Descubrimiento!AI8*Descubrimiento!AI$103+'Rentas SpA'!AI8*'Rentas SpA'!AI$102+'Pza Const'!AI8*'Pza Const'!AI$102+'Pza Arauc'!AI8*'Pza Arauc'!AI$102+RRetail!AI8*RRetail!AI$102+Bucarest!AI8*Bucarest!AI$102+Magdalena!AI8*Magdalena!AI$102+BFC!AI8*BFC!AI$102</f>
        <v>6165489.6999999993</v>
      </c>
    </row>
    <row r="9" spans="1:35" x14ac:dyDescent="0.3">
      <c r="A9" s="1" t="s">
        <v>104</v>
      </c>
      <c r="B9" s="3">
        <f>+Descubrimiento!B9*Descubrimiento!B$103+'Rentas SpA'!B9*'Rentas SpA'!B$102+'Pza Const'!B9*'Pza Const'!B$102+'Pza Arauc'!B9*'Pza Arauc'!B$102+RRetail!B9*RRetail!B$102+Bucarest!B9*Bucarest!B$102+Magdalena!B9*Magdalena!B$102+BFC!B9*BFC!B$102</f>
        <v>0</v>
      </c>
      <c r="C9" s="3">
        <f>+Descubrimiento!C9*Descubrimiento!C$103+'Rentas SpA'!C9*'Rentas SpA'!C$102+'Pza Const'!C9*'Pza Const'!C$102+'Pza Arauc'!C9*'Pza Arauc'!C$102+RRetail!C9*RRetail!C$102+Bucarest!C9*Bucarest!C$102+Magdalena!C9*Magdalena!C$102+BFC!C9*BFC!C$102</f>
        <v>4000</v>
      </c>
      <c r="D9" s="3">
        <f>+Descubrimiento!D9*Descubrimiento!D$103+'Rentas SpA'!D9*'Rentas SpA'!D$102+'Pza Const'!D9*'Pza Const'!D$102+'Pza Arauc'!D9*'Pza Arauc'!D$102+RRetail!D9*RRetail!D$102+Bucarest!D9*Bucarest!D$102+Magdalena!D9*Magdalena!D$102+BFC!D9*BFC!D$102</f>
        <v>0</v>
      </c>
      <c r="E9" s="3">
        <f>+Descubrimiento!E9*Descubrimiento!E$103+'Rentas SpA'!E9*'Rentas SpA'!E$102+'Pza Const'!E9*'Pza Const'!E$102+'Pza Arauc'!E9*'Pza Arauc'!E$102+RRetail!E9*RRetail!E$102+Bucarest!E9*Bucarest!E$102+Magdalena!E9*Magdalena!E$102+BFC!E9*BFC!E$102</f>
        <v>150000</v>
      </c>
      <c r="F9" s="3">
        <f>+Descubrimiento!F9*Descubrimiento!F$103+'Rentas SpA'!F9*'Rentas SpA'!F$102+'Pza Const'!F9*'Pza Const'!F$102+'Pza Arauc'!F9*'Pza Arauc'!F$102+RRetail!F9*RRetail!F$102+Bucarest!F9*Bucarest!F$102+Magdalena!F9*Magdalena!F$102+BFC!F9*BFC!F$102</f>
        <v>2029194</v>
      </c>
      <c r="G9" s="3">
        <f>+Descubrimiento!G9*Descubrimiento!G$103+'Rentas SpA'!G9*'Rentas SpA'!G$102+'Pza Const'!G9*'Pza Const'!G$102+'Pza Arauc'!G9*'Pza Arauc'!G$102+RRetail!G9*RRetail!G$102+Bucarest!G9*Bucarest!G$102+Magdalena!G9*Magdalena!G$102+BFC!G9*BFC!G$102</f>
        <v>20</v>
      </c>
      <c r="H9" s="3">
        <f>+Descubrimiento!H9*Descubrimiento!H$103+'Rentas SpA'!H9*'Rentas SpA'!H$102+'Pza Const'!H9*'Pza Const'!H$102+'Pza Arauc'!H9*'Pza Arauc'!H$102+RRetail!H9*RRetail!H$102+Bucarest!H9*Bucarest!H$102+Magdalena!H9*Magdalena!H$102+BFC!H9*BFC!H$102</f>
        <v>308661</v>
      </c>
      <c r="I9" s="3">
        <f>+Descubrimiento!I9*Descubrimiento!I$103+'Rentas SpA'!I9*'Rentas SpA'!I$102+'Pza Const'!I9*'Pza Const'!I$102+'Pza Arauc'!I9*'Pza Arauc'!I$102+RRetail!I9*RRetail!I$102+Bucarest!I9*Bucarest!I$102+Magdalena!I9*Magdalena!I$102+BFC!I9*BFC!I$102</f>
        <v>20</v>
      </c>
      <c r="J9" s="3">
        <f>+Descubrimiento!J9*Descubrimiento!J$103+'Rentas SpA'!J9*'Rentas SpA'!J$102+'Pza Const'!J9*'Pza Const'!J$102+'Pza Arauc'!J9*'Pza Arauc'!J$102+RRetail!J9*RRetail!J$102+Bucarest!J9*Bucarest!J$102+Magdalena!J9*Magdalena!J$102+BFC!J9*BFC!J$102</f>
        <v>0</v>
      </c>
      <c r="K9" s="3">
        <f>+Descubrimiento!K9*Descubrimiento!K$103+'Rentas SpA'!K9*'Rentas SpA'!K$102+'Pza Const'!K9*'Pza Const'!K$102+'Pza Arauc'!K9*'Pza Arauc'!K$102+RRetail!K9*RRetail!K$102+Bucarest!K9*Bucarest!K$102+Magdalena!K9*Magdalena!K$102+BFC!K9*BFC!K$102</f>
        <v>0</v>
      </c>
      <c r="L9" s="3">
        <f>+Descubrimiento!L9*Descubrimiento!L$103+'Rentas SpA'!L9*'Rentas SpA'!L$102+'Pza Const'!L9*'Pza Const'!L$102+'Pza Arauc'!L9*'Pza Arauc'!L$102+RRetail!L9*RRetail!L$102+Bucarest!L9*Bucarest!L$102+Magdalena!L9*Magdalena!L$102+BFC!L9*BFC!L$102</f>
        <v>52000</v>
      </c>
      <c r="M9" s="3">
        <f>+Descubrimiento!M9*Descubrimiento!M$103+'Rentas SpA'!M9*'Rentas SpA'!M$102+'Pza Const'!M9*'Pza Const'!M$102+'Pza Arauc'!M9*'Pza Arauc'!M$102+RRetail!M9*RRetail!M$102+Bucarest!M9*Bucarest!M$102+Magdalena!M9*Magdalena!M$102+BFC!M9*BFC!M$102</f>
        <v>0</v>
      </c>
      <c r="N9" s="3">
        <f>+Descubrimiento!N9*Descubrimiento!N$103+'Rentas SpA'!N9*'Rentas SpA'!N$102+'Pza Const'!N9*'Pza Const'!N$102+'Pza Arauc'!N9*'Pza Arauc'!N$102+RRetail!N9*RRetail!N$102+Bucarest!N9*Bucarest!N$102+Magdalena!N9*Magdalena!N$102+BFC!N9*BFC!N$102</f>
        <v>0</v>
      </c>
      <c r="O9" s="3">
        <f>+Descubrimiento!O9*Descubrimiento!O$103+'Rentas SpA'!O9*'Rentas SpA'!O$102+'Pza Const'!O9*'Pza Const'!O$102+'Pza Arauc'!O9*'Pza Arauc'!O$102+RRetail!O9*RRetail!O$102+Bucarest!O9*Bucarest!O$102+Magdalena!O9*Magdalena!O$102+BFC!O9*BFC!O$102</f>
        <v>5817</v>
      </c>
      <c r="P9" s="3">
        <f>+Descubrimiento!P9*Descubrimiento!P$103+'Rentas SpA'!P9*'Rentas SpA'!P$102+'Pza Const'!P9*'Pza Const'!P$102+'Pza Arauc'!P9*'Pza Arauc'!P$102+RRetail!P9*RRetail!P$102+Bucarest!P9*Bucarest!P$102+Magdalena!P9*Magdalena!P$102+BFC!P9*BFC!P$102</f>
        <v>292000</v>
      </c>
      <c r="Q9" s="3">
        <f>+Descubrimiento!Q9*Descubrimiento!Q$103+'Rentas SpA'!Q9*'Rentas SpA'!Q$102+'Pza Const'!Q9*'Pza Const'!Q$102+'Pza Arauc'!Q9*'Pza Arauc'!Q$102+RRetail!Q9*RRetail!Q$102+Bucarest!Q9*Bucarest!Q$102+Magdalena!Q9*Magdalena!Q$102+BFC!Q9*BFC!Q$102</f>
        <v>0</v>
      </c>
      <c r="R9" s="3">
        <f>+Descubrimiento!R9*Descubrimiento!R$103+'Rentas SpA'!R9*'Rentas SpA'!R$102+'Pza Const'!R9*'Pza Const'!R$102+'Pza Arauc'!R9*'Pza Arauc'!R$102+RRetail!R9*RRetail!R$102+Bucarest!R9*Bucarest!R$102+Magdalena!R9*Magdalena!R$102+BFC!R9*BFC!R$102</f>
        <v>0</v>
      </c>
      <c r="S9" s="3">
        <f>+Descubrimiento!S9*Descubrimiento!S$103+'Rentas SpA'!S9*'Rentas SpA'!S$102+'Pza Const'!S9*'Pza Const'!S$102+'Pza Arauc'!S9*'Pza Arauc'!S$102+RRetail!S9*RRetail!S$102+Bucarest!S9*Bucarest!S$102+Magdalena!S9*Magdalena!S$102+BFC!S9*BFC!S$102</f>
        <v>0</v>
      </c>
      <c r="T9" s="3">
        <f>+Descubrimiento!T9*Descubrimiento!T$103+'Rentas SpA'!T9*'Rentas SpA'!T$102+'Pza Const'!T9*'Pza Const'!T$102+'Pza Arauc'!T9*'Pza Arauc'!T$102+RRetail!T9*RRetail!T$102+Bucarest!T9*Bucarest!T$102+Magdalena!T9*Magdalena!T$102+BFC!T9*BFC!T$102</f>
        <v>0</v>
      </c>
      <c r="U9" s="3">
        <f>+Descubrimiento!U9*Descubrimiento!U$103+'Rentas SpA'!U9*'Rentas SpA'!U$102+'Pza Const'!U9*'Pza Const'!U$102+'Pza Arauc'!U9*'Pza Arauc'!U$102+RRetail!U9*RRetail!U$102+Bucarest!U9*Bucarest!U$102+Magdalena!U9*Magdalena!U$102+BFC!U9*BFC!U$102</f>
        <v>0</v>
      </c>
      <c r="V9" s="3">
        <f>+Descubrimiento!V9*Descubrimiento!V$103+'Rentas SpA'!V9*'Rentas SpA'!V$102+'Pza Const'!V9*'Pza Const'!V$102+'Pza Arauc'!V9*'Pza Arauc'!V$102+RRetail!V9*RRetail!V$102+Bucarest!V9*Bucarest!V$102+Magdalena!V9*Magdalena!V$102+BFC!V9*BFC!V$102</f>
        <v>0</v>
      </c>
      <c r="W9" s="3">
        <f>+Descubrimiento!W9*Descubrimiento!W$103+'Rentas SpA'!W9*'Rentas SpA'!W$102+'Pza Const'!W9*'Pza Const'!W$102+'Pza Arauc'!W9*'Pza Arauc'!W$102+RRetail!W9*RRetail!W$102+Bucarest!W9*Bucarest!W$102+Magdalena!W9*Magdalena!W$102+BFC!W9*BFC!W$102</f>
        <v>0</v>
      </c>
      <c r="X9" s="3">
        <f>+Descubrimiento!X9*Descubrimiento!X$103+'Rentas SpA'!X9*'Rentas SpA'!X$102+'Pza Const'!X9*'Pza Const'!X$102+'Pza Arauc'!X9*'Pza Arauc'!X$102+RRetail!X9*RRetail!X$102+Bucarest!X9*Bucarest!X$102+Magdalena!X9*Magdalena!X$102+BFC!X9*BFC!X$102</f>
        <v>0</v>
      </c>
      <c r="Y9" s="3">
        <f>+Descubrimiento!Y9*Descubrimiento!Y$103+'Rentas SpA'!Y9*'Rentas SpA'!Y$102+'Pza Const'!Y9*'Pza Const'!Y$102+'Pza Arauc'!Y9*'Pza Arauc'!Y$102+RRetail!Y9*RRetail!Y$102+Bucarest!Y9*Bucarest!Y$102+Magdalena!Y9*Magdalena!Y$102+BFC!Y9*BFC!Y$102</f>
        <v>0</v>
      </c>
      <c r="Z9" s="3">
        <f>+Descubrimiento!Z9*Descubrimiento!Z$103+'Rentas SpA'!Z9*'Rentas SpA'!Z$102+'Pza Const'!Z9*'Pza Const'!Z$102+'Pza Arauc'!Z9*'Pza Arauc'!Z$102+RRetail!Z9*RRetail!Z$102+Bucarest!Z9*Bucarest!Z$102+Magdalena!Z9*Magdalena!Z$102+BFC!Z9*BFC!Z$102</f>
        <v>0</v>
      </c>
      <c r="AA9" s="3">
        <f>+Descubrimiento!AA9*Descubrimiento!AA$103+'Rentas SpA'!AA9*'Rentas SpA'!AA$102+'Pza Const'!AA9*'Pza Const'!AA$102+'Pza Arauc'!AA9*'Pza Arauc'!AA$102+RRetail!AA9*RRetail!AA$102+Bucarest!AA9*Bucarest!AA$102+Magdalena!AA9*Magdalena!AA$102+BFC!AA9*BFC!AA$102</f>
        <v>247169.99999999997</v>
      </c>
      <c r="AB9" s="3">
        <f>+Descubrimiento!AB9*Descubrimiento!AB$103+'Rentas SpA'!AB9*'Rentas SpA'!AB$102+'Pza Const'!AB9*'Pza Const'!AB$102+'Pza Arauc'!AB9*'Pza Arauc'!AB$102+RRetail!AB9*RRetail!AB$102+Bucarest!AB9*Bucarest!AB$102+Magdalena!AB9*Magdalena!AB$102+BFC!AB9*BFC!AB$102</f>
        <v>40000</v>
      </c>
      <c r="AC9" s="3">
        <f>+Descubrimiento!AC9*Descubrimiento!AC$103+'Rentas SpA'!AC9*'Rentas SpA'!AC$102+'Pza Const'!AC9*'Pza Const'!AC$102+'Pza Arauc'!AC9*'Pza Arauc'!AC$102+RRetail!AC9*RRetail!AC$102+Bucarest!AC9*Bucarest!AC$102+Magdalena!AC9*Magdalena!AC$102+BFC!AC9*BFC!AC$102</f>
        <v>770000</v>
      </c>
      <c r="AD9" s="3">
        <f>+Descubrimiento!AD9*Descubrimiento!AD$103+'Rentas SpA'!AD9*'Rentas SpA'!AD$102+'Pza Const'!AD9*'Pza Const'!AD$102+'Pza Arauc'!AD9*'Pza Arauc'!AD$102+RRetail!AD9*RRetail!AD$102+Bucarest!AD9*Bucarest!AD$102+Magdalena!AD9*Magdalena!AD$102+BFC!AD9*BFC!AD$102</f>
        <v>21063</v>
      </c>
      <c r="AE9" s="3">
        <f>+Descubrimiento!AE9*Descubrimiento!AE$103+'Rentas SpA'!AE9*'Rentas SpA'!AE$102+'Pza Const'!AE9*'Pza Const'!AE$102+'Pza Arauc'!AE9*'Pza Arauc'!AE$102+RRetail!AE9*RRetail!AE$102+Bucarest!AE9*Bucarest!AE$102+Magdalena!AE9*Magdalena!AE$102+BFC!AE9*BFC!AE$102</f>
        <v>74324</v>
      </c>
      <c r="AF9" s="3">
        <f>+Descubrimiento!AF9*Descubrimiento!AF$103+'Rentas SpA'!AF9*'Rentas SpA'!AF$102+'Pza Const'!AF9*'Pza Const'!AF$102+'Pza Arauc'!AF9*'Pza Arauc'!AF$102+RRetail!AF9*RRetail!AF$102+Bucarest!AF9*Bucarest!AF$102+Magdalena!AF9*Magdalena!AF$102+BFC!AF9*BFC!AF$102</f>
        <v>318000</v>
      </c>
      <c r="AG9" s="3">
        <f>+Descubrimiento!AG9*Descubrimiento!AG$103+'Rentas SpA'!AG9*'Rentas SpA'!AG$102+'Pza Const'!AG9*'Pza Const'!AG$102+'Pza Arauc'!AG9*'Pza Arauc'!AG$102+RRetail!AG9*RRetail!AG$102+Bucarest!AG9*Bucarest!AG$102+Magdalena!AG9*Magdalena!AG$102+BFC!AG9*BFC!AG$102</f>
        <v>598000</v>
      </c>
      <c r="AH9" s="3">
        <f>+Descubrimiento!AH9*Descubrimiento!AH$103+'Rentas SpA'!AH9*'Rentas SpA'!AH$102+'Pza Const'!AH9*'Pza Const'!AH$102+'Pza Arauc'!AH9*'Pza Arauc'!AH$102+RRetail!AH9*RRetail!AH$102+Bucarest!AH9*Bucarest!AH$102+Magdalena!AH9*Magdalena!AH$102+BFC!AH9*BFC!AH$102</f>
        <v>106000</v>
      </c>
      <c r="AI9" s="3">
        <f>+Descubrimiento!AI9*Descubrimiento!AI$103+'Rentas SpA'!AI9*'Rentas SpA'!AI$102+'Pza Const'!AI9*'Pza Const'!AI$102+'Pza Arauc'!AI9*'Pza Arauc'!AI$102+RRetail!AI9*RRetail!AI$102+Bucarest!AI9*Bucarest!AI$102+Magdalena!AI9*Magdalena!AI$102+BFC!AI9*BFC!AI$102</f>
        <v>106000</v>
      </c>
    </row>
    <row r="10" spans="1:35" x14ac:dyDescent="0.3">
      <c r="A10" s="1" t="s">
        <v>105</v>
      </c>
      <c r="B10" s="3">
        <f>+Descubrimiento!B10*Descubrimiento!B$103+'Rentas SpA'!B10*'Rentas SpA'!B$102+'Pza Const'!B10*'Pza Const'!B$102+'Pza Arauc'!B10*'Pza Arauc'!B$102+RRetail!B10*RRetail!B$102+Bucarest!B10*Bucarest!B$102+Magdalena!B10*Magdalena!B$102+BFC!B10*BFC!B$102</f>
        <v>6780773.5</v>
      </c>
      <c r="C10" s="3">
        <f>+Descubrimiento!C10*Descubrimiento!C$103+'Rentas SpA'!C10*'Rentas SpA'!C$102+'Pza Const'!C10*'Pza Const'!C$102+'Pza Arauc'!C10*'Pza Arauc'!C$102+RRetail!C10*RRetail!C$102+Bucarest!C10*Bucarest!C$102+Magdalena!C10*Magdalena!C$102+BFC!C10*BFC!C$102</f>
        <v>7187075.5</v>
      </c>
      <c r="D10" s="3">
        <f>+Descubrimiento!D10*Descubrimiento!D$103+'Rentas SpA'!D10*'Rentas SpA'!D$102+'Pza Const'!D10*'Pza Const'!D$102+'Pza Arauc'!D10*'Pza Arauc'!D$102+RRetail!D10*RRetail!D$102+Bucarest!D10*Bucarest!D$102+Magdalena!D10*Magdalena!D$102+BFC!D10*BFC!D$102</f>
        <v>9372357</v>
      </c>
      <c r="E10" s="3">
        <f>+Descubrimiento!E10*Descubrimiento!E$103+'Rentas SpA'!E10*'Rentas SpA'!E$102+'Pza Const'!E10*'Pza Const'!E$102+'Pza Arauc'!E10*'Pza Arauc'!E$102+RRetail!E10*RRetail!E$102+Bucarest!E10*Bucarest!E$102+Magdalena!E10*Magdalena!E$102+BFC!E10*BFC!E$102</f>
        <v>11157971</v>
      </c>
      <c r="F10" s="3">
        <f>+Descubrimiento!F10*Descubrimiento!F$103+'Rentas SpA'!F10*'Rentas SpA'!F$102+'Pza Const'!F10*'Pza Const'!F$102+'Pza Arauc'!F10*'Pza Arauc'!F$102+RRetail!F10*RRetail!F$102+Bucarest!F10*Bucarest!F$102+Magdalena!F10*Magdalena!F$102+BFC!F10*BFC!F$102</f>
        <v>9108390</v>
      </c>
      <c r="G10" s="3">
        <f>+Descubrimiento!G10*Descubrimiento!G$103+'Rentas SpA'!G10*'Rentas SpA'!G$102+'Pza Const'!G10*'Pza Const'!G$102+'Pza Arauc'!G10*'Pza Arauc'!G$102+RRetail!G10*RRetail!G$102+Bucarest!G10*Bucarest!G$102+Magdalena!G10*Magdalena!G$102+BFC!G10*BFC!G$102</f>
        <v>9022757</v>
      </c>
      <c r="H10" s="3">
        <f>+Descubrimiento!H10*Descubrimiento!H$103+'Rentas SpA'!H10*'Rentas SpA'!H$102+'Pza Const'!H10*'Pza Const'!H$102+'Pza Arauc'!H10*'Pza Arauc'!H$102+RRetail!H10*RRetail!H$102+Bucarest!H10*Bucarest!H$102+Magdalena!H10*Magdalena!H$102+BFC!H10*BFC!H$102</f>
        <v>8358572</v>
      </c>
      <c r="I10" s="3">
        <f>+Descubrimiento!I10*Descubrimiento!I$103+'Rentas SpA'!I10*'Rentas SpA'!I$102+'Pza Const'!I10*'Pza Const'!I$102+'Pza Arauc'!I10*'Pza Arauc'!I$102+RRetail!I10*RRetail!I$102+Bucarest!I10*Bucarest!I$102+Magdalena!I10*Magdalena!I$102+BFC!I10*BFC!I$102</f>
        <v>8374853</v>
      </c>
      <c r="J10" s="3">
        <f>+Descubrimiento!J10*Descubrimiento!J$103+'Rentas SpA'!J10*'Rentas SpA'!J$102+'Pza Const'!J10*'Pza Const'!J$102+'Pza Arauc'!J10*'Pza Arauc'!J$102+RRetail!J10*RRetail!J$102+Bucarest!J10*Bucarest!J$102+Magdalena!J10*Magdalena!J$102+BFC!J10*BFC!J$102</f>
        <v>8010883</v>
      </c>
      <c r="K10" s="3">
        <f>+Descubrimiento!K10*Descubrimiento!K$103+'Rentas SpA'!K10*'Rentas SpA'!K$102+'Pza Const'!K10*'Pza Const'!K$102+'Pza Arauc'!K10*'Pza Arauc'!K$102+RRetail!K10*RRetail!K$102+Bucarest!K10*Bucarest!K$102+Magdalena!K10*Magdalena!K$102+BFC!K10*BFC!K$102</f>
        <v>7979515</v>
      </c>
      <c r="L10" s="3">
        <f>+Descubrimiento!L10*Descubrimiento!L$103+'Rentas SpA'!L10*'Rentas SpA'!L$102+'Pza Const'!L10*'Pza Const'!L$102+'Pza Arauc'!L10*'Pza Arauc'!L$102+RRetail!L10*RRetail!L$102+Bucarest!L10*Bucarest!L$102+Magdalena!L10*Magdalena!L$102+BFC!L10*BFC!L$102</f>
        <v>7415870</v>
      </c>
      <c r="M10" s="3">
        <f>+Descubrimiento!M10*Descubrimiento!M$103+'Rentas SpA'!M10*'Rentas SpA'!M$102+'Pza Const'!M10*'Pza Const'!M$102+'Pza Arauc'!M10*'Pza Arauc'!M$102+RRetail!M10*RRetail!M$102+Bucarest!M10*Bucarest!M$102+Magdalena!M10*Magdalena!M$102+BFC!M10*BFC!M$102</f>
        <v>7378491</v>
      </c>
      <c r="N10" s="3">
        <f>+Descubrimiento!N10*Descubrimiento!N$103+'Rentas SpA'!N10*'Rentas SpA'!N$102+'Pza Const'!N10*'Pza Const'!N$102+'Pza Arauc'!N10*'Pza Arauc'!N$102+RRetail!N10*RRetail!N$102+Bucarest!N10*Bucarest!N$102+Magdalena!N10*Magdalena!N$102+BFC!N10*BFC!N$102</f>
        <v>7372970</v>
      </c>
      <c r="O10" s="3">
        <f>+Descubrimiento!O10*Descubrimiento!O$103+'Rentas SpA'!O10*'Rentas SpA'!O$102+'Pza Const'!O10*'Pza Const'!O$102+'Pza Arauc'!O10*'Pza Arauc'!O$102+RRetail!O10*RRetail!O$102+Bucarest!O10*Bucarest!O$102+Magdalena!O10*Magdalena!O$102+BFC!O10*BFC!O$102</f>
        <v>12202597.4</v>
      </c>
      <c r="P10" s="3">
        <f>+Descubrimiento!P10*Descubrimiento!P$103+'Rentas SpA'!P10*'Rentas SpA'!P$102+'Pza Const'!P10*'Pza Const'!P$102+'Pza Arauc'!P10*'Pza Arauc'!P$102+RRetail!P10*RRetail!P$102+Bucarest!P10*Bucarest!P$102+Magdalena!P10*Magdalena!P$102+BFC!P10*BFC!P$102</f>
        <v>7217850</v>
      </c>
      <c r="Q10" s="3">
        <f>+Descubrimiento!Q10*Descubrimiento!Q$103+'Rentas SpA'!Q10*'Rentas SpA'!Q$102+'Pza Const'!Q10*'Pza Const'!Q$102+'Pza Arauc'!Q10*'Pza Arauc'!Q$102+RRetail!Q10*RRetail!Q$102+Bucarest!Q10*Bucarest!Q$102+Magdalena!Q10*Magdalena!Q$102+BFC!Q10*BFC!Q$102</f>
        <v>7082878</v>
      </c>
      <c r="R10" s="3">
        <f>+Descubrimiento!R10*Descubrimiento!R$103+'Rentas SpA'!R10*'Rentas SpA'!R$102+'Pza Const'!R10*'Pza Const'!R$102+'Pza Arauc'!R10*'Pza Arauc'!R$102+RRetail!R10*RRetail!R$102+Bucarest!R10*Bucarest!R$102+Magdalena!R10*Magdalena!R$102+BFC!R10*BFC!R$102</f>
        <v>7379606.0999999996</v>
      </c>
      <c r="S10" s="3">
        <f>+Descubrimiento!S10*Descubrimiento!S$103+'Rentas SpA'!S10*'Rentas SpA'!S$102+'Pza Const'!S10*'Pza Const'!S$102+'Pza Arauc'!S10*'Pza Arauc'!S$102+RRetail!S10*RRetail!S$102+Bucarest!S10*Bucarest!S$102+Magdalena!S10*Magdalena!S$102+BFC!S10*BFC!S$102</f>
        <v>8317271.2999999998</v>
      </c>
      <c r="T10" s="3">
        <f>+Descubrimiento!T10*Descubrimiento!T$103+'Rentas SpA'!T10*'Rentas SpA'!T$102+'Pza Const'!T10*'Pza Const'!T$102+'Pza Arauc'!T10*'Pza Arauc'!T$102+RRetail!T10*RRetail!T$102+Bucarest!T10*Bucarest!T$102+Magdalena!T10*Magdalena!T$102+BFC!T10*BFC!T$102</f>
        <v>7172995</v>
      </c>
      <c r="U10" s="3">
        <f>+Descubrimiento!U10*Descubrimiento!U$103+'Rentas SpA'!U10*'Rentas SpA'!U$102+'Pza Const'!U10*'Pza Const'!U$102+'Pza Arauc'!U10*'Pza Arauc'!U$102+RRetail!U10*RRetail!U$102+Bucarest!U10*Bucarest!U$102+Magdalena!U10*Magdalena!U$102+BFC!U10*BFC!U$102</f>
        <v>7318977</v>
      </c>
      <c r="V10" s="3">
        <f>+Descubrimiento!V10*Descubrimiento!V$103+'Rentas SpA'!V10*'Rentas SpA'!V$102+'Pza Const'!V10*'Pza Const'!V$102+'Pza Arauc'!V10*'Pza Arauc'!V$102+RRetail!V10*RRetail!V$102+Bucarest!V10*Bucarest!V$102+Magdalena!V10*Magdalena!V$102+BFC!V10*BFC!V$102</f>
        <v>7421349</v>
      </c>
      <c r="W10" s="3">
        <f>+Descubrimiento!W10*Descubrimiento!W$103+'Rentas SpA'!W10*'Rentas SpA'!W$102+'Pza Const'!W10*'Pza Const'!W$102+'Pza Arauc'!W10*'Pza Arauc'!W$102+RRetail!W10*RRetail!W$102+Bucarest!W10*Bucarest!W$102+Magdalena!W10*Magdalena!W$102+BFC!W10*BFC!W$102</f>
        <v>7614426.4000000004</v>
      </c>
      <c r="X10" s="3">
        <f>+Descubrimiento!X10*Descubrimiento!X$103+'Rentas SpA'!X10*'Rentas SpA'!X$102+'Pza Const'!X10*'Pza Const'!X$102+'Pza Arauc'!X10*'Pza Arauc'!X$102+RRetail!X10*RRetail!X$102+Bucarest!X10*Bucarest!X$102+Magdalena!X10*Magdalena!X$102+BFC!X10*BFC!X$102</f>
        <v>7918121</v>
      </c>
      <c r="Y10" s="3">
        <f>+Descubrimiento!Y10*Descubrimiento!Y$103+'Rentas SpA'!Y10*'Rentas SpA'!Y$102+'Pza Const'!Y10*'Pza Const'!Y$102+'Pza Arauc'!Y10*'Pza Arauc'!Y$102+RRetail!Y10*RRetail!Y$102+Bucarest!Y10*Bucarest!Y$102+Magdalena!Y10*Magdalena!Y$102+BFC!Y10*BFC!Y$102</f>
        <v>8086641.9000000004</v>
      </c>
      <c r="Z10" s="3">
        <f>+Descubrimiento!Z10*Descubrimiento!Z$103+'Rentas SpA'!Z10*'Rentas SpA'!Z$102+'Pza Const'!Z10*'Pza Const'!Z$102+'Pza Arauc'!Z10*'Pza Arauc'!Z$102+RRetail!Z10*RRetail!Z$102+Bucarest!Z10*Bucarest!Z$102+Magdalena!Z10*Magdalena!Z$102+BFC!Z10*BFC!Z$102</f>
        <v>7150691</v>
      </c>
      <c r="AA10" s="3">
        <f>+Descubrimiento!AA10*Descubrimiento!AA$103+'Rentas SpA'!AA10*'Rentas SpA'!AA$102+'Pza Const'!AA10*'Pza Const'!AA$102+'Pza Arauc'!AA10*'Pza Arauc'!AA$102+RRetail!AA10*RRetail!AA$102+Bucarest!AA10*Bucarest!AA$102+Magdalena!AA10*Magdalena!AA$102+BFC!AA10*BFC!AA$102</f>
        <v>7516641.2999999998</v>
      </c>
      <c r="AB10" s="3">
        <f>+Descubrimiento!AB10*Descubrimiento!AB$103+'Rentas SpA'!AB10*'Rentas SpA'!AB$102+'Pza Const'!AB10*'Pza Const'!AB$102+'Pza Arauc'!AB10*'Pza Arauc'!AB$102+RRetail!AB10*RRetail!AB$102+Bucarest!AB10*Bucarest!AB$102+Magdalena!AB10*Magdalena!AB$102+BFC!AB10*BFC!AB$102</f>
        <v>7930600.5</v>
      </c>
      <c r="AC10" s="3">
        <f>+Descubrimiento!AC10*Descubrimiento!AC$103+'Rentas SpA'!AC10*'Rentas SpA'!AC$102+'Pza Const'!AC10*'Pza Const'!AC$102+'Pza Arauc'!AC10*'Pza Arauc'!AC$102+RRetail!AC10*RRetail!AC$102+Bucarest!AC10*Bucarest!AC$102+Magdalena!AC10*Magdalena!AC$102+BFC!AC10*BFC!AC$102</f>
        <v>8480685.0999999996</v>
      </c>
      <c r="AD10" s="3">
        <f>+Descubrimiento!AD10*Descubrimiento!AD$103+'Rentas SpA'!AD10*'Rentas SpA'!AD$102+'Pza Const'!AD10*'Pza Const'!AD$102+'Pza Arauc'!AD10*'Pza Arauc'!AD$102+RRetail!AD10*RRetail!AD$102+Bucarest!AD10*Bucarest!AD$102+Magdalena!AD10*Magdalena!AD$102+BFC!AD10*BFC!AD$102</f>
        <v>8845971.1999999993</v>
      </c>
      <c r="AE10" s="3">
        <f>+Descubrimiento!AE10*Descubrimiento!AE$103+'Rentas SpA'!AE10*'Rentas SpA'!AE$102+'Pza Const'!AE10*'Pza Const'!AE$102+'Pza Arauc'!AE10*'Pza Arauc'!AE$102+RRetail!AE10*RRetail!AE$102+Bucarest!AE10*Bucarest!AE$102+Magdalena!AE10*Magdalena!AE$102+BFC!AE10*BFC!AE$102</f>
        <v>9445874.4000000004</v>
      </c>
      <c r="AF10" s="3">
        <f>+Descubrimiento!AF10*Descubrimiento!AF$103+'Rentas SpA'!AF10*'Rentas SpA'!AF$102+'Pza Const'!AF10*'Pza Const'!AF$102+'Pza Arauc'!AF10*'Pza Arauc'!AF$102+RRetail!AF10*RRetail!AF$102+Bucarest!AF10*Bucarest!AF$102+Magdalena!AF10*Magdalena!AF$102+BFC!AF10*BFC!AF$102</f>
        <v>8001828.5999999996</v>
      </c>
      <c r="AG10" s="3">
        <f>+Descubrimiento!AG10*Descubrimiento!AG$103+'Rentas SpA'!AG10*'Rentas SpA'!AG$102+'Pza Const'!AG10*'Pza Const'!AG$102+'Pza Arauc'!AG10*'Pza Arauc'!AG$102+RRetail!AG10*RRetail!AG$102+Bucarest!AG10*Bucarest!AG$102+Magdalena!AG10*Magdalena!AG$102+BFC!AG10*BFC!AG$102</f>
        <v>8629886.9000000004</v>
      </c>
      <c r="AH10" s="3">
        <f>+Descubrimiento!AH10*Descubrimiento!AH$103+'Rentas SpA'!AH10*'Rentas SpA'!AH$102+'Pza Const'!AH10*'Pza Const'!AH$102+'Pza Arauc'!AH10*'Pza Arauc'!AH$102+RRetail!AH10*RRetail!AH$102+Bucarest!AH10*Bucarest!AH$102+Magdalena!AH10*Magdalena!AH$102+BFC!AH10*BFC!AH$102</f>
        <v>9355711.6999999993</v>
      </c>
      <c r="AI10" s="3">
        <f>+Descubrimiento!AI10*Descubrimiento!AI$103+'Rentas SpA'!AI10*'Rentas SpA'!AI$102+'Pza Const'!AI10*'Pza Const'!AI$102+'Pza Arauc'!AI10*'Pza Arauc'!AI$102+RRetail!AI10*RRetail!AI$102+Bucarest!AI10*Bucarest!AI$102+Magdalena!AI10*Magdalena!AI$102+BFC!AI10*BFC!AI$102</f>
        <v>9960558.5999999996</v>
      </c>
    </row>
    <row r="11" spans="1:35" x14ac:dyDescent="0.3">
      <c r="A11" s="1" t="s">
        <v>106</v>
      </c>
      <c r="B11" s="3">
        <f>+Descubrimiento!B11*Descubrimiento!B$103+'Rentas SpA'!B11*'Rentas SpA'!B$102+'Pza Const'!B11*'Pza Const'!B$102+'Pza Arauc'!B11*'Pza Arauc'!B$102+RRetail!B11*RRetail!B$102+Bucarest!B11*Bucarest!B$102+Magdalena!B11*Magdalena!B$102+BFC!B11*BFC!B$102</f>
        <v>0</v>
      </c>
      <c r="C11" s="3">
        <f>+Descubrimiento!C11*Descubrimiento!C$103+'Rentas SpA'!C11*'Rentas SpA'!C$102+'Pza Const'!C11*'Pza Const'!C$102+'Pza Arauc'!C11*'Pza Arauc'!C$102+RRetail!C11*RRetail!C$102+Bucarest!C11*Bucarest!C$102+Magdalena!C11*Magdalena!C$102+BFC!C11*BFC!C$102</f>
        <v>0</v>
      </c>
      <c r="D11" s="3">
        <f>+Descubrimiento!D11*Descubrimiento!D$103+'Rentas SpA'!D11*'Rentas SpA'!D$102+'Pza Const'!D11*'Pza Const'!D$102+'Pza Arauc'!D11*'Pza Arauc'!D$102+RRetail!D11*RRetail!D$102+Bucarest!D11*Bucarest!D$102+Magdalena!D11*Magdalena!D$102+BFC!D11*BFC!D$102</f>
        <v>2396129</v>
      </c>
      <c r="E11" s="3">
        <f>+Descubrimiento!E11*Descubrimiento!E$103+'Rentas SpA'!E11*'Rentas SpA'!E$102+'Pza Const'!E11*'Pza Const'!E$102+'Pza Arauc'!E11*'Pza Arauc'!E$102+RRetail!E11*RRetail!E$102+Bucarest!E11*Bucarest!E$102+Magdalena!E11*Magdalena!E$102+BFC!E11*BFC!E$102</f>
        <v>1798343</v>
      </c>
      <c r="F11" s="3">
        <f>+Descubrimiento!F11*Descubrimiento!F$103+'Rentas SpA'!F11*'Rentas SpA'!F$102+'Pza Const'!F11*'Pza Const'!F$102+'Pza Arauc'!F11*'Pza Arauc'!F$102+RRetail!F11*RRetail!F$102+Bucarest!F11*Bucarest!F$102+Magdalena!F11*Magdalena!F$102+BFC!F11*BFC!F$102</f>
        <v>647272</v>
      </c>
      <c r="G11" s="3">
        <f>+Descubrimiento!G11*Descubrimiento!G$103+'Rentas SpA'!G11*'Rentas SpA'!G$102+'Pza Const'!G11*'Pza Const'!G$102+'Pza Arauc'!G11*'Pza Arauc'!G$102+RRetail!G11*RRetail!G$102+Bucarest!G11*Bucarest!G$102+Magdalena!G11*Magdalena!G$102+BFC!G11*BFC!G$102</f>
        <v>647272</v>
      </c>
      <c r="H11" s="3">
        <f>+Descubrimiento!H11*Descubrimiento!H$103+'Rentas SpA'!H11*'Rentas SpA'!H$102+'Pza Const'!H11*'Pza Const'!H$102+'Pza Arauc'!H11*'Pza Arauc'!H$102+RRetail!H11*RRetail!H$102+Bucarest!H11*Bucarest!H$102+Magdalena!H11*Magdalena!H$102+BFC!H11*BFC!H$102</f>
        <v>678416</v>
      </c>
      <c r="I11" s="3">
        <f>+Descubrimiento!I11*Descubrimiento!I$103+'Rentas SpA'!I11*'Rentas SpA'!I$102+'Pza Const'!I11*'Pza Const'!I$102+'Pza Arauc'!I11*'Pza Arauc'!I$102+RRetail!I11*RRetail!I$102+Bucarest!I11*Bucarest!I$102+Magdalena!I11*Magdalena!I$102+BFC!I11*BFC!I$102</f>
        <v>678578</v>
      </c>
      <c r="J11" s="3">
        <f>+Descubrimiento!J11*Descubrimiento!J$103+'Rentas SpA'!J11*'Rentas SpA'!J$102+'Pza Const'!J11*'Pza Const'!J$102+'Pza Arauc'!J11*'Pza Arauc'!J$102+RRetail!J11*RRetail!J$102+Bucarest!J11*Bucarest!J$102+Magdalena!J11*Magdalena!J$102+BFC!J11*BFC!J$102</f>
        <v>699712</v>
      </c>
      <c r="K11" s="3">
        <f>+Descubrimiento!K11*Descubrimiento!K$103+'Rentas SpA'!K11*'Rentas SpA'!K$102+'Pza Const'!K11*'Pza Const'!K$102+'Pza Arauc'!K11*'Pza Arauc'!K$102+RRetail!K11*RRetail!K$102+Bucarest!K11*Bucarest!K$102+Magdalena!K11*Magdalena!K$102+BFC!K11*BFC!K$102</f>
        <v>706818</v>
      </c>
      <c r="L11" s="3">
        <f>+Descubrimiento!L11*Descubrimiento!L$103+'Rentas SpA'!L11*'Rentas SpA'!L$102+'Pza Const'!L11*'Pza Const'!L$102+'Pza Arauc'!L11*'Pza Arauc'!L$102+RRetail!L11*RRetail!L$102+Bucarest!L11*Bucarest!L$102+Magdalena!L11*Magdalena!L$102+BFC!L11*BFC!L$102</f>
        <v>709264</v>
      </c>
      <c r="M11" s="3">
        <f>+Descubrimiento!M11*Descubrimiento!M$103+'Rentas SpA'!M11*'Rentas SpA'!M$102+'Pza Const'!M11*'Pza Const'!M$102+'Pza Arauc'!M11*'Pza Arauc'!M$102+RRetail!M11*RRetail!M$102+Bucarest!M11*Bucarest!M$102+Magdalena!M11*Magdalena!M$102+BFC!M11*BFC!M$102</f>
        <v>709546</v>
      </c>
      <c r="N11" s="3">
        <f>+Descubrimiento!N11*Descubrimiento!N$103+'Rentas SpA'!N11*'Rentas SpA'!N$102+'Pza Const'!N11*'Pza Const'!N$102+'Pza Arauc'!N11*'Pza Arauc'!N$102+RRetail!N11*RRetail!N$102+Bucarest!N11*Bucarest!N$102+Magdalena!N11*Magdalena!N$102+BFC!N11*BFC!N$102</f>
        <v>718505</v>
      </c>
      <c r="O11" s="3">
        <f>+Descubrimiento!O11*Descubrimiento!O$103+'Rentas SpA'!O11*'Rentas SpA'!O$102+'Pza Const'!O11*'Pza Const'!O$102+'Pza Arauc'!O11*'Pza Arauc'!O$102+RRetail!O11*RRetail!O$102+Bucarest!O11*Bucarest!O$102+Magdalena!O11*Magdalena!O$102+BFC!O11*BFC!O$102</f>
        <v>726524</v>
      </c>
      <c r="P11" s="3">
        <f>+Descubrimiento!P11*Descubrimiento!P$103+'Rentas SpA'!P11*'Rentas SpA'!P$102+'Pza Const'!P11*'Pza Const'!P$102+'Pza Arauc'!P11*'Pza Arauc'!P$102+RRetail!P11*RRetail!P$102+Bucarest!P11*Bucarest!P$102+Magdalena!P11*Magdalena!P$102+BFC!P11*BFC!P$102</f>
        <v>734311</v>
      </c>
      <c r="Q11" s="3">
        <f>+Descubrimiento!Q11*Descubrimiento!Q$103+'Rentas SpA'!Q11*'Rentas SpA'!Q$102+'Pza Const'!Q11*'Pza Const'!Q$102+'Pza Arauc'!Q11*'Pza Arauc'!Q$102+RRetail!Q11*RRetail!Q$102+Bucarest!Q11*Bucarest!Q$102+Magdalena!Q11*Magdalena!Q$102+BFC!Q11*BFC!Q$102</f>
        <v>743667</v>
      </c>
      <c r="R11" s="3">
        <f>+Descubrimiento!R11*Descubrimiento!R$103+'Rentas SpA'!R11*'Rentas SpA'!R$102+'Pza Const'!R11*'Pza Const'!R$102+'Pza Arauc'!R11*'Pza Arauc'!R$102+RRetail!R11*RRetail!R$102+Bucarest!R11*Bucarest!R$102+Magdalena!R11*Magdalena!R$102+BFC!R11*BFC!R$102</f>
        <v>765995</v>
      </c>
      <c r="S11" s="3">
        <f>+Descubrimiento!S11*Descubrimiento!S$103+'Rentas SpA'!S11*'Rentas SpA'!S$102+'Pza Const'!S11*'Pza Const'!S$102+'Pza Arauc'!S11*'Pza Arauc'!S$102+RRetail!S11*RRetail!S$102+Bucarest!S11*Bucarest!S$102+Magdalena!S11*Magdalena!S$102+BFC!S11*BFC!S$102</f>
        <v>784186</v>
      </c>
      <c r="T11" s="3">
        <f>+Descubrimiento!T11*Descubrimiento!T$103+'Rentas SpA'!T11*'Rentas SpA'!T$102+'Pza Const'!T11*'Pza Const'!T$102+'Pza Arauc'!T11*'Pza Arauc'!T$102+RRetail!T11*RRetail!T$102+Bucarest!T11*Bucarest!T$102+Magdalena!T11*Magdalena!T$102+BFC!T11*BFC!T$102</f>
        <v>817778</v>
      </c>
      <c r="U11" s="3">
        <f>+Descubrimiento!U11*Descubrimiento!U$103+'Rentas SpA'!U11*'Rentas SpA'!U$102+'Pza Const'!U11*'Pza Const'!U$102+'Pza Arauc'!U11*'Pza Arauc'!U$102+RRetail!U11*RRetail!U$102+Bucarest!U11*Bucarest!U$102+Magdalena!U11*Magdalena!U$102+BFC!U11*BFC!U$102</f>
        <v>846730</v>
      </c>
      <c r="V11" s="3">
        <f>+Descubrimiento!V11*Descubrimiento!V$103+'Rentas SpA'!V11*'Rentas SpA'!V$102+'Pza Const'!V11*'Pza Const'!V$102+'Pza Arauc'!V11*'Pza Arauc'!V$102+RRetail!V11*RRetail!V$102+Bucarest!V11*Bucarest!V$102+Magdalena!V11*Magdalena!V$102+BFC!V11*BFC!V$102</f>
        <v>40786077</v>
      </c>
      <c r="W11" s="3">
        <f>+Descubrimiento!W11*Descubrimiento!W$103+'Rentas SpA'!W11*'Rentas SpA'!W$102+'Pza Const'!W11*'Pza Const'!W$102+'Pza Arauc'!W11*'Pza Arauc'!W$102+RRetail!W11*RRetail!W$102+Bucarest!W11*Bucarest!W$102+Magdalena!W11*Magdalena!W$102+BFC!W11*BFC!W$102</f>
        <v>879287</v>
      </c>
      <c r="X11" s="3">
        <f>+Descubrimiento!X11*Descubrimiento!X$103+'Rentas SpA'!X11*'Rentas SpA'!X$102+'Pza Const'!X11*'Pza Const'!X$102+'Pza Arauc'!X11*'Pza Arauc'!X$102+RRetail!X11*RRetail!X$102+Bucarest!X11*Bucarest!X$102+Magdalena!X11*Magdalena!X$102+BFC!X11*BFC!X$102</f>
        <v>891992</v>
      </c>
      <c r="Y11" s="3">
        <f>+Descubrimiento!Y11*Descubrimiento!Y$103+'Rentas SpA'!Y11*'Rentas SpA'!Y$102+'Pza Const'!Y11*'Pza Const'!Y$102+'Pza Arauc'!Y11*'Pza Arauc'!Y$102+RRetail!Y11*RRetail!Y$102+Bucarest!Y11*Bucarest!Y$102+Magdalena!Y11*Magdalena!Y$102+BFC!Y11*BFC!Y$102</f>
        <v>0</v>
      </c>
      <c r="Z11" s="3">
        <f>+Descubrimiento!Z11*Descubrimiento!Z$103+'Rentas SpA'!Z11*'Rentas SpA'!Z$102+'Pza Const'!Z11*'Pza Const'!Z$102+'Pza Arauc'!Z11*'Pza Arauc'!Z$102+RRetail!Z11*RRetail!Z$102+Bucarest!Z11*Bucarest!Z$102+Magdalena!Z11*Magdalena!Z$102+BFC!Z11*BFC!Z$102</f>
        <v>0</v>
      </c>
      <c r="AA11" s="3">
        <f>+Descubrimiento!AA11*Descubrimiento!AA$103+'Rentas SpA'!AA11*'Rentas SpA'!AA$102+'Pza Const'!AA11*'Pza Const'!AA$102+'Pza Arauc'!AA11*'Pza Arauc'!AA$102+RRetail!AA11*RRetail!AA$102+Bucarest!AA11*Bucarest!AA$102+Magdalena!AA11*Magdalena!AA$102+BFC!AA11*BFC!AA$102</f>
        <v>0</v>
      </c>
      <c r="AB11" s="3">
        <f>+Descubrimiento!AB11*Descubrimiento!AB$103+'Rentas SpA'!AB11*'Rentas SpA'!AB$102+'Pza Const'!AB11*'Pza Const'!AB$102+'Pza Arauc'!AB11*'Pza Arauc'!AB$102+RRetail!AB11*RRetail!AB$102+Bucarest!AB11*Bucarest!AB$102+Magdalena!AB11*Magdalena!AB$102+BFC!AB11*BFC!AB$102</f>
        <v>0</v>
      </c>
      <c r="AC11" s="3">
        <f>+Descubrimiento!AC11*Descubrimiento!AC$103+'Rentas SpA'!AC11*'Rentas SpA'!AC$102+'Pza Const'!AC11*'Pza Const'!AC$102+'Pza Arauc'!AC11*'Pza Arauc'!AC$102+RRetail!AC11*RRetail!AC$102+Bucarest!AC11*Bucarest!AC$102+Magdalena!AC11*Magdalena!AC$102+BFC!AC11*BFC!AC$102</f>
        <v>0</v>
      </c>
      <c r="AD11" s="3">
        <f>+Descubrimiento!AD11*Descubrimiento!AD$103+'Rentas SpA'!AD11*'Rentas SpA'!AD$102+'Pza Const'!AD11*'Pza Const'!AD$102+'Pza Arauc'!AD11*'Pza Arauc'!AD$102+RRetail!AD11*RRetail!AD$102+Bucarest!AD11*Bucarest!AD$102+Magdalena!AD11*Magdalena!AD$102+BFC!AD11*BFC!AD$102</f>
        <v>0</v>
      </c>
      <c r="AE11" s="3">
        <f>+Descubrimiento!AE11*Descubrimiento!AE$103+'Rentas SpA'!AE11*'Rentas SpA'!AE$102+'Pza Const'!AE11*'Pza Const'!AE$102+'Pza Arauc'!AE11*'Pza Arauc'!AE$102+RRetail!AE11*RRetail!AE$102+Bucarest!AE11*Bucarest!AE$102+Magdalena!AE11*Magdalena!AE$102+BFC!AE11*BFC!AE$102</f>
        <v>0</v>
      </c>
      <c r="AF11" s="3">
        <f>+Descubrimiento!AF11*Descubrimiento!AF$103+'Rentas SpA'!AF11*'Rentas SpA'!AF$102+'Pza Const'!AF11*'Pza Const'!AF$102+'Pza Arauc'!AF11*'Pza Arauc'!AF$102+RRetail!AF11*RRetail!AF$102+Bucarest!AF11*Bucarest!AF$102+Magdalena!AF11*Magdalena!AF$102+BFC!AF11*BFC!AF$102</f>
        <v>0</v>
      </c>
      <c r="AG11" s="3">
        <f>+Descubrimiento!AG11*Descubrimiento!AG$103+'Rentas SpA'!AG11*'Rentas SpA'!AG$102+'Pza Const'!AG11*'Pza Const'!AG$102+'Pza Arauc'!AG11*'Pza Arauc'!AG$102+RRetail!AG11*RRetail!AG$102+Bucarest!AG11*Bucarest!AG$102+Magdalena!AG11*Magdalena!AG$102+BFC!AG11*BFC!AG$102</f>
        <v>0</v>
      </c>
      <c r="AH11" s="3">
        <f>+Descubrimiento!AH11*Descubrimiento!AH$103+'Rentas SpA'!AH11*'Rentas SpA'!AH$102+'Pza Const'!AH11*'Pza Const'!AH$102+'Pza Arauc'!AH11*'Pza Arauc'!AH$102+RRetail!AH11*RRetail!AH$102+Bucarest!AH11*Bucarest!AH$102+Magdalena!AH11*Magdalena!AH$102+BFC!AH11*BFC!AH$102</f>
        <v>0</v>
      </c>
      <c r="AI11" s="3">
        <f>+Descubrimiento!AI11*Descubrimiento!AI$103+'Rentas SpA'!AI11*'Rentas SpA'!AI$102+'Pza Const'!AI11*'Pza Const'!AI$102+'Pza Arauc'!AI11*'Pza Arauc'!AI$102+RRetail!AI11*RRetail!AI$102+Bucarest!AI11*Bucarest!AI$102+Magdalena!AI11*Magdalena!AI$102+BFC!AI11*BFC!AI$102</f>
        <v>0</v>
      </c>
    </row>
    <row r="12" spans="1:35" x14ac:dyDescent="0.3">
      <c r="A12" s="6" t="s">
        <v>15</v>
      </c>
      <c r="B12" s="7">
        <f>+SUM(B2:B11)</f>
        <v>17511121</v>
      </c>
      <c r="C12" s="7">
        <f t="shared" ref="C12:R12" si="0">+SUM(C2:C11)</f>
        <v>25476624.5</v>
      </c>
      <c r="D12" s="7">
        <f t="shared" si="0"/>
        <v>24226186</v>
      </c>
      <c r="E12" s="7">
        <f t="shared" si="0"/>
        <v>18210163</v>
      </c>
      <c r="F12" s="7">
        <f t="shared" si="0"/>
        <v>27764092</v>
      </c>
      <c r="G12" s="7">
        <f t="shared" ref="G12:I12" si="1">+SUM(G2:G11)</f>
        <v>14364815</v>
      </c>
      <c r="H12" s="7">
        <f t="shared" si="1"/>
        <v>13999950</v>
      </c>
      <c r="I12" s="7">
        <f t="shared" si="1"/>
        <v>19736528</v>
      </c>
      <c r="J12" s="7">
        <f t="shared" si="0"/>
        <v>13069277</v>
      </c>
      <c r="K12" s="7">
        <f t="shared" ref="K12:M12" si="2">+SUM(K2:K11)</f>
        <v>14086725</v>
      </c>
      <c r="L12" s="7">
        <f t="shared" si="2"/>
        <v>14104531</v>
      </c>
      <c r="M12" s="7">
        <f t="shared" si="2"/>
        <v>18753859</v>
      </c>
      <c r="N12" s="7">
        <f t="shared" si="0"/>
        <v>19883550.800000001</v>
      </c>
      <c r="O12" s="7">
        <f t="shared" ref="O12:Q12" si="3">+SUM(O2:O11)</f>
        <v>32394393</v>
      </c>
      <c r="P12" s="7">
        <f t="shared" si="3"/>
        <v>26047744.199999999</v>
      </c>
      <c r="Q12" s="7">
        <f t="shared" si="3"/>
        <v>26688575.600000001</v>
      </c>
      <c r="R12" s="7">
        <f t="shared" si="0"/>
        <v>28093197.300000004</v>
      </c>
      <c r="S12" s="7">
        <f t="shared" ref="S12:U12" si="4">+SUM(S2:S11)</f>
        <v>34070606.299999997</v>
      </c>
      <c r="T12" s="7">
        <f t="shared" si="4"/>
        <v>44218287.5</v>
      </c>
      <c r="U12" s="7">
        <f t="shared" si="4"/>
        <v>42717450.799999997</v>
      </c>
      <c r="V12" s="7">
        <f t="shared" ref="V12:Y12" si="5">+SUM(V2:V11)</f>
        <v>74429132.900000006</v>
      </c>
      <c r="W12" s="7">
        <f t="shared" si="5"/>
        <v>72383320.499000013</v>
      </c>
      <c r="X12" s="7">
        <f t="shared" si="5"/>
        <v>25222356.890999999</v>
      </c>
      <c r="Y12" s="7">
        <f t="shared" si="5"/>
        <v>19521878.421</v>
      </c>
      <c r="Z12" s="7">
        <f t="shared" ref="Z12:AA12" si="6">+SUM(Z2:Z11)</f>
        <v>22475746.300000001</v>
      </c>
      <c r="AA12" s="7">
        <f t="shared" si="6"/>
        <v>29677171.400000002</v>
      </c>
      <c r="AB12" s="7">
        <f t="shared" ref="AB12:AC12" si="7">+SUM(AB2:AB11)</f>
        <v>21743399.299999997</v>
      </c>
      <c r="AC12" s="7">
        <f t="shared" si="7"/>
        <v>28576987.399999999</v>
      </c>
      <c r="AD12" s="7">
        <f t="shared" ref="AD12:AE12" si="8">+SUM(AD2:AD11)</f>
        <v>24626979.600000001</v>
      </c>
      <c r="AE12" s="7">
        <f t="shared" si="8"/>
        <v>32799173.151999995</v>
      </c>
      <c r="AF12" s="7">
        <f t="shared" ref="AF12:AG12" si="9">+SUM(AF2:AF11)</f>
        <v>31713466.399999999</v>
      </c>
      <c r="AG12" s="7">
        <f t="shared" si="9"/>
        <v>43189339</v>
      </c>
      <c r="AH12" s="7">
        <f t="shared" ref="AH12:AI12" si="10">+SUM(AH2:AH11)</f>
        <v>46193092.099999994</v>
      </c>
      <c r="AI12" s="7">
        <f t="shared" si="10"/>
        <v>42424059.399999999</v>
      </c>
    </row>
    <row r="13" spans="1:35" x14ac:dyDescent="0.3">
      <c r="A13" s="1" t="s">
        <v>16</v>
      </c>
      <c r="B13" s="3">
        <f>+Descubrimiento!B13*Descubrimiento!B$103+'Rentas SpA'!B13*'Rentas SpA'!B$102+'Pza Const'!B13*'Pza Const'!B$102+'Pza Arauc'!B13*'Pza Arauc'!B$102+RRetail!B13*RRetail!B$102+Bucarest!B13*Bucarest!B$102+Magdalena!B13*Magdalena!B$102+BFC!B13*BFC!B$102</f>
        <v>0</v>
      </c>
      <c r="C13" s="3">
        <f>+Descubrimiento!C13*Descubrimiento!C$103+'Rentas SpA'!C13*'Rentas SpA'!C$102+'Pza Const'!C13*'Pza Const'!C$102+'Pza Arauc'!C13*'Pza Arauc'!C$102+RRetail!C13*RRetail!C$102+Bucarest!C13*Bucarest!C$102+Magdalena!C13*Magdalena!C$102+BFC!C13*BFC!C$102</f>
        <v>0</v>
      </c>
      <c r="D13" s="3">
        <f>+Descubrimiento!D13*Descubrimiento!D$103+'Rentas SpA'!D13*'Rentas SpA'!D$102+'Pza Const'!D13*'Pza Const'!D$102+'Pza Arauc'!D13*'Pza Arauc'!D$102+RRetail!D13*RRetail!D$102+Bucarest!D13*Bucarest!D$102+Magdalena!D13*Magdalena!D$102+BFC!D13*BFC!D$102</f>
        <v>0</v>
      </c>
      <c r="E13" s="3">
        <f>+Descubrimiento!E13*Descubrimiento!E$103+'Rentas SpA'!E13*'Rentas SpA'!E$102+'Pza Const'!E13*'Pza Const'!E$102+'Pza Arauc'!E13*'Pza Arauc'!E$102+RRetail!E13*RRetail!E$102+Bucarest!E13*Bucarest!E$102+Magdalena!E13*Magdalena!E$102+BFC!E13*BFC!E$102</f>
        <v>0</v>
      </c>
      <c r="F13" s="3">
        <f>+Descubrimiento!F13*Descubrimiento!F$103+'Rentas SpA'!F13*'Rentas SpA'!F$102+'Pza Const'!F13*'Pza Const'!F$102+'Pza Arauc'!F13*'Pza Arauc'!F$102+RRetail!F13*RRetail!F$102+Bucarest!F13*Bucarest!F$102+Magdalena!F13*Magdalena!F$102+BFC!F13*BFC!F$102</f>
        <v>0</v>
      </c>
      <c r="G13" s="3">
        <f>+Descubrimiento!G13*Descubrimiento!G$103+'Rentas SpA'!G13*'Rentas SpA'!G$102+'Pza Const'!G13*'Pza Const'!G$102+'Pza Arauc'!G13*'Pza Arauc'!G$102+RRetail!G13*RRetail!G$102+Bucarest!G13*Bucarest!G$102+Magdalena!G13*Magdalena!G$102+BFC!G13*BFC!G$102</f>
        <v>0</v>
      </c>
      <c r="H13" s="3">
        <f>+Descubrimiento!H13*Descubrimiento!H$103+'Rentas SpA'!H13*'Rentas SpA'!H$102+'Pza Const'!H13*'Pza Const'!H$102+'Pza Arauc'!H13*'Pza Arauc'!H$102+RRetail!H13*RRetail!H$102+Bucarest!H13*Bucarest!H$102+Magdalena!H13*Magdalena!H$102+BFC!H13*BFC!H$102</f>
        <v>0</v>
      </c>
      <c r="I13" s="3">
        <f>+Descubrimiento!I13*Descubrimiento!I$103+'Rentas SpA'!I13*'Rentas SpA'!I$102+'Pza Const'!I13*'Pza Const'!I$102+'Pza Arauc'!I13*'Pza Arauc'!I$102+RRetail!I13*RRetail!I$102+Bucarest!I13*Bucarest!I$102+Magdalena!I13*Magdalena!I$102+BFC!I13*BFC!I$102</f>
        <v>0</v>
      </c>
      <c r="J13" s="3">
        <f>+Descubrimiento!J13*Descubrimiento!J$103+'Rentas SpA'!J13*'Rentas SpA'!J$102+'Pza Const'!J13*'Pza Const'!J$102+'Pza Arauc'!J13*'Pza Arauc'!J$102+RRetail!J13*RRetail!J$102+Bucarest!J13*Bucarest!J$102+Magdalena!J13*Magdalena!J$102+BFC!J13*BFC!J$102</f>
        <v>0</v>
      </c>
      <c r="K13" s="3">
        <f>+Descubrimiento!K13*Descubrimiento!K$103+'Rentas SpA'!K13*'Rentas SpA'!K$102+'Pza Const'!K13*'Pza Const'!K$102+'Pza Arauc'!K13*'Pza Arauc'!K$102+RRetail!K13*RRetail!K$102+Bucarest!K13*Bucarest!K$102+Magdalena!K13*Magdalena!K$102+BFC!K13*BFC!K$102</f>
        <v>0</v>
      </c>
      <c r="L13" s="3">
        <f>+Descubrimiento!L13*Descubrimiento!L$103+'Rentas SpA'!L13*'Rentas SpA'!L$102+'Pza Const'!L13*'Pza Const'!L$102+'Pza Arauc'!L13*'Pza Arauc'!L$102+RRetail!L13*RRetail!L$102+Bucarest!L13*Bucarest!L$102+Magdalena!L13*Magdalena!L$102+BFC!L13*BFC!L$102</f>
        <v>0</v>
      </c>
      <c r="M13" s="3">
        <f>+Descubrimiento!M13*Descubrimiento!M$103+'Rentas SpA'!M13*'Rentas SpA'!M$102+'Pza Const'!M13*'Pza Const'!M$102+'Pza Arauc'!M13*'Pza Arauc'!M$102+RRetail!M13*RRetail!M$102+Bucarest!M13*Bucarest!M$102+Magdalena!M13*Magdalena!M$102+BFC!M13*BFC!M$102</f>
        <v>0</v>
      </c>
      <c r="N13" s="3">
        <f>+Descubrimiento!N13*Descubrimiento!N$103+'Rentas SpA'!N13*'Rentas SpA'!N$102+'Pza Const'!N13*'Pza Const'!N$102+'Pza Arauc'!N13*'Pza Arauc'!N$102+RRetail!N13*RRetail!N$102+Bucarest!N13*Bucarest!N$102+Magdalena!N13*Magdalena!N$102+BFC!N13*BFC!N$102</f>
        <v>0</v>
      </c>
      <c r="O13" s="3">
        <f>+Descubrimiento!O13*Descubrimiento!O$103+'Rentas SpA'!O13*'Rentas SpA'!O$102+'Pza Const'!O13*'Pza Const'!O$102+'Pza Arauc'!O13*'Pza Arauc'!O$102+RRetail!O13*RRetail!O$102+Bucarest!O13*Bucarest!O$102+Magdalena!O13*Magdalena!O$102+BFC!O13*BFC!O$102</f>
        <v>0</v>
      </c>
      <c r="P13" s="3">
        <f>+Descubrimiento!P13*Descubrimiento!P$103+'Rentas SpA'!P13*'Rentas SpA'!P$102+'Pza Const'!P13*'Pza Const'!P$102+'Pza Arauc'!P13*'Pza Arauc'!P$102+RRetail!P13*RRetail!P$102+Bucarest!P13*Bucarest!P$102+Magdalena!P13*Magdalena!P$102+BFC!P13*BFC!P$102</f>
        <v>0</v>
      </c>
      <c r="Q13" s="3">
        <f>+Descubrimiento!Q13*Descubrimiento!Q$103+'Rentas SpA'!Q13*'Rentas SpA'!Q$102+'Pza Const'!Q13*'Pza Const'!Q$102+'Pza Arauc'!Q13*'Pza Arauc'!Q$102+RRetail!Q13*RRetail!Q$102+Bucarest!Q13*Bucarest!Q$102+Magdalena!Q13*Magdalena!Q$102+BFC!Q13*BFC!Q$102</f>
        <v>0</v>
      </c>
      <c r="R13" s="3">
        <f>+Descubrimiento!R13*Descubrimiento!R$103+'Rentas SpA'!R13*'Rentas SpA'!R$102+'Pza Const'!R13*'Pza Const'!R$102+'Pza Arauc'!R13*'Pza Arauc'!R$102+RRetail!R13*RRetail!R$102+Bucarest!R13*Bucarest!R$102+Magdalena!R13*Magdalena!R$102+BFC!R13*BFC!R$102</f>
        <v>0</v>
      </c>
      <c r="S13" s="3">
        <f>+Descubrimiento!S13*Descubrimiento!S$103+'Rentas SpA'!S13*'Rentas SpA'!S$102+'Pza Const'!S13*'Pza Const'!S$102+'Pza Arauc'!S13*'Pza Arauc'!S$102+RRetail!S13*RRetail!S$102+Bucarest!S13*Bucarest!S$102+Magdalena!S13*Magdalena!S$102+BFC!S13*BFC!S$102</f>
        <v>0</v>
      </c>
      <c r="T13" s="3">
        <f>+Descubrimiento!T13*Descubrimiento!T$103+'Rentas SpA'!T13*'Rentas SpA'!T$102+'Pza Const'!T13*'Pza Const'!T$102+'Pza Arauc'!T13*'Pza Arauc'!T$102+RRetail!T13*RRetail!T$102+Bucarest!T13*Bucarest!T$102+Magdalena!T13*Magdalena!T$102+BFC!T13*BFC!T$102</f>
        <v>0</v>
      </c>
      <c r="U13" s="3">
        <f>+Descubrimiento!U13*Descubrimiento!U$103+'Rentas SpA'!U13*'Rentas SpA'!U$102+'Pza Const'!U13*'Pza Const'!U$102+'Pza Arauc'!U13*'Pza Arauc'!U$102+RRetail!U13*RRetail!U$102+Bucarest!U13*Bucarest!U$102+Magdalena!U13*Magdalena!U$102+BFC!U13*BFC!U$102</f>
        <v>0</v>
      </c>
      <c r="V13" s="3">
        <f>+Descubrimiento!V13*Descubrimiento!V$103+'Rentas SpA'!V13*'Rentas SpA'!V$102+'Pza Const'!V13*'Pza Const'!V$102+'Pza Arauc'!V13*'Pza Arauc'!V$102+RRetail!V13*RRetail!V$102+Bucarest!V13*Bucarest!V$102+Magdalena!V13*Magdalena!V$102+BFC!V13*BFC!V$102</f>
        <v>0</v>
      </c>
      <c r="W13" s="3">
        <f>+Descubrimiento!W13*Descubrimiento!W$103+'Rentas SpA'!W13*'Rentas SpA'!W$102+'Pza Const'!W13*'Pza Const'!W$102+'Pza Arauc'!W13*'Pza Arauc'!W$102+RRetail!W13*RRetail!W$102+Bucarest!W13*Bucarest!W$102+Magdalena!W13*Magdalena!W$102+BFC!W13*BFC!W$102</f>
        <v>0</v>
      </c>
      <c r="X13" s="3">
        <f>+Descubrimiento!X13*Descubrimiento!X$103+'Rentas SpA'!X13*'Rentas SpA'!X$102+'Pza Const'!X13*'Pza Const'!X$102+'Pza Arauc'!X13*'Pza Arauc'!X$102+RRetail!X13*RRetail!X$102+Bucarest!X13*Bucarest!X$102+Magdalena!X13*Magdalena!X$102+BFC!X13*BFC!X$102</f>
        <v>0</v>
      </c>
      <c r="Y13" s="3">
        <f>+Descubrimiento!Y13*Descubrimiento!Y$103+'Rentas SpA'!Y13*'Rentas SpA'!Y$102+'Pza Const'!Y13*'Pza Const'!Y$102+'Pza Arauc'!Y13*'Pza Arauc'!Y$102+RRetail!Y13*RRetail!Y$102+Bucarest!Y13*Bucarest!Y$102+Magdalena!Y13*Magdalena!Y$102+BFC!Y13*BFC!Y$102</f>
        <v>0</v>
      </c>
      <c r="Z13" s="3">
        <f>+Descubrimiento!Z13*Descubrimiento!Z$103+'Rentas SpA'!Z13*'Rentas SpA'!Z$102+'Pza Const'!Z13*'Pza Const'!Z$102+'Pza Arauc'!Z13*'Pza Arauc'!Z$102+RRetail!Z13*RRetail!Z$102+Bucarest!Z13*Bucarest!Z$102+Magdalena!Z13*Magdalena!Z$102+BFC!Z13*BFC!Z$102</f>
        <v>0</v>
      </c>
      <c r="AA13" s="3">
        <f>+Descubrimiento!AA13*Descubrimiento!AA$103+'Rentas SpA'!AA13*'Rentas SpA'!AA$102+'Pza Const'!AA13*'Pza Const'!AA$102+'Pza Arauc'!AA13*'Pza Arauc'!AA$102+RRetail!AA13*RRetail!AA$102+Bucarest!AA13*Bucarest!AA$102+Magdalena!AA13*Magdalena!AA$102+BFC!AA13*BFC!AA$102</f>
        <v>0</v>
      </c>
      <c r="AB13" s="3">
        <f>+Descubrimiento!AB13*Descubrimiento!AB$103+'Rentas SpA'!AB13*'Rentas SpA'!AB$102+'Pza Const'!AB13*'Pza Const'!AB$102+'Pza Arauc'!AB13*'Pza Arauc'!AB$102+RRetail!AB13*RRetail!AB$102+Bucarest!AB13*Bucarest!AB$102+Magdalena!AB13*Magdalena!AB$102+BFC!AB13*BFC!AB$102</f>
        <v>0</v>
      </c>
      <c r="AC13" s="3">
        <f>+Descubrimiento!AC13*Descubrimiento!AC$103+'Rentas SpA'!AC13*'Rentas SpA'!AC$102+'Pza Const'!AC13*'Pza Const'!AC$102+'Pza Arauc'!AC13*'Pza Arauc'!AC$102+RRetail!AC13*RRetail!AC$102+Bucarest!AC13*Bucarest!AC$102+Magdalena!AC13*Magdalena!AC$102+BFC!AC13*BFC!AC$102</f>
        <v>0</v>
      </c>
      <c r="AD13" s="3">
        <f>+Descubrimiento!AD13*Descubrimiento!AD$103+'Rentas SpA'!AD13*'Rentas SpA'!AD$102+'Pza Const'!AD13*'Pza Const'!AD$102+'Pza Arauc'!AD13*'Pza Arauc'!AD$102+RRetail!AD13*RRetail!AD$102+Bucarest!AD13*Bucarest!AD$102+Magdalena!AD13*Magdalena!AD$102+BFC!AD13*BFC!AD$102</f>
        <v>0</v>
      </c>
      <c r="AE13" s="3">
        <f>+Descubrimiento!AE13*Descubrimiento!AE$103+'Rentas SpA'!AE13*'Rentas SpA'!AE$102+'Pza Const'!AE13*'Pza Const'!AE$102+'Pza Arauc'!AE13*'Pza Arauc'!AE$102+RRetail!AE13*RRetail!AE$102+Bucarest!AE13*Bucarest!AE$102+Magdalena!AE13*Magdalena!AE$102+BFC!AE13*BFC!AE$102</f>
        <v>0</v>
      </c>
      <c r="AF13" s="3">
        <f>+Descubrimiento!AF13*Descubrimiento!AF$103+'Rentas SpA'!AF13*'Rentas SpA'!AF$102+'Pza Const'!AF13*'Pza Const'!AF$102+'Pza Arauc'!AF13*'Pza Arauc'!AF$102+RRetail!AF13*RRetail!AF$102+Bucarest!AF13*Bucarest!AF$102+Magdalena!AF13*Magdalena!AF$102+BFC!AF13*BFC!AF$102</f>
        <v>0</v>
      </c>
      <c r="AG13" s="3">
        <f>+Descubrimiento!AG13*Descubrimiento!AG$103+'Rentas SpA'!AG13*'Rentas SpA'!AG$102+'Pza Const'!AG13*'Pza Const'!AG$102+'Pza Arauc'!AG13*'Pza Arauc'!AG$102+RRetail!AG13*RRetail!AG$102+Bucarest!AG13*Bucarest!AG$102+Magdalena!AG13*Magdalena!AG$102+BFC!AG13*BFC!AG$102</f>
        <v>0</v>
      </c>
      <c r="AH13" s="3">
        <f>+Descubrimiento!AH13*Descubrimiento!AH$103+'Rentas SpA'!AH13*'Rentas SpA'!AH$102+'Pza Const'!AH13*'Pza Const'!AH$102+'Pza Arauc'!AH13*'Pza Arauc'!AH$102+RRetail!AH13*RRetail!AH$102+Bucarest!AH13*Bucarest!AH$102+Magdalena!AH13*Magdalena!AH$102+BFC!AH13*BFC!AH$102</f>
        <v>0</v>
      </c>
      <c r="AI13" s="3">
        <f>+Descubrimiento!AI13*Descubrimiento!AI$103+'Rentas SpA'!AI13*'Rentas SpA'!AI$102+'Pza Const'!AI13*'Pza Const'!AI$102+'Pza Arauc'!AI13*'Pza Arauc'!AI$102+RRetail!AI13*RRetail!AI$102+Bucarest!AI13*Bucarest!AI$102+Magdalena!AI13*Magdalena!AI$102+BFC!AI13*BFC!AI$102</f>
        <v>0</v>
      </c>
    </row>
    <row r="14" spans="1:35" x14ac:dyDescent="0.3">
      <c r="A14" s="1" t="s">
        <v>107</v>
      </c>
      <c r="B14" s="3">
        <f>+Descubrimiento!B14*Descubrimiento!B$103+'Rentas SpA'!B14*'Rentas SpA'!B$102+'Pza Const'!B14*'Pza Const'!B$102+'Pza Arauc'!B14*'Pza Arauc'!B$102+RRetail!B14*RRetail!B$102+Bucarest!B14*Bucarest!B$102+Magdalena!B14*Magdalena!B$102+BFC!B14*BFC!B$102</f>
        <v>199560.5</v>
      </c>
      <c r="C14" s="3">
        <f>+Descubrimiento!C14*Descubrimiento!C$103+'Rentas SpA'!C14*'Rentas SpA'!C$102+'Pza Const'!C14*'Pza Const'!C$102+'Pza Arauc'!C14*'Pza Arauc'!C$102+RRetail!C14*RRetail!C$102+Bucarest!C14*Bucarest!C$102+Magdalena!C14*Magdalena!C$102+BFC!C14*BFC!C$102</f>
        <v>286629.5</v>
      </c>
      <c r="D14" s="3">
        <f>+Descubrimiento!D14*Descubrimiento!D$103+'Rentas SpA'!D14*'Rentas SpA'!D$102+'Pza Const'!D14*'Pza Const'!D$102+'Pza Arauc'!D14*'Pza Arauc'!D$102+RRetail!D14*RRetail!D$102+Bucarest!D14*Bucarest!D$102+Magdalena!D14*Magdalena!D$102+BFC!D14*BFC!D$102</f>
        <v>700966</v>
      </c>
      <c r="E14" s="3">
        <f>+Descubrimiento!E14*Descubrimiento!E$103+'Rentas SpA'!E14*'Rentas SpA'!E$102+'Pza Const'!E14*'Pza Const'!E$102+'Pza Arauc'!E14*'Pza Arauc'!E$102+RRetail!E14*RRetail!E$102+Bucarest!E14*Bucarest!E$102+Magdalena!E14*Magdalena!E$102+BFC!E14*BFC!E$102</f>
        <v>642385</v>
      </c>
      <c r="F14" s="3">
        <f>+Descubrimiento!F14*Descubrimiento!F$103+'Rentas SpA'!F14*'Rentas SpA'!F$102+'Pza Const'!F14*'Pza Const'!F$102+'Pza Arauc'!F14*'Pza Arauc'!F$102+RRetail!F14*RRetail!F$102+Bucarest!F14*Bucarest!F$102+Magdalena!F14*Magdalena!F$102+BFC!F14*BFC!F$102</f>
        <v>724898</v>
      </c>
      <c r="G14" s="3">
        <f>+Descubrimiento!G14*Descubrimiento!G$103+'Rentas SpA'!G14*'Rentas SpA'!G$102+'Pza Const'!G14*'Pza Const'!G$102+'Pza Arauc'!G14*'Pza Arauc'!G$102+RRetail!G14*RRetail!G$102+Bucarest!G14*Bucarest!G$102+Magdalena!G14*Magdalena!G$102+BFC!G14*BFC!G$102</f>
        <v>738960</v>
      </c>
      <c r="H14" s="3">
        <f>+Descubrimiento!H14*Descubrimiento!H$103+'Rentas SpA'!H14*'Rentas SpA'!H$102+'Pza Const'!H14*'Pza Const'!H$102+'Pza Arauc'!H14*'Pza Arauc'!H$102+RRetail!H14*RRetail!H$102+Bucarest!H14*Bucarest!H$102+Magdalena!H14*Magdalena!H$102+BFC!H14*BFC!H$102</f>
        <v>750201</v>
      </c>
      <c r="I14" s="3">
        <f>+Descubrimiento!I14*Descubrimiento!I$103+'Rentas SpA'!I14*'Rentas SpA'!I$102+'Pza Const'!I14*'Pza Const'!I$102+'Pza Arauc'!I14*'Pza Arauc'!I$102+RRetail!I14*RRetail!I$102+Bucarest!I14*Bucarest!I$102+Magdalena!I14*Magdalena!I$102+BFC!I14*BFC!I$102</f>
        <v>756333</v>
      </c>
      <c r="J14" s="3">
        <f>+Descubrimiento!J14*Descubrimiento!J$103+'Rentas SpA'!J14*'Rentas SpA'!J$102+'Pza Const'!J14*'Pza Const'!J$102+'Pza Arauc'!J14*'Pza Arauc'!J$102+RRetail!J14*RRetail!J$102+Bucarest!J14*Bucarest!J$102+Magdalena!J14*Magdalena!J$102+BFC!J14*BFC!J$102</f>
        <v>765631</v>
      </c>
      <c r="K14" s="3">
        <f>+Descubrimiento!K14*Descubrimiento!K$103+'Rentas SpA'!K14*'Rentas SpA'!K$102+'Pza Const'!K14*'Pza Const'!K$102+'Pza Arauc'!K14*'Pza Arauc'!K$102+RRetail!K14*RRetail!K$102+Bucarest!K14*Bucarest!K$102+Magdalena!K14*Magdalena!K$102+BFC!K14*BFC!K$102</f>
        <v>670715</v>
      </c>
      <c r="L14" s="3">
        <f>+Descubrimiento!L14*Descubrimiento!L$103+'Rentas SpA'!L14*'Rentas SpA'!L$102+'Pza Const'!L14*'Pza Const'!L$102+'Pza Arauc'!L14*'Pza Arauc'!L$102+RRetail!L14*RRetail!L$102+Bucarest!L14*Bucarest!L$102+Magdalena!L14*Magdalena!L$102+BFC!L14*BFC!L$102</f>
        <v>694580</v>
      </c>
      <c r="M14" s="3">
        <f>+Descubrimiento!M14*Descubrimiento!M$103+'Rentas SpA'!M14*'Rentas SpA'!M$102+'Pza Const'!M14*'Pza Const'!M$102+'Pza Arauc'!M14*'Pza Arauc'!M$102+RRetail!M14*RRetail!M$102+Bucarest!M14*Bucarest!M$102+Magdalena!M14*Magdalena!M$102+BFC!M14*BFC!M$102</f>
        <v>700680</v>
      </c>
      <c r="N14" s="3">
        <f>+Descubrimiento!N14*Descubrimiento!N$103+'Rentas SpA'!N14*'Rentas SpA'!N$102+'Pza Const'!N14*'Pza Const'!N$102+'Pza Arauc'!N14*'Pza Arauc'!N$102+RRetail!N14*RRetail!N$102+Bucarest!N14*Bucarest!N$102+Magdalena!N14*Magdalena!N$102+BFC!N14*BFC!N$102</f>
        <v>3160988</v>
      </c>
      <c r="O14" s="3">
        <f>+Descubrimiento!O14*Descubrimiento!O$103+'Rentas SpA'!O14*'Rentas SpA'!O$102+'Pza Const'!O14*'Pza Const'!O$102+'Pza Arauc'!O14*'Pza Arauc'!O$102+RRetail!O14*RRetail!O$102+Bucarest!O14*Bucarest!O$102+Magdalena!O14*Magdalena!O$102+BFC!O14*BFC!O$102</f>
        <v>3205360</v>
      </c>
      <c r="P14" s="3">
        <f>+Descubrimiento!P14*Descubrimiento!P$103+'Rentas SpA'!P14*'Rentas SpA'!P$102+'Pza Const'!P14*'Pza Const'!P$102+'Pza Arauc'!P14*'Pza Arauc'!P$102+RRetail!P14*RRetail!P$102+Bucarest!P14*Bucarest!P$102+Magdalena!P14*Magdalena!P$102+BFC!P14*BFC!P$102</f>
        <v>2857664</v>
      </c>
      <c r="Q14" s="3">
        <f>+Descubrimiento!Q14*Descubrimiento!Q$103+'Rentas SpA'!Q14*'Rentas SpA'!Q$102+'Pza Const'!Q14*'Pza Const'!Q$102+'Pza Arauc'!Q14*'Pza Arauc'!Q$102+RRetail!Q14*RRetail!Q$102+Bucarest!Q14*Bucarest!Q$102+Magdalena!Q14*Magdalena!Q$102+BFC!Q14*BFC!Q$102</f>
        <v>2897100</v>
      </c>
      <c r="R14" s="3">
        <f>+Descubrimiento!R14*Descubrimiento!R$103+'Rentas SpA'!R14*'Rentas SpA'!R$102+'Pza Const'!R14*'Pza Const'!R$102+'Pza Arauc'!R14*'Pza Arauc'!R$102+RRetail!R14*RRetail!R$102+Bucarest!R14*Bucarest!R$102+Magdalena!R14*Magdalena!R$102+BFC!R14*BFC!R$102</f>
        <v>2987224</v>
      </c>
      <c r="S14" s="3">
        <f>+Descubrimiento!S14*Descubrimiento!S$103+'Rentas SpA'!S14*'Rentas SpA'!S$102+'Pza Const'!S14*'Pza Const'!S$102+'Pza Arauc'!S14*'Pza Arauc'!S$102+RRetail!S14*RRetail!S$102+Bucarest!S14*Bucarest!S$102+Magdalena!S14*Magdalena!S$102+BFC!S14*BFC!S$102</f>
        <v>3061338</v>
      </c>
      <c r="T14" s="3">
        <f>+Descubrimiento!T14*Descubrimiento!T$103+'Rentas SpA'!T14*'Rentas SpA'!T$102+'Pza Const'!T14*'Pza Const'!T$102+'Pza Arauc'!T14*'Pza Arauc'!T$102+RRetail!T14*RRetail!T$102+Bucarest!T14*Bucarest!T$102+Magdalena!T14*Magdalena!T$102+BFC!T14*BFC!T$102</f>
        <v>3264633</v>
      </c>
      <c r="U14" s="3">
        <f>+Descubrimiento!U14*Descubrimiento!U$103+'Rentas SpA'!U14*'Rentas SpA'!U$102+'Pza Const'!U14*'Pza Const'!U$102+'Pza Arauc'!U14*'Pza Arauc'!U$102+RRetail!U14*RRetail!U$102+Bucarest!U14*Bucarest!U$102+Magdalena!U14*Magdalena!U$102+BFC!U14*BFC!U$102</f>
        <v>3084381</v>
      </c>
      <c r="V14" s="3">
        <f>+Descubrimiento!V14*Descubrimiento!V$103+'Rentas SpA'!V14*'Rentas SpA'!V$102+'Pza Const'!V14*'Pza Const'!V$102+'Pza Arauc'!V14*'Pza Arauc'!V$102+RRetail!V14*RRetail!V$102+Bucarest!V14*Bucarest!V$102+Magdalena!V14*Magdalena!V$102+BFC!V14*BFC!V$102</f>
        <v>3162484</v>
      </c>
      <c r="W14" s="3">
        <f>+Descubrimiento!W14*Descubrimiento!W$103+'Rentas SpA'!W14*'Rentas SpA'!W$102+'Pza Const'!W14*'Pza Const'!W$102+'Pza Arauc'!W14*'Pza Arauc'!W$102+RRetail!W14*RRetail!W$102+Bucarest!W14*Bucarest!W$102+Magdalena!W14*Magdalena!W$102+BFC!W14*BFC!W$102</f>
        <v>3205641.4010000001</v>
      </c>
      <c r="X14" s="3">
        <f>+Descubrimiento!X14*Descubrimiento!X$103+'Rentas SpA'!X14*'Rentas SpA'!X$102+'Pza Const'!X14*'Pza Const'!X$102+'Pza Arauc'!X14*'Pza Arauc'!X$102+RRetail!X14*RRetail!X$102+Bucarest!X14*Bucarest!X$102+Magdalena!X14*Magdalena!X$102+BFC!X14*BFC!X$102</f>
        <v>3253318.8089999999</v>
      </c>
      <c r="Y14" s="3">
        <f>+Descubrimiento!Y14*Descubrimiento!Y$103+'Rentas SpA'!Y14*'Rentas SpA'!Y$102+'Pza Const'!Y14*'Pza Const'!Y$102+'Pza Arauc'!Y14*'Pza Arauc'!Y$102+RRetail!Y14*RRetail!Y$102+Bucarest!Y14*Bucarest!Y$102+Magdalena!Y14*Magdalena!Y$102+BFC!Y14*BFC!Y$102</f>
        <v>3264445.7790000001</v>
      </c>
      <c r="Z14" s="3">
        <f>+Descubrimiento!Z14*Descubrimiento!Z$103+'Rentas SpA'!Z14*'Rentas SpA'!Z$102+'Pza Const'!Z14*'Pza Const'!Z$102+'Pza Arauc'!Z14*'Pza Arauc'!Z$102+RRetail!Z14*RRetail!Z$102+Bucarest!Z14*Bucarest!Z$102+Magdalena!Z14*Magdalena!Z$102+BFC!Z14*BFC!Z$102</f>
        <v>3319237</v>
      </c>
      <c r="AA14" s="3">
        <f>+Descubrimiento!AA14*Descubrimiento!AA$103+'Rentas SpA'!AA14*'Rentas SpA'!AA$102+'Pza Const'!AA14*'Pza Const'!AA$102+'Pza Arauc'!AA14*'Pza Arauc'!AA$102+RRetail!AA14*RRetail!AA$102+Bucarest!AA14*Bucarest!AA$102+Magdalena!AA14*Magdalena!AA$102+BFC!AA14*BFC!AA$102</f>
        <v>3348099</v>
      </c>
      <c r="AB14" s="3">
        <f>+Descubrimiento!AB14*Descubrimiento!AB$103+'Rentas SpA'!AB14*'Rentas SpA'!AB$102+'Pza Const'!AB14*'Pza Const'!AB$102+'Pza Arauc'!AB14*'Pza Arauc'!AB$102+RRetail!AB14*RRetail!AB$102+Bucarest!AB14*Bucarest!AB$102+Magdalena!AB14*Magdalena!AB$102+BFC!AB14*BFC!AB$102</f>
        <v>3102003</v>
      </c>
      <c r="AC14" s="3">
        <f>+Descubrimiento!AC14*Descubrimiento!AC$103+'Rentas SpA'!AC14*'Rentas SpA'!AC$102+'Pza Const'!AC14*'Pza Const'!AC$102+'Pza Arauc'!AC14*'Pza Arauc'!AC$102+RRetail!AC14*RRetail!AC$102+Bucarest!AC14*Bucarest!AC$102+Magdalena!AC14*Magdalena!AC$102+BFC!AC14*BFC!AC$102</f>
        <v>3129956</v>
      </c>
      <c r="AD14" s="3">
        <f>+Descubrimiento!AD14*Descubrimiento!AD$103+'Rentas SpA'!AD14*'Rentas SpA'!AD$102+'Pza Const'!AD14*'Pza Const'!AD$102+'Pza Arauc'!AD14*'Pza Arauc'!AD$102+RRetail!AD14*RRetail!AD$102+Bucarest!AD14*Bucarest!AD$102+Magdalena!AD14*Magdalena!AD$102+BFC!AD14*BFC!AD$102</f>
        <v>0</v>
      </c>
      <c r="AE14" s="3">
        <f>+Descubrimiento!AE14*Descubrimiento!AE$103+'Rentas SpA'!AE14*'Rentas SpA'!AE$102+'Pza Const'!AE14*'Pza Const'!AE$102+'Pza Arauc'!AE14*'Pza Arauc'!AE$102+RRetail!AE14*RRetail!AE$102+Bucarest!AE14*Bucarest!AE$102+Magdalena!AE14*Magdalena!AE$102+BFC!AE14*BFC!AE$102</f>
        <v>20486.748000000021</v>
      </c>
      <c r="AF14" s="3">
        <f>+Descubrimiento!AF14*Descubrimiento!AF$103+'Rentas SpA'!AF14*'Rentas SpA'!AF$102+'Pza Const'!AF14*'Pza Const'!AF$102+'Pza Arauc'!AF14*'Pza Arauc'!AF$102+RRetail!AF14*RRetail!AF$102+Bucarest!AF14*Bucarest!AF$102+Magdalena!AF14*Magdalena!AF$102+BFC!AF14*BFC!AF$102</f>
        <v>100464.79999999999</v>
      </c>
      <c r="AG14" s="3">
        <f>+Descubrimiento!AG14*Descubrimiento!AG$103+'Rentas SpA'!AG14*'Rentas SpA'!AG$102+'Pza Const'!AG14*'Pza Const'!AG$102+'Pza Arauc'!AG14*'Pza Arauc'!AG$102+RRetail!AG14*RRetail!AG$102+Bucarest!AG14*Bucarest!AG$102+Magdalena!AG14*Magdalena!AG$102+BFC!AG14*BFC!AG$102</f>
        <v>101502.39999999999</v>
      </c>
      <c r="AH14" s="3">
        <f>+Descubrimiento!AH14*Descubrimiento!AH$103+'Rentas SpA'!AH14*'Rentas SpA'!AH$102+'Pza Const'!AH14*'Pza Const'!AH$102+'Pza Arauc'!AH14*'Pza Arauc'!AH$102+RRetail!AH14*RRetail!AH$102+Bucarest!AH14*Bucarest!AH$102+Magdalena!AH14*Magdalena!AH$102+BFC!AH14*BFC!AH$102</f>
        <v>81677.399999999994</v>
      </c>
      <c r="AI14" s="3">
        <f>+Descubrimiento!AI14*Descubrimiento!AI$103+'Rentas SpA'!AI14*'Rentas SpA'!AI$102+'Pza Const'!AI14*'Pza Const'!AI$102+'Pza Arauc'!AI14*'Pza Arauc'!AI$102+RRetail!AI14*RRetail!AI$102+Bucarest!AI14*Bucarest!AI$102+Magdalena!AI14*Magdalena!AI$102+BFC!AI14*BFC!AI$102</f>
        <v>656094.6</v>
      </c>
    </row>
    <row r="15" spans="1:35" x14ac:dyDescent="0.3">
      <c r="A15" s="1" t="s">
        <v>108</v>
      </c>
      <c r="B15" s="3">
        <f>+Descubrimiento!B15*Descubrimiento!B$103+'Rentas SpA'!B15*'Rentas SpA'!B$102+'Pza Const'!B15*'Pza Const'!B$102+'Pza Arauc'!B15*'Pza Arauc'!B$102+RRetail!B15*RRetail!B$102+Bucarest!B15*Bucarest!B$102+Magdalena!B15*Magdalena!B$102+BFC!B15*BFC!B$102</f>
        <v>499552</v>
      </c>
      <c r="C15" s="3">
        <f>+Descubrimiento!C15*Descubrimiento!C$103+'Rentas SpA'!C15*'Rentas SpA'!C$102+'Pza Const'!C15*'Pza Const'!C$102+'Pza Arauc'!C15*'Pza Arauc'!C$102+RRetail!C15*RRetail!C$102+Bucarest!C15*Bucarest!C$102+Magdalena!C15*Magdalena!C$102+BFC!C15*BFC!C$102</f>
        <v>51377</v>
      </c>
      <c r="D15" s="3">
        <f>+Descubrimiento!D15*Descubrimiento!D$103+'Rentas SpA'!D15*'Rentas SpA'!D$102+'Pza Const'!D15*'Pza Const'!D$102+'Pza Arauc'!D15*'Pza Arauc'!D$102+RRetail!D15*RRetail!D$102+Bucarest!D15*Bucarest!D$102+Magdalena!D15*Magdalena!D$102+BFC!D15*BFC!D$102</f>
        <v>0</v>
      </c>
      <c r="E15" s="3">
        <f>+Descubrimiento!E15*Descubrimiento!E$103+'Rentas SpA'!E15*'Rentas SpA'!E$102+'Pza Const'!E15*'Pza Const'!E$102+'Pza Arauc'!E15*'Pza Arauc'!E$102+RRetail!E15*RRetail!E$102+Bucarest!E15*Bucarest!E$102+Magdalena!E15*Magdalena!E$102+BFC!E15*BFC!E$102</f>
        <v>0</v>
      </c>
      <c r="F15" s="3">
        <f>+Descubrimiento!F15*Descubrimiento!F$103+'Rentas SpA'!F15*'Rentas SpA'!F$102+'Pza Const'!F15*'Pza Const'!F$102+'Pza Arauc'!F15*'Pza Arauc'!F$102+RRetail!F15*RRetail!F$102+Bucarest!F15*Bucarest!F$102+Magdalena!F15*Magdalena!F$102+BFC!F15*BFC!F$102</f>
        <v>0</v>
      </c>
      <c r="G15" s="3">
        <f>+Descubrimiento!G15*Descubrimiento!G$103+'Rentas SpA'!G15*'Rentas SpA'!G$102+'Pza Const'!G15*'Pza Const'!G$102+'Pza Arauc'!G15*'Pza Arauc'!G$102+RRetail!G15*RRetail!G$102+Bucarest!G15*Bucarest!G$102+Magdalena!G15*Magdalena!G$102+BFC!G15*BFC!G$102</f>
        <v>0</v>
      </c>
      <c r="H15" s="3">
        <f>+Descubrimiento!H15*Descubrimiento!H$103+'Rentas SpA'!H15*'Rentas SpA'!H$102+'Pza Const'!H15*'Pza Const'!H$102+'Pza Arauc'!H15*'Pza Arauc'!H$102+RRetail!H15*RRetail!H$102+Bucarest!H15*Bucarest!H$102+Magdalena!H15*Magdalena!H$102+BFC!H15*BFC!H$102</f>
        <v>0</v>
      </c>
      <c r="I15" s="3">
        <f>+Descubrimiento!I15*Descubrimiento!I$103+'Rentas SpA'!I15*'Rentas SpA'!I$102+'Pza Const'!I15*'Pza Const'!I$102+'Pza Arauc'!I15*'Pza Arauc'!I$102+RRetail!I15*RRetail!I$102+Bucarest!I15*Bucarest!I$102+Magdalena!I15*Magdalena!I$102+BFC!I15*BFC!I$102</f>
        <v>0</v>
      </c>
      <c r="J15" s="3">
        <f>+Descubrimiento!J15*Descubrimiento!J$103+'Rentas SpA'!J15*'Rentas SpA'!J$102+'Pza Const'!J15*'Pza Const'!J$102+'Pza Arauc'!J15*'Pza Arauc'!J$102+RRetail!J15*RRetail!J$102+Bucarest!J15*Bucarest!J$102+Magdalena!J15*Magdalena!J$102+BFC!J15*BFC!J$102</f>
        <v>430580</v>
      </c>
      <c r="K15" s="3">
        <f>+Descubrimiento!K15*Descubrimiento!K$103+'Rentas SpA'!K15*'Rentas SpA'!K$102+'Pza Const'!K15*'Pza Const'!K$102+'Pza Arauc'!K15*'Pza Arauc'!K$102+RRetail!K15*RRetail!K$102+Bucarest!K15*Bucarest!K$102+Magdalena!K15*Magdalena!K$102+BFC!K15*BFC!K$102</f>
        <v>337158</v>
      </c>
      <c r="L15" s="3">
        <f>+Descubrimiento!L15*Descubrimiento!L$103+'Rentas SpA'!L15*'Rentas SpA'!L$102+'Pza Const'!L15*'Pza Const'!L$102+'Pza Arauc'!L15*'Pza Arauc'!L$102+RRetail!L15*RRetail!L$102+Bucarest!L15*Bucarest!L$102+Magdalena!L15*Magdalena!L$102+BFC!L15*BFC!L$102</f>
        <v>337158</v>
      </c>
      <c r="M15" s="3">
        <f>+Descubrimiento!M15*Descubrimiento!M$103+'Rentas SpA'!M15*'Rentas SpA'!M$102+'Pza Const'!M15*'Pza Const'!M$102+'Pza Arauc'!M15*'Pza Arauc'!M$102+RRetail!M15*RRetail!M$102+Bucarest!M15*Bucarest!M$102+Magdalena!M15*Magdalena!M$102+BFC!M15*BFC!M$102</f>
        <v>337158</v>
      </c>
      <c r="N15" s="3">
        <f>+Descubrimiento!N15*Descubrimiento!N$103+'Rentas SpA'!N15*'Rentas SpA'!N$102+'Pza Const'!N15*'Pza Const'!N$102+'Pza Arauc'!N15*'Pza Arauc'!N$102+RRetail!N15*RRetail!N$102+Bucarest!N15*Bucarest!N$102+Magdalena!N15*Magdalena!N$102+BFC!N15*BFC!N$102</f>
        <v>554721.4</v>
      </c>
      <c r="O15" s="3">
        <f>+Descubrimiento!O15*Descubrimiento!O$103+'Rentas SpA'!O15*'Rentas SpA'!O$102+'Pza Const'!O15*'Pza Const'!O$102+'Pza Arauc'!O15*'Pza Arauc'!O$102+RRetail!O15*RRetail!O$102+Bucarest!O15*Bucarest!O$102+Magdalena!O15*Magdalena!O$102+BFC!O15*BFC!O$102</f>
        <v>555792.4</v>
      </c>
      <c r="P15" s="3">
        <f>+Descubrimiento!P15*Descubrimiento!P$103+'Rentas SpA'!P15*'Rentas SpA'!P$102+'Pza Const'!P15*'Pza Const'!P$102+'Pza Arauc'!P15*'Pza Arauc'!P$102+RRetail!P15*RRetail!P$102+Bucarest!P15*Bucarest!P$102+Magdalena!P15*Magdalena!P$102+BFC!P15*BFC!P$102</f>
        <v>7244832.4000000004</v>
      </c>
      <c r="Q15" s="3">
        <f>+Descubrimiento!Q15*Descubrimiento!Q$103+'Rentas SpA'!Q15*'Rentas SpA'!Q$102+'Pza Const'!Q15*'Pza Const'!Q$102+'Pza Arauc'!Q15*'Pza Arauc'!Q$102+RRetail!Q15*RRetail!Q$102+Bucarest!Q15*Bucarest!Q$102+Magdalena!Q15*Magdalena!Q$102+BFC!Q15*BFC!Q$102</f>
        <v>8368076.2000000002</v>
      </c>
      <c r="R15" s="3">
        <f>+Descubrimiento!R15*Descubrimiento!R$103+'Rentas SpA'!R15*'Rentas SpA'!R$102+'Pza Const'!R15*'Pza Const'!R$102+'Pza Arauc'!R15*'Pza Arauc'!R$102+RRetail!R15*RRetail!R$102+Bucarest!R15*Bucarest!R$102+Magdalena!R15*Magdalena!R$102+BFC!R15*BFC!R$102</f>
        <v>369751.19999999995</v>
      </c>
      <c r="S15" s="3">
        <f>+Descubrimiento!S15*Descubrimiento!S$103+'Rentas SpA'!S15*'Rentas SpA'!S$102+'Pza Const'!S15*'Pza Const'!S$102+'Pza Arauc'!S15*'Pza Arauc'!S$102+RRetail!S15*RRetail!S$102+Bucarest!S15*Bucarest!S$102+Magdalena!S15*Magdalena!S$102+BFC!S15*BFC!S$102</f>
        <v>3315219.5999999996</v>
      </c>
      <c r="T15" s="3">
        <f>+Descubrimiento!T15*Descubrimiento!T$103+'Rentas SpA'!T15*'Rentas SpA'!T$102+'Pza Const'!T15*'Pza Const'!T$102+'Pza Arauc'!T15*'Pza Arauc'!T$102+RRetail!T15*RRetail!T$102+Bucarest!T15*Bucarest!T$102+Magdalena!T15*Magdalena!T$102+BFC!T15*BFC!T$102</f>
        <v>16474112.999999998</v>
      </c>
      <c r="U15" s="3">
        <f>+Descubrimiento!U15*Descubrimiento!U$103+'Rentas SpA'!U15*'Rentas SpA'!U$102+'Pza Const'!U15*'Pza Const'!U$102+'Pza Arauc'!U15*'Pza Arauc'!U$102+RRetail!U15*RRetail!U$102+Bucarest!U15*Bucarest!U$102+Magdalena!U15*Magdalena!U$102+BFC!U15*BFC!U$102</f>
        <v>21371118.699999999</v>
      </c>
      <c r="V15" s="3">
        <f>+Descubrimiento!V15*Descubrimiento!V$103+'Rentas SpA'!V15*'Rentas SpA'!V$102+'Pza Const'!V15*'Pza Const'!V$102+'Pza Arauc'!V15*'Pza Arauc'!V$102+RRetail!V15*RRetail!V$102+Bucarest!V15*Bucarest!V$102+Magdalena!V15*Magdalena!V$102+BFC!V15*BFC!V$102</f>
        <v>431241.19999999995</v>
      </c>
      <c r="W15" s="3">
        <f>+Descubrimiento!W15*Descubrimiento!W$103+'Rentas SpA'!W15*'Rentas SpA'!W$102+'Pza Const'!W15*'Pza Const'!W$102+'Pza Arauc'!W15*'Pza Arauc'!W$102+RRetail!W15*RRetail!W$102+Bucarest!W15*Bucarest!W$102+Magdalena!W15*Magdalena!W$102+BFC!W15*BFC!W$102</f>
        <v>433407.19999999995</v>
      </c>
      <c r="X15" s="3">
        <f>+Descubrimiento!X15*Descubrimiento!X$103+'Rentas SpA'!X15*'Rentas SpA'!X$102+'Pza Const'!X15*'Pza Const'!X$102+'Pza Arauc'!X15*'Pza Arauc'!X$102+RRetail!X15*RRetail!X$102+Bucarest!X15*Bucarest!X$102+Magdalena!X15*Magdalena!X$102+BFC!X15*BFC!X$102</f>
        <v>435808.19999999995</v>
      </c>
      <c r="Y15" s="3">
        <f>+Descubrimiento!Y15*Descubrimiento!Y$103+'Rentas SpA'!Y15*'Rentas SpA'!Y$102+'Pza Const'!Y15*'Pza Const'!Y$102+'Pza Arauc'!Y15*'Pza Arauc'!Y$102+RRetail!Y15*RRetail!Y$102+Bucarest!Y15*Bucarest!Y$102+Magdalena!Y15*Magdalena!Y$102+BFC!Y15*BFC!Y$102</f>
        <v>1724301.2</v>
      </c>
      <c r="Z15" s="3">
        <f>+Descubrimiento!Z15*Descubrimiento!Z$103+'Rentas SpA'!Z15*'Rentas SpA'!Z$102+'Pza Const'!Z15*'Pza Const'!Z$102+'Pza Arauc'!Z15*'Pza Arauc'!Z$102+RRetail!Z15*RRetail!Z$102+Bucarest!Z15*Bucarest!Z$102+Magdalena!Z15*Magdalena!Z$102+BFC!Z15*BFC!Z$102</f>
        <v>439072.19999999995</v>
      </c>
      <c r="AA15" s="3">
        <f>+Descubrimiento!AA15*Descubrimiento!AA$103+'Rentas SpA'!AA15*'Rentas SpA'!AA$102+'Pza Const'!AA15*'Pza Const'!AA$102+'Pza Arauc'!AA15*'Pza Arauc'!AA$102+RRetail!AA15*RRetail!AA$102+Bucarest!AA15*Bucarest!AA$102+Magdalena!AA15*Magdalena!AA$102+BFC!AA15*BFC!AA$102</f>
        <v>440488.19999999995</v>
      </c>
      <c r="AB15" s="3">
        <f>+Descubrimiento!AB15*Descubrimiento!AB$103+'Rentas SpA'!AB15*'Rentas SpA'!AB$102+'Pza Const'!AB15*'Pza Const'!AB$102+'Pza Arauc'!AB15*'Pza Arauc'!AB$102+RRetail!AB15*RRetail!AB$102+Bucarest!AB15*Bucarest!AB$102+Magdalena!AB15*Magdalena!AB$102+BFC!AB15*BFC!AB$102</f>
        <v>457647.19999999995</v>
      </c>
      <c r="AC15" s="3">
        <f>+Descubrimiento!AC15*Descubrimiento!AC$103+'Rentas SpA'!AC15*'Rentas SpA'!AC$102+'Pza Const'!AC15*'Pza Const'!AC$102+'Pza Arauc'!AC15*'Pza Arauc'!AC$102+RRetail!AC15*RRetail!AC$102+Bucarest!AC15*Bucarest!AC$102+Magdalena!AC15*Magdalena!AC$102+BFC!AC15*BFC!AC$102</f>
        <v>454340.19999999995</v>
      </c>
      <c r="AD15" s="3">
        <f>+Descubrimiento!AD15*Descubrimiento!AD$103+'Rentas SpA'!AD15*'Rentas SpA'!AD$102+'Pza Const'!AD15*'Pza Const'!AD$102+'Pza Arauc'!AD15*'Pza Arauc'!AD$102+RRetail!AD15*RRetail!AD$102+Bucarest!AD15*Bucarest!AD$102+Magdalena!AD15*Magdalena!AD$102+BFC!AD15*BFC!AD$102</f>
        <v>1006511</v>
      </c>
      <c r="AE15" s="3">
        <f>+Descubrimiento!AE15*Descubrimiento!AE$103+'Rentas SpA'!AE15*'Rentas SpA'!AE$102+'Pza Const'!AE15*'Pza Const'!AE$102+'Pza Arauc'!AE15*'Pza Arauc'!AE$102+RRetail!AE15*RRetail!AE$102+Bucarest!AE15*Bucarest!AE$102+Magdalena!AE15*Magdalena!AE$102+BFC!AE15*BFC!AE$102</f>
        <v>448887.19999999995</v>
      </c>
      <c r="AF15" s="3">
        <f>+Descubrimiento!AF15*Descubrimiento!AF$103+'Rentas SpA'!AF15*'Rentas SpA'!AF$102+'Pza Const'!AF15*'Pza Const'!AF$102+'Pza Arauc'!AF15*'Pza Arauc'!AF$102+RRetail!AF15*RRetail!AF$102+Bucarest!AF15*Bucarest!AF$102+Magdalena!AF15*Magdalena!AF$102+BFC!AF15*BFC!AF$102</f>
        <v>8971406</v>
      </c>
      <c r="AG15" s="3">
        <f>+Descubrimiento!AG15*Descubrimiento!AG$103+'Rentas SpA'!AG15*'Rentas SpA'!AG$102+'Pza Const'!AG15*'Pza Const'!AG$102+'Pza Arauc'!AG15*'Pza Arauc'!AG$102+RRetail!AG15*RRetail!AG$102+Bucarest!AG15*Bucarest!AG$102+Magdalena!AG15*Magdalena!AG$102+BFC!AG15*BFC!AG$102</f>
        <v>7145629</v>
      </c>
      <c r="AH15" s="3">
        <f>+Descubrimiento!AH15*Descubrimiento!AH$103+'Rentas SpA'!AH15*'Rentas SpA'!AH$102+'Pza Const'!AH15*'Pza Const'!AH$102+'Pza Arauc'!AH15*'Pza Arauc'!AH$102+RRetail!AH15*RRetail!AH$102+Bucarest!AH15*Bucarest!AH$102+Magdalena!AH15*Magdalena!AH$102+BFC!AH15*BFC!AH$102</f>
        <v>10824133.399999999</v>
      </c>
      <c r="AI15" s="3">
        <f>+Descubrimiento!AI15*Descubrimiento!AI$103+'Rentas SpA'!AI15*'Rentas SpA'!AI$102+'Pza Const'!AI15*'Pza Const'!AI$102+'Pza Arauc'!AI15*'Pza Arauc'!AI$102+RRetail!AI15*RRetail!AI$102+Bucarest!AI15*Bucarest!AI$102+Magdalena!AI15*Magdalena!AI$102+BFC!AI15*BFC!AI$102</f>
        <v>13891353.199999999</v>
      </c>
    </row>
    <row r="16" spans="1:35" x14ac:dyDescent="0.3">
      <c r="A16" s="1" t="s">
        <v>109</v>
      </c>
      <c r="B16" s="3">
        <f>+Descubrimiento!B16*Descubrimiento!B$103+'Rentas SpA'!B16*'Rentas SpA'!B$102+'Pza Const'!B16*'Pza Const'!B$102+'Pza Arauc'!B16*'Pza Arauc'!B$102+RRetail!B16*RRetail!B$102+Bucarest!B16*Bucarest!B$102+Magdalena!B16*Magdalena!B$102+BFC!B16*BFC!B$102</f>
        <v>22234980</v>
      </c>
      <c r="C16" s="3">
        <f>+Descubrimiento!C16*Descubrimiento!C$103+'Rentas SpA'!C16*'Rentas SpA'!C$102+'Pza Const'!C16*'Pza Const'!C$102+'Pza Arauc'!C16*'Pza Arauc'!C$102+RRetail!C16*RRetail!C$102+Bucarest!C16*Bucarest!C$102+Magdalena!C16*Magdalena!C$102+BFC!C16*BFC!C$102</f>
        <v>19880989</v>
      </c>
      <c r="D16" s="3">
        <f>+Descubrimiento!D16*Descubrimiento!D$103+'Rentas SpA'!D16*'Rentas SpA'!D$102+'Pza Const'!D16*'Pza Const'!D$102+'Pza Arauc'!D16*'Pza Arauc'!D$102+RRetail!D16*RRetail!D$102+Bucarest!D16*Bucarest!D$102+Magdalena!D16*Magdalena!D$102+BFC!D16*BFC!D$102</f>
        <v>19731057</v>
      </c>
      <c r="E16" s="3">
        <f>+Descubrimiento!E16*Descubrimiento!E$103+'Rentas SpA'!E16*'Rentas SpA'!E$102+'Pza Const'!E16*'Pza Const'!E$102+'Pza Arauc'!E16*'Pza Arauc'!E$102+RRetail!E16*RRetail!E$102+Bucarest!E16*Bucarest!E$102+Magdalena!E16*Magdalena!E$102+BFC!E16*BFC!E$102</f>
        <v>26950895</v>
      </c>
      <c r="F16" s="3">
        <f>+Descubrimiento!F16*Descubrimiento!F$103+'Rentas SpA'!F16*'Rentas SpA'!F$102+'Pza Const'!F16*'Pza Const'!F$102+'Pza Arauc'!F16*'Pza Arauc'!F$102+RRetail!F16*RRetail!F$102+Bucarest!F16*Bucarest!F$102+Magdalena!F16*Magdalena!F$102+BFC!F16*BFC!F$102</f>
        <v>141000</v>
      </c>
      <c r="G16" s="3">
        <f>+Descubrimiento!G16*Descubrimiento!G$103+'Rentas SpA'!G16*'Rentas SpA'!G$102+'Pza Const'!G16*'Pza Const'!G$102+'Pza Arauc'!G16*'Pza Arauc'!G$102+RRetail!G16*RRetail!G$102+Bucarest!G16*Bucarest!G$102+Magdalena!G16*Magdalena!G$102+BFC!G16*BFC!G$102</f>
        <v>361004</v>
      </c>
      <c r="H16" s="3">
        <f>+Descubrimiento!H16*Descubrimiento!H$103+'Rentas SpA'!H16*'Rentas SpA'!H$102+'Pza Const'!H16*'Pza Const'!H$102+'Pza Arauc'!H16*'Pza Arauc'!H$102+RRetail!H16*RRetail!H$102+Bucarest!H16*Bucarest!H$102+Magdalena!H16*Magdalena!H$102+BFC!H16*BFC!H$102</f>
        <v>361333</v>
      </c>
      <c r="I16" s="3">
        <f>+Descubrimiento!I16*Descubrimiento!I$103+'Rentas SpA'!I16*'Rentas SpA'!I$102+'Pza Const'!I16*'Pza Const'!I$102+'Pza Arauc'!I16*'Pza Arauc'!I$102+RRetail!I16*RRetail!I$102+Bucarest!I16*Bucarest!I$102+Magdalena!I16*Magdalena!I$102+BFC!I16*BFC!I$102</f>
        <v>6484259</v>
      </c>
      <c r="J16" s="3">
        <f>+Descubrimiento!J16*Descubrimiento!J$103+'Rentas SpA'!J16*'Rentas SpA'!J$102+'Pza Const'!J16*'Pza Const'!J$102+'Pza Arauc'!J16*'Pza Arauc'!J$102+RRetail!J16*RRetail!J$102+Bucarest!J16*Bucarest!J$102+Magdalena!J16*Magdalena!J$102+BFC!J16*BFC!J$102</f>
        <v>0</v>
      </c>
      <c r="K16" s="3">
        <f>+Descubrimiento!K16*Descubrimiento!K$103+'Rentas SpA'!K16*'Rentas SpA'!K$102+'Pza Const'!K16*'Pza Const'!K$102+'Pza Arauc'!K16*'Pza Arauc'!K$102+RRetail!K16*RRetail!K$102+Bucarest!K16*Bucarest!K$102+Magdalena!K16*Magdalena!K$102+BFC!K16*BFC!K$102</f>
        <v>453312</v>
      </c>
      <c r="L16" s="3">
        <f>+Descubrimiento!L16*Descubrimiento!L$103+'Rentas SpA'!L16*'Rentas SpA'!L$102+'Pza Const'!L16*'Pza Const'!L$102+'Pza Arauc'!L16*'Pza Arauc'!L$102+RRetail!L16*RRetail!L$102+Bucarest!L16*Bucarest!L$102+Magdalena!L16*Magdalena!L$102+BFC!L16*BFC!L$102</f>
        <v>436926</v>
      </c>
      <c r="M16" s="3">
        <f>+Descubrimiento!M16*Descubrimiento!M$103+'Rentas SpA'!M16*'Rentas SpA'!M$102+'Pza Const'!M16*'Pza Const'!M$102+'Pza Arauc'!M16*'Pza Arauc'!M$102+RRetail!M16*RRetail!M$102+Bucarest!M16*Bucarest!M$102+Magdalena!M16*Magdalena!M$102+BFC!M16*BFC!M$102</f>
        <v>419325</v>
      </c>
      <c r="N16" s="3">
        <f>+Descubrimiento!N16*Descubrimiento!N$103+'Rentas SpA'!N16*'Rentas SpA'!N$102+'Pza Const'!N16*'Pza Const'!N$102+'Pza Arauc'!N16*'Pza Arauc'!N$102+RRetail!N16*RRetail!N$102+Bucarest!N16*Bucarest!N$102+Magdalena!N16*Magdalena!N$102+BFC!N16*BFC!N$102</f>
        <v>0</v>
      </c>
      <c r="O16" s="3">
        <f>+Descubrimiento!O16*Descubrimiento!O$103+'Rentas SpA'!O16*'Rentas SpA'!O$102+'Pza Const'!O16*'Pza Const'!O$102+'Pza Arauc'!O16*'Pza Arauc'!O$102+RRetail!O16*RRetail!O$102+Bucarest!O16*Bucarest!O$102+Magdalena!O16*Magdalena!O$102+BFC!O16*BFC!O$102</f>
        <v>384035</v>
      </c>
      <c r="P16" s="3">
        <f>+Descubrimiento!P16*Descubrimiento!P$103+'Rentas SpA'!P16*'Rentas SpA'!P$102+'Pza Const'!P16*'Pza Const'!P$102+'Pza Arauc'!P16*'Pza Arauc'!P$102+RRetail!P16*RRetail!P$102+Bucarest!P16*Bucarest!P$102+Magdalena!P16*Magdalena!P$102+BFC!P16*BFC!P$102</f>
        <v>387196</v>
      </c>
      <c r="Q16" s="3">
        <f>+Descubrimiento!Q16*Descubrimiento!Q$103+'Rentas SpA'!Q16*'Rentas SpA'!Q$102+'Pza Const'!Q16*'Pza Const'!Q$102+'Pza Arauc'!Q16*'Pza Arauc'!Q$102+RRetail!Q16*RRetail!Q$102+Bucarest!Q16*Bucarest!Q$102+Magdalena!Q16*Magdalena!Q$102+BFC!Q16*BFC!Q$102</f>
        <v>431961</v>
      </c>
      <c r="R16" s="3">
        <f>+Descubrimiento!R16*Descubrimiento!R$103+'Rentas SpA'!R16*'Rentas SpA'!R$102+'Pza Const'!R16*'Pza Const'!R$102+'Pza Arauc'!R16*'Pza Arauc'!R$102+RRetail!R16*RRetail!R$102+Bucarest!R16*Bucarest!R$102+Magdalena!R16*Magdalena!R$102+BFC!R16*BFC!R$102</f>
        <v>0</v>
      </c>
      <c r="S16" s="3">
        <f>+Descubrimiento!S16*Descubrimiento!S$103+'Rentas SpA'!S16*'Rentas SpA'!S$102+'Pza Const'!S16*'Pza Const'!S$102+'Pza Arauc'!S16*'Pza Arauc'!S$102+RRetail!S16*RRetail!S$102+Bucarest!S16*Bucarest!S$102+Magdalena!S16*Magdalena!S$102+BFC!S16*BFC!S$102</f>
        <v>419235</v>
      </c>
      <c r="T16" s="3">
        <f>+Descubrimiento!T16*Descubrimiento!T$103+'Rentas SpA'!T16*'Rentas SpA'!T$102+'Pza Const'!T16*'Pza Const'!T$102+'Pza Arauc'!T16*'Pza Arauc'!T$102+RRetail!T16*RRetail!T$102+Bucarest!T16*Bucarest!T$102+Magdalena!T16*Magdalena!T$102+BFC!T16*BFC!T$102</f>
        <v>525902</v>
      </c>
      <c r="U16" s="3">
        <f>+Descubrimiento!U16*Descubrimiento!U$103+'Rentas SpA'!U16*'Rentas SpA'!U$102+'Pza Const'!U16*'Pza Const'!U$102+'Pza Arauc'!U16*'Pza Arauc'!U$102+RRetail!U16*RRetail!U$102+Bucarest!U16*Bucarest!U$102+Magdalena!U16*Magdalena!U$102+BFC!U16*BFC!U$102</f>
        <v>510884</v>
      </c>
      <c r="V16" s="3">
        <f>+Descubrimiento!V16*Descubrimiento!V$103+'Rentas SpA'!V16*'Rentas SpA'!V$102+'Pza Const'!V16*'Pza Const'!V$102+'Pza Arauc'!V16*'Pza Arauc'!V$102+RRetail!V16*RRetail!V$102+Bucarest!V16*Bucarest!V$102+Magdalena!V16*Magdalena!V$102+BFC!V16*BFC!V$102</f>
        <v>0</v>
      </c>
      <c r="W16" s="3">
        <f>+Descubrimiento!W16*Descubrimiento!W$103+'Rentas SpA'!W16*'Rentas SpA'!W$102+'Pza Const'!W16*'Pza Const'!W$102+'Pza Arauc'!W16*'Pza Arauc'!W$102+RRetail!W16*RRetail!W$102+Bucarest!W16*Bucarest!W$102+Magdalena!W16*Magdalena!W$102+BFC!W16*BFC!W$102</f>
        <v>420528</v>
      </c>
      <c r="X16" s="3">
        <f>+Descubrimiento!X16*Descubrimiento!X$103+'Rentas SpA'!X16*'Rentas SpA'!X$102+'Pza Const'!X16*'Pza Const'!X$102+'Pza Arauc'!X16*'Pza Arauc'!X$102+RRetail!X16*RRetail!X$102+Bucarest!X16*Bucarest!X$102+Magdalena!X16*Magdalena!X$102+BFC!X16*BFC!X$102</f>
        <v>426513</v>
      </c>
      <c r="Y16" s="3">
        <f>+Descubrimiento!Y16*Descubrimiento!Y$103+'Rentas SpA'!Y16*'Rentas SpA'!Y$102+'Pza Const'!Y16*'Pza Const'!Y$102+'Pza Arauc'!Y16*'Pza Arauc'!Y$102+RRetail!Y16*RRetail!Y$102+Bucarest!Y16*Bucarest!Y$102+Magdalena!Y16*Magdalena!Y$102+BFC!Y16*BFC!Y$102</f>
        <v>1176493</v>
      </c>
      <c r="Z16" s="3">
        <f>+Descubrimiento!Z16*Descubrimiento!Z$103+'Rentas SpA'!Z16*'Rentas SpA'!Z$102+'Pza Const'!Z16*'Pza Const'!Z$102+'Pza Arauc'!Z16*'Pza Arauc'!Z$102+RRetail!Z16*RRetail!Z$102+Bucarest!Z16*Bucarest!Z$102+Magdalena!Z16*Magdalena!Z$102+BFC!Z16*BFC!Z$102</f>
        <v>0</v>
      </c>
      <c r="AA16" s="3">
        <f>+Descubrimiento!AA16*Descubrimiento!AA$103+'Rentas SpA'!AA16*'Rentas SpA'!AA$102+'Pza Const'!AA16*'Pza Const'!AA$102+'Pza Arauc'!AA16*'Pza Arauc'!AA$102+RRetail!AA16*RRetail!AA$102+Bucarest!AA16*Bucarest!AA$102+Magdalena!AA16*Magdalena!AA$102+BFC!AA16*BFC!AA$102</f>
        <v>880635</v>
      </c>
      <c r="AB16" s="3">
        <f>+Descubrimiento!AB16*Descubrimiento!AB$103+'Rentas SpA'!AB16*'Rentas SpA'!AB$102+'Pza Const'!AB16*'Pza Const'!AB$102+'Pza Arauc'!AB16*'Pza Arauc'!AB$102+RRetail!AB16*RRetail!AB$102+Bucarest!AB16*Bucarest!AB$102+Magdalena!AB16*Magdalena!AB$102+BFC!AB16*BFC!AB$102</f>
        <v>826378</v>
      </c>
      <c r="AC16" s="3">
        <f>+Descubrimiento!AC16*Descubrimiento!AC$103+'Rentas SpA'!AC16*'Rentas SpA'!AC$102+'Pza Const'!AC16*'Pza Const'!AC$102+'Pza Arauc'!AC16*'Pza Arauc'!AC$102+RRetail!AC16*RRetail!AC$102+Bucarest!AC16*Bucarest!AC$102+Magdalena!AC16*Magdalena!AC$102+BFC!AC16*BFC!AC$102</f>
        <v>816158</v>
      </c>
      <c r="AD16" s="3">
        <f>+Descubrimiento!AD16*Descubrimiento!AD$103+'Rentas SpA'!AD16*'Rentas SpA'!AD$102+'Pza Const'!AD16*'Pza Const'!AD$102+'Pza Arauc'!AD16*'Pza Arauc'!AD$102+RRetail!AD16*RRetail!AD$102+Bucarest!AD16*Bucarest!AD$102+Magdalena!AD16*Magdalena!AD$102+BFC!AD16*BFC!AD$102</f>
        <v>0</v>
      </c>
      <c r="AE16" s="3">
        <f>+Descubrimiento!AE16*Descubrimiento!AE$103+'Rentas SpA'!AE16*'Rentas SpA'!AE$102+'Pza Const'!AE16*'Pza Const'!AE$102+'Pza Arauc'!AE16*'Pza Arauc'!AE$102+RRetail!AE16*RRetail!AE$102+Bucarest!AE16*Bucarest!AE$102+Magdalena!AE16*Magdalena!AE$102+BFC!AE16*BFC!AE$102</f>
        <v>844131</v>
      </c>
      <c r="AF16" s="3">
        <f>+Descubrimiento!AF16*Descubrimiento!AF$103+'Rentas SpA'!AF16*'Rentas SpA'!AF$102+'Pza Const'!AF16*'Pza Const'!AF$102+'Pza Arauc'!AF16*'Pza Arauc'!AF$102+RRetail!AF16*RRetail!AF$102+Bucarest!AF16*Bucarest!AF$102+Magdalena!AF16*Magdalena!AF$102+BFC!AF16*BFC!AF$102</f>
        <v>1190667</v>
      </c>
      <c r="AG16" s="3">
        <f>+Descubrimiento!AG16*Descubrimiento!AG$103+'Rentas SpA'!AG16*'Rentas SpA'!AG$102+'Pza Const'!AG16*'Pza Const'!AG$102+'Pza Arauc'!AG16*'Pza Arauc'!AG$102+RRetail!AG16*RRetail!AG$102+Bucarest!AG16*Bucarest!AG$102+Magdalena!AG16*Magdalena!AG$102+BFC!AG16*BFC!AG$102</f>
        <v>1244744</v>
      </c>
      <c r="AH16" s="3">
        <f>+Descubrimiento!AH16*Descubrimiento!AH$103+'Rentas SpA'!AH16*'Rentas SpA'!AH$102+'Pza Const'!AH16*'Pza Const'!AH$102+'Pza Arauc'!AH16*'Pza Arauc'!AH$102+RRetail!AH16*RRetail!AH$102+Bucarest!AH16*Bucarest!AH$102+Magdalena!AH16*Magdalena!AH$102+BFC!AH16*BFC!AH$102</f>
        <v>0</v>
      </c>
      <c r="AI16" s="3">
        <f>+Descubrimiento!AI16*Descubrimiento!AI$103+'Rentas SpA'!AI16*'Rentas SpA'!AI$102+'Pza Const'!AI16*'Pza Const'!AI$102+'Pza Arauc'!AI16*'Pza Arauc'!AI$102+RRetail!AI16*RRetail!AI$102+Bucarest!AI16*Bucarest!AI$102+Magdalena!AI16*Magdalena!AI$102+BFC!AI16*BFC!AI$102</f>
        <v>1794276</v>
      </c>
    </row>
    <row r="17" spans="1:35" x14ac:dyDescent="0.3">
      <c r="A17" s="13" t="s">
        <v>110</v>
      </c>
      <c r="B17" s="3">
        <f>+Descubrimiento!B17*Descubrimiento!B$103+'Rentas SpA'!B17*'Rentas SpA'!B$102+'Pza Const'!B17*'Pza Const'!B$102+'Pza Arauc'!B17*'Pza Arauc'!B$102+RRetail!B17*RRetail!B$102+Bucarest!B17*Bucarest!B$102+Magdalena!B17*Magdalena!B$102+BFC!B17*BFC!B$102</f>
        <v>10009292</v>
      </c>
      <c r="C17" s="3">
        <f>+Descubrimiento!C17*Descubrimiento!C$103+'Rentas SpA'!C17*'Rentas SpA'!C$102+'Pza Const'!C17*'Pza Const'!C$102+'Pza Arauc'!C17*'Pza Arauc'!C$102+RRetail!C17*RRetail!C$102+Bucarest!C17*Bucarest!C$102+Magdalena!C17*Magdalena!C$102+BFC!C17*BFC!C$102</f>
        <v>22434686</v>
      </c>
      <c r="D17" s="3">
        <f>+Descubrimiento!D17*Descubrimiento!D$103+'Rentas SpA'!D17*'Rentas SpA'!D$102+'Pza Const'!D17*'Pza Const'!D$102+'Pza Arauc'!D17*'Pza Arauc'!D$102+RRetail!D17*RRetail!D$102+Bucarest!D17*Bucarest!D$102+Magdalena!D17*Magdalena!D$102+BFC!D17*BFC!D$102</f>
        <v>28552231</v>
      </c>
      <c r="E17" s="3">
        <f>+Descubrimiento!E17*Descubrimiento!E$103+'Rentas SpA'!E17*'Rentas SpA'!E$102+'Pza Const'!E17*'Pza Const'!E$102+'Pza Arauc'!E17*'Pza Arauc'!E$102+RRetail!E17*RRetail!E$102+Bucarest!E17*Bucarest!E$102+Magdalena!E17*Magdalena!E$102+BFC!E17*BFC!E$102</f>
        <v>33160492</v>
      </c>
      <c r="F17" s="3">
        <f>+Descubrimiento!F17*Descubrimiento!F$103+'Rentas SpA'!F17*'Rentas SpA'!F$102+'Pza Const'!F17*'Pza Const'!F$102+'Pza Arauc'!F17*'Pza Arauc'!F$102+RRetail!F17*RRetail!F$102+Bucarest!F17*Bucarest!F$102+Magdalena!F17*Magdalena!F$102+BFC!F17*BFC!F$102</f>
        <v>0</v>
      </c>
      <c r="G17" s="3">
        <f>+Descubrimiento!G17*Descubrimiento!G$103+'Rentas SpA'!G17*'Rentas SpA'!G$102+'Pza Const'!G17*'Pza Const'!G$102+'Pza Arauc'!G17*'Pza Arauc'!G$102+RRetail!G17*RRetail!G$102+Bucarest!G17*Bucarest!G$102+Magdalena!G17*Magdalena!G$102+BFC!G17*BFC!G$102</f>
        <v>0</v>
      </c>
      <c r="H17" s="3">
        <f>+Descubrimiento!H17*Descubrimiento!H$103+'Rentas SpA'!H17*'Rentas SpA'!H$102+'Pza Const'!H17*'Pza Const'!H$102+'Pza Arauc'!H17*'Pza Arauc'!H$102+RRetail!H17*RRetail!H$102+Bucarest!H17*Bucarest!H$102+Magdalena!H17*Magdalena!H$102+BFC!H17*BFC!H$102</f>
        <v>0</v>
      </c>
      <c r="I17" s="3">
        <f>+Descubrimiento!I17*Descubrimiento!I$103+'Rentas SpA'!I17*'Rentas SpA'!I$102+'Pza Const'!I17*'Pza Const'!I$102+'Pza Arauc'!I17*'Pza Arauc'!I$102+RRetail!I17*RRetail!I$102+Bucarest!I17*Bucarest!I$102+Magdalena!I17*Magdalena!I$102+BFC!I17*BFC!I$102</f>
        <v>0</v>
      </c>
      <c r="J17" s="3">
        <f>+Descubrimiento!J17*Descubrimiento!J$103+'Rentas SpA'!J17*'Rentas SpA'!J$102+'Pza Const'!J17*'Pza Const'!J$102+'Pza Arauc'!J17*'Pza Arauc'!J$102+RRetail!J17*RRetail!J$102+Bucarest!J17*Bucarest!J$102+Magdalena!J17*Magdalena!J$102+BFC!J17*BFC!J$102</f>
        <v>0</v>
      </c>
      <c r="K17" s="3">
        <f>+Descubrimiento!K17*Descubrimiento!K$103+'Rentas SpA'!K17*'Rentas SpA'!K$102+'Pza Const'!K17*'Pza Const'!K$102+'Pza Arauc'!K17*'Pza Arauc'!K$102+RRetail!K17*RRetail!K$102+Bucarest!K17*Bucarest!K$102+Magdalena!K17*Magdalena!K$102+BFC!K17*BFC!K$102</f>
        <v>1</v>
      </c>
      <c r="L17" s="3">
        <f>+Descubrimiento!L17*Descubrimiento!L$103+'Rentas SpA'!L17*'Rentas SpA'!L$102+'Pza Const'!L17*'Pza Const'!L$102+'Pza Arauc'!L17*'Pza Arauc'!L$102+RRetail!L17*RRetail!L$102+Bucarest!L17*Bucarest!L$102+Magdalena!L17*Magdalena!L$102+BFC!L17*BFC!L$102</f>
        <v>1</v>
      </c>
      <c r="M17" s="3">
        <f>+Descubrimiento!M17*Descubrimiento!M$103+'Rentas SpA'!M17*'Rentas SpA'!M$102+'Pza Const'!M17*'Pza Const'!M$102+'Pza Arauc'!M17*'Pza Arauc'!M$102+RRetail!M17*RRetail!M$102+Bucarest!M17*Bucarest!M$102+Magdalena!M17*Magdalena!M$102+BFC!M17*BFC!M$102</f>
        <v>1</v>
      </c>
      <c r="N17" s="3">
        <f>+Descubrimiento!N17*Descubrimiento!N$103+'Rentas SpA'!N17*'Rentas SpA'!N$102+'Pza Const'!N17*'Pza Const'!N$102+'Pza Arauc'!N17*'Pza Arauc'!N$102+RRetail!N17*RRetail!N$102+Bucarest!N17*Bucarest!N$102+Magdalena!N17*Magdalena!N$102+BFC!N17*BFC!N$102</f>
        <v>0</v>
      </c>
      <c r="O17" s="3">
        <f>+Descubrimiento!O17*Descubrimiento!O$103+'Rentas SpA'!O17*'Rentas SpA'!O$102+'Pza Const'!O17*'Pza Const'!O$102+'Pza Arauc'!O17*'Pza Arauc'!O$102+RRetail!O17*RRetail!O$102+Bucarest!O17*Bucarest!O$102+Magdalena!O17*Magdalena!O$102+BFC!O17*BFC!O$102</f>
        <v>1</v>
      </c>
      <c r="P17" s="3">
        <f>+Descubrimiento!P17*Descubrimiento!P$103+'Rentas SpA'!P17*'Rentas SpA'!P$102+'Pza Const'!P17*'Pza Const'!P$102+'Pza Arauc'!P17*'Pza Arauc'!P$102+RRetail!P17*RRetail!P$102+Bucarest!P17*Bucarest!P$102+Magdalena!P17*Magdalena!P$102+BFC!P17*BFC!P$102</f>
        <v>1</v>
      </c>
      <c r="Q17" s="3">
        <f>+Descubrimiento!Q17*Descubrimiento!Q$103+'Rentas SpA'!Q17*'Rentas SpA'!Q$102+'Pza Const'!Q17*'Pza Const'!Q$102+'Pza Arauc'!Q17*'Pza Arauc'!Q$102+RRetail!Q17*RRetail!Q$102+Bucarest!Q17*Bucarest!Q$102+Magdalena!Q17*Magdalena!Q$102+BFC!Q17*BFC!Q$102</f>
        <v>1</v>
      </c>
      <c r="R17" s="3">
        <f>+Descubrimiento!R17*Descubrimiento!R$103+'Rentas SpA'!R17*'Rentas SpA'!R$102+'Pza Const'!R17*'Pza Const'!R$102+'Pza Arauc'!R17*'Pza Arauc'!R$102+RRetail!R17*RRetail!R$102+Bucarest!R17*Bucarest!R$102+Magdalena!R17*Magdalena!R$102+BFC!R17*BFC!R$102</f>
        <v>0</v>
      </c>
      <c r="S17" s="3">
        <f>+Descubrimiento!S17*Descubrimiento!S$103+'Rentas SpA'!S17*'Rentas SpA'!S$102+'Pza Const'!S17*'Pza Const'!S$102+'Pza Arauc'!S17*'Pza Arauc'!S$102+RRetail!S17*RRetail!S$102+Bucarest!S17*Bucarest!S$102+Magdalena!S17*Magdalena!S$102+BFC!S17*BFC!S$102</f>
        <v>0</v>
      </c>
      <c r="T17" s="3">
        <f>+Descubrimiento!T17*Descubrimiento!T$103+'Rentas SpA'!T17*'Rentas SpA'!T$102+'Pza Const'!T17*'Pza Const'!T$102+'Pza Arauc'!T17*'Pza Arauc'!T$102+RRetail!T17*RRetail!T$102+Bucarest!T17*Bucarest!T$102+Magdalena!T17*Magdalena!T$102+BFC!T17*BFC!T$102</f>
        <v>0</v>
      </c>
      <c r="U17" s="3">
        <f>+Descubrimiento!U17*Descubrimiento!U$103+'Rentas SpA'!U17*'Rentas SpA'!U$102+'Pza Const'!U17*'Pza Const'!U$102+'Pza Arauc'!U17*'Pza Arauc'!U$102+RRetail!U17*RRetail!U$102+Bucarest!U17*Bucarest!U$102+Magdalena!U17*Magdalena!U$102+BFC!U17*BFC!U$102</f>
        <v>0</v>
      </c>
      <c r="V17" s="3">
        <f>+Descubrimiento!V17*Descubrimiento!V$103+'Rentas SpA'!V17*'Rentas SpA'!V$102+'Pza Const'!V17*'Pza Const'!V$102+'Pza Arauc'!V17*'Pza Arauc'!V$102+RRetail!V17*RRetail!V$102+Bucarest!V17*Bucarest!V$102+Magdalena!V17*Magdalena!V$102+BFC!V17*BFC!V$102</f>
        <v>0</v>
      </c>
      <c r="W17" s="3">
        <f>+Descubrimiento!W17*Descubrimiento!W$103+'Rentas SpA'!W17*'Rentas SpA'!W$102+'Pza Const'!W17*'Pza Const'!W$102+'Pza Arauc'!W17*'Pza Arauc'!W$102+RRetail!W17*RRetail!W$102+Bucarest!W17*Bucarest!W$102+Magdalena!W17*Magdalena!W$102+BFC!W17*BFC!W$102</f>
        <v>0</v>
      </c>
      <c r="X17" s="3">
        <f>+Descubrimiento!X17*Descubrimiento!X$103+'Rentas SpA'!X17*'Rentas SpA'!X$102+'Pza Const'!X17*'Pza Const'!X$102+'Pza Arauc'!X17*'Pza Arauc'!X$102+RRetail!X17*RRetail!X$102+Bucarest!X17*Bucarest!X$102+Magdalena!X17*Magdalena!X$102+BFC!X17*BFC!X$102</f>
        <v>0</v>
      </c>
      <c r="Y17" s="3">
        <f>+Descubrimiento!Y17*Descubrimiento!Y$103+'Rentas SpA'!Y17*'Rentas SpA'!Y$102+'Pza Const'!Y17*'Pza Const'!Y$102+'Pza Arauc'!Y17*'Pza Arauc'!Y$102+RRetail!Y17*RRetail!Y$102+Bucarest!Y17*Bucarest!Y$102+Magdalena!Y17*Magdalena!Y$102+BFC!Y17*BFC!Y$102</f>
        <v>0</v>
      </c>
      <c r="Z17" s="3">
        <f>+Descubrimiento!Z17*Descubrimiento!Z$103+'Rentas SpA'!Z17*'Rentas SpA'!Z$102+'Pza Const'!Z17*'Pza Const'!Z$102+'Pza Arauc'!Z17*'Pza Arauc'!Z$102+RRetail!Z17*RRetail!Z$102+Bucarest!Z17*Bucarest!Z$102+Magdalena!Z17*Magdalena!Z$102+BFC!Z17*BFC!Z$102</f>
        <v>3872353</v>
      </c>
      <c r="AA17" s="3">
        <f>+Descubrimiento!AA17*Descubrimiento!AA$103+'Rentas SpA'!AA17*'Rentas SpA'!AA$102+'Pza Const'!AA17*'Pza Const'!AA$102+'Pza Arauc'!AA17*'Pza Arauc'!AA$102+RRetail!AA17*RRetail!AA$102+Bucarest!AA17*Bucarest!AA$102+Magdalena!AA17*Magdalena!AA$102+BFC!AA17*BFC!AA$102</f>
        <v>20957970</v>
      </c>
      <c r="AB17" s="3">
        <f>+Descubrimiento!AB17*Descubrimiento!AB$103+'Rentas SpA'!AB17*'Rentas SpA'!AB$102+'Pza Const'!AB17*'Pza Const'!AB$102+'Pza Arauc'!AB17*'Pza Arauc'!AB$102+RRetail!AB17*RRetail!AB$102+Bucarest!AB17*Bucarest!AB$102+Magdalena!AB17*Magdalena!AB$102+BFC!AB17*BFC!AB$102</f>
        <v>18678382</v>
      </c>
      <c r="AC17" s="3">
        <f>+Descubrimiento!AC17*Descubrimiento!AC$103+'Rentas SpA'!AC17*'Rentas SpA'!AC$102+'Pza Const'!AC17*'Pza Const'!AC$102+'Pza Arauc'!AC17*'Pza Arauc'!AC$102+RRetail!AC17*RRetail!AC$102+Bucarest!AC17*Bucarest!AC$102+Magdalena!AC17*Magdalena!AC$102+BFC!AC17*BFC!AC$102</f>
        <v>18758887</v>
      </c>
      <c r="AD17" s="3">
        <f>+Descubrimiento!AD17*Descubrimiento!AD$103+'Rentas SpA'!AD17*'Rentas SpA'!AD$102+'Pza Const'!AD17*'Pza Const'!AD$102+'Pza Arauc'!AD17*'Pza Arauc'!AD$102+RRetail!AD17*RRetail!AD$102+Bucarest!AD17*Bucarest!AD$102+Magdalena!AD17*Magdalena!AD$102+BFC!AD17*BFC!AD$102</f>
        <v>2813285</v>
      </c>
      <c r="AE17" s="3">
        <f>+Descubrimiento!AE17*Descubrimiento!AE$103+'Rentas SpA'!AE17*'Rentas SpA'!AE$102+'Pza Const'!AE17*'Pza Const'!AE$102+'Pza Arauc'!AE17*'Pza Arauc'!AE$102+RRetail!AE17*RRetail!AE$102+Bucarest!AE17*Bucarest!AE$102+Magdalena!AE17*Magdalena!AE$102+BFC!AE17*BFC!AE$102</f>
        <v>15169507</v>
      </c>
      <c r="AF17" s="3">
        <f>+Descubrimiento!AF17*Descubrimiento!AF$103+'Rentas SpA'!AF17*'Rentas SpA'!AF$102+'Pza Const'!AF17*'Pza Const'!AF$102+'Pza Arauc'!AF17*'Pza Arauc'!AF$102+RRetail!AF17*RRetail!AF$102+Bucarest!AF17*Bucarest!AF$102+Magdalena!AF17*Magdalena!AF$102+BFC!AF17*BFC!AF$102</f>
        <v>14346733</v>
      </c>
      <c r="AG17" s="3">
        <f>+Descubrimiento!AG17*Descubrimiento!AG$103+'Rentas SpA'!AG17*'Rentas SpA'!AG$102+'Pza Const'!AG17*'Pza Const'!AG$102+'Pza Arauc'!AG17*'Pza Arauc'!AG$102+RRetail!AG17*RRetail!AG$102+Bucarest!AG17*Bucarest!AG$102+Magdalena!AG17*Magdalena!AG$102+BFC!AG17*BFC!AG$102</f>
        <v>14290224</v>
      </c>
      <c r="AH17" s="3">
        <f>+Descubrimiento!AH17*Descubrimiento!AH$103+'Rentas SpA'!AH17*'Rentas SpA'!AH$102+'Pza Const'!AH17*'Pza Const'!AH$102+'Pza Arauc'!AH17*'Pza Arauc'!AH$102+RRetail!AH17*RRetail!AH$102+Bucarest!AH17*Bucarest!AH$102+Magdalena!AH17*Magdalena!AH$102+BFC!AH17*BFC!AH$102</f>
        <v>2688783</v>
      </c>
      <c r="AI17" s="3">
        <f>+Descubrimiento!AI17*Descubrimiento!AI$103+'Rentas SpA'!AI17*'Rentas SpA'!AI$102+'Pza Const'!AI17*'Pza Const'!AI$102+'Pza Arauc'!AI17*'Pza Arauc'!AI$102+RRetail!AI17*RRetail!AI$102+Bucarest!AI17*Bucarest!AI$102+Magdalena!AI17*Magdalena!AI$102+BFC!AI17*BFC!AI$102</f>
        <v>14332133</v>
      </c>
    </row>
    <row r="18" spans="1:35" x14ac:dyDescent="0.3">
      <c r="A18" s="13" t="s">
        <v>111</v>
      </c>
      <c r="B18" s="3">
        <f>+Descubrimiento!B18*Descubrimiento!B$103+'Rentas SpA'!B18*'Rentas SpA'!B$102+'Pza Const'!B18*'Pza Const'!B$102+'Pza Arauc'!B18*'Pza Arauc'!B$102+RRetail!B18*RRetail!B$102+Bucarest!B18*Bucarest!B$102+Magdalena!B18*Magdalena!B$102+BFC!B18*BFC!B$102</f>
        <v>0</v>
      </c>
      <c r="C18" s="3">
        <f>+Descubrimiento!C18*Descubrimiento!C$103+'Rentas SpA'!C18*'Rentas SpA'!C$102+'Pza Const'!C18*'Pza Const'!C$102+'Pza Arauc'!C18*'Pza Arauc'!C$102+RRetail!C18*RRetail!C$102+Bucarest!C18*Bucarest!C$102+Magdalena!C18*Magdalena!C$102+BFC!C18*BFC!C$102</f>
        <v>3231953</v>
      </c>
      <c r="D18" s="3">
        <f>+Descubrimiento!D18*Descubrimiento!D$103+'Rentas SpA'!D18*'Rentas SpA'!D$102+'Pza Const'!D18*'Pza Const'!D$102+'Pza Arauc'!D18*'Pza Arauc'!D$102+RRetail!D18*RRetail!D$102+Bucarest!D18*Bucarest!D$102+Magdalena!D18*Magdalena!D$102+BFC!D18*BFC!D$102</f>
        <v>3231953</v>
      </c>
      <c r="E18" s="3">
        <f>+Descubrimiento!E18*Descubrimiento!E$103+'Rentas SpA'!E18*'Rentas SpA'!E$102+'Pza Const'!E18*'Pza Const'!E$102+'Pza Arauc'!E18*'Pza Arauc'!E$102+RRetail!E18*RRetail!E$102+Bucarest!E18*Bucarest!E$102+Magdalena!E18*Magdalena!E$102+BFC!E18*BFC!E$102</f>
        <v>3231953</v>
      </c>
      <c r="F18" s="3">
        <f>+Descubrimiento!F18*Descubrimiento!F$103+'Rentas SpA'!F18*'Rentas SpA'!F$102+'Pza Const'!F18*'Pza Const'!F$102+'Pza Arauc'!F18*'Pza Arauc'!F$102+RRetail!F18*RRetail!F$102+Bucarest!F18*Bucarest!F$102+Magdalena!F18*Magdalena!F$102+BFC!F18*BFC!F$102</f>
        <v>0</v>
      </c>
      <c r="G18" s="3">
        <f>+Descubrimiento!G18*Descubrimiento!G$103+'Rentas SpA'!G18*'Rentas SpA'!G$102+'Pza Const'!G18*'Pza Const'!G$102+'Pza Arauc'!G18*'Pza Arauc'!G$102+RRetail!G18*RRetail!G$102+Bucarest!G18*Bucarest!G$102+Magdalena!G18*Magdalena!G$102+BFC!G18*BFC!G$102</f>
        <v>0</v>
      </c>
      <c r="H18" s="3">
        <f>+Descubrimiento!H18*Descubrimiento!H$103+'Rentas SpA'!H18*'Rentas SpA'!H$102+'Pza Const'!H18*'Pza Const'!H$102+'Pza Arauc'!H18*'Pza Arauc'!H$102+RRetail!H18*RRetail!H$102+Bucarest!H18*Bucarest!H$102+Magdalena!H18*Magdalena!H$102+BFC!H18*BFC!H$102</f>
        <v>0</v>
      </c>
      <c r="I18" s="3">
        <f>+Descubrimiento!I18*Descubrimiento!I$103+'Rentas SpA'!I18*'Rentas SpA'!I$102+'Pza Const'!I18*'Pza Const'!I$102+'Pza Arauc'!I18*'Pza Arauc'!I$102+RRetail!I18*RRetail!I$102+Bucarest!I18*Bucarest!I$102+Magdalena!I18*Magdalena!I$102+BFC!I18*BFC!I$102</f>
        <v>0</v>
      </c>
      <c r="J18" s="3">
        <f>+Descubrimiento!J18*Descubrimiento!J$103+'Rentas SpA'!J18*'Rentas SpA'!J$102+'Pza Const'!J18*'Pza Const'!J$102+'Pza Arauc'!J18*'Pza Arauc'!J$102+RRetail!J18*RRetail!J$102+Bucarest!J18*Bucarest!J$102+Magdalena!J18*Magdalena!J$102+BFC!J18*BFC!J$102</f>
        <v>0</v>
      </c>
      <c r="K18" s="3">
        <f>+Descubrimiento!K18*Descubrimiento!K$103+'Rentas SpA'!K18*'Rentas SpA'!K$102+'Pza Const'!K18*'Pza Const'!K$102+'Pza Arauc'!K18*'Pza Arauc'!K$102+RRetail!K18*RRetail!K$102+Bucarest!K18*Bucarest!K$102+Magdalena!K18*Magdalena!K$102+BFC!K18*BFC!K$102</f>
        <v>0</v>
      </c>
      <c r="L18" s="3">
        <f>+Descubrimiento!L18*Descubrimiento!L$103+'Rentas SpA'!L18*'Rentas SpA'!L$102+'Pza Const'!L18*'Pza Const'!L$102+'Pza Arauc'!L18*'Pza Arauc'!L$102+RRetail!L18*RRetail!L$102+Bucarest!L18*Bucarest!L$102+Magdalena!L18*Magdalena!L$102+BFC!L18*BFC!L$102</f>
        <v>0</v>
      </c>
      <c r="M18" s="3">
        <f>+Descubrimiento!M18*Descubrimiento!M$103+'Rentas SpA'!M18*'Rentas SpA'!M$102+'Pza Const'!M18*'Pza Const'!M$102+'Pza Arauc'!M18*'Pza Arauc'!M$102+RRetail!M18*RRetail!M$102+Bucarest!M18*Bucarest!M$102+Magdalena!M18*Magdalena!M$102+BFC!M18*BFC!M$102</f>
        <v>0</v>
      </c>
      <c r="N18" s="3">
        <f>+Descubrimiento!N18*Descubrimiento!N$103+'Rentas SpA'!N18*'Rentas SpA'!N$102+'Pza Const'!N18*'Pza Const'!N$102+'Pza Arauc'!N18*'Pza Arauc'!N$102+RRetail!N18*RRetail!N$102+Bucarest!N18*Bucarest!N$102+Magdalena!N18*Magdalena!N$102+BFC!N18*BFC!N$102</f>
        <v>0</v>
      </c>
      <c r="O18" s="3">
        <f>+Descubrimiento!O18*Descubrimiento!O$103+'Rentas SpA'!O18*'Rentas SpA'!O$102+'Pza Const'!O18*'Pza Const'!O$102+'Pza Arauc'!O18*'Pza Arauc'!O$102+RRetail!O18*RRetail!O$102+Bucarest!O18*Bucarest!O$102+Magdalena!O18*Magdalena!O$102+BFC!O18*BFC!O$102</f>
        <v>0</v>
      </c>
      <c r="P18" s="3">
        <f>+Descubrimiento!P18*Descubrimiento!P$103+'Rentas SpA'!P18*'Rentas SpA'!P$102+'Pza Const'!P18*'Pza Const'!P$102+'Pza Arauc'!P18*'Pza Arauc'!P$102+RRetail!P18*RRetail!P$102+Bucarest!P18*Bucarest!P$102+Magdalena!P18*Magdalena!P$102+BFC!P18*BFC!P$102</f>
        <v>0</v>
      </c>
      <c r="Q18" s="3">
        <f>+Descubrimiento!Q18*Descubrimiento!Q$103+'Rentas SpA'!Q18*'Rentas SpA'!Q$102+'Pza Const'!Q18*'Pza Const'!Q$102+'Pza Arauc'!Q18*'Pza Arauc'!Q$102+RRetail!Q18*RRetail!Q$102+Bucarest!Q18*Bucarest!Q$102+Magdalena!Q18*Magdalena!Q$102+BFC!Q18*BFC!Q$102</f>
        <v>0</v>
      </c>
      <c r="R18" s="3">
        <f>+Descubrimiento!R18*Descubrimiento!R$103+'Rentas SpA'!R18*'Rentas SpA'!R$102+'Pza Const'!R18*'Pza Const'!R$102+'Pza Arauc'!R18*'Pza Arauc'!R$102+RRetail!R18*RRetail!R$102+Bucarest!R18*Bucarest!R$102+Magdalena!R18*Magdalena!R$102+BFC!R18*BFC!R$102</f>
        <v>0</v>
      </c>
      <c r="S18" s="3">
        <f>+Descubrimiento!S18*Descubrimiento!S$103+'Rentas SpA'!S18*'Rentas SpA'!S$102+'Pza Const'!S18*'Pza Const'!S$102+'Pza Arauc'!S18*'Pza Arauc'!S$102+RRetail!S18*RRetail!S$102+Bucarest!S18*Bucarest!S$102+Magdalena!S18*Magdalena!S$102+BFC!S18*BFC!S$102</f>
        <v>0</v>
      </c>
      <c r="T18" s="3">
        <f>+Descubrimiento!T18*Descubrimiento!T$103+'Rentas SpA'!T18*'Rentas SpA'!T$102+'Pza Const'!T18*'Pza Const'!T$102+'Pza Arauc'!T18*'Pza Arauc'!T$102+RRetail!T18*RRetail!T$102+Bucarest!T18*Bucarest!T$102+Magdalena!T18*Magdalena!T$102+BFC!T18*BFC!T$102</f>
        <v>0</v>
      </c>
      <c r="U18" s="3">
        <f>+Descubrimiento!U18*Descubrimiento!U$103+'Rentas SpA'!U18*'Rentas SpA'!U$102+'Pza Const'!U18*'Pza Const'!U$102+'Pza Arauc'!U18*'Pza Arauc'!U$102+RRetail!U18*RRetail!U$102+Bucarest!U18*Bucarest!U$102+Magdalena!U18*Magdalena!U$102+BFC!U18*BFC!U$102</f>
        <v>0</v>
      </c>
      <c r="V18" s="3">
        <f>+Descubrimiento!V18*Descubrimiento!V$103+'Rentas SpA'!V18*'Rentas SpA'!V$102+'Pza Const'!V18*'Pza Const'!V$102+'Pza Arauc'!V18*'Pza Arauc'!V$102+RRetail!V18*RRetail!V$102+Bucarest!V18*Bucarest!V$102+Magdalena!V18*Magdalena!V$102+BFC!V18*BFC!V$102</f>
        <v>0</v>
      </c>
      <c r="W18" s="3">
        <f>+Descubrimiento!W18*Descubrimiento!W$103+'Rentas SpA'!W18*'Rentas SpA'!W$102+'Pza Const'!W18*'Pza Const'!W$102+'Pza Arauc'!W18*'Pza Arauc'!W$102+RRetail!W18*RRetail!W$102+Bucarest!W18*Bucarest!W$102+Magdalena!W18*Magdalena!W$102+BFC!W18*BFC!W$102</f>
        <v>0</v>
      </c>
      <c r="X18" s="3">
        <f>+Descubrimiento!X18*Descubrimiento!X$103+'Rentas SpA'!X18*'Rentas SpA'!X$102+'Pza Const'!X18*'Pza Const'!X$102+'Pza Arauc'!X18*'Pza Arauc'!X$102+RRetail!X18*RRetail!X$102+Bucarest!X18*Bucarest!X$102+Magdalena!X18*Magdalena!X$102+BFC!X18*BFC!X$102</f>
        <v>0</v>
      </c>
      <c r="Y18" s="3">
        <f>+Descubrimiento!Y18*Descubrimiento!Y$103+'Rentas SpA'!Y18*'Rentas SpA'!Y$102+'Pza Const'!Y18*'Pza Const'!Y$102+'Pza Arauc'!Y18*'Pza Arauc'!Y$102+RRetail!Y18*RRetail!Y$102+Bucarest!Y18*Bucarest!Y$102+Magdalena!Y18*Magdalena!Y$102+BFC!Y18*BFC!Y$102</f>
        <v>0</v>
      </c>
      <c r="Z18" s="3">
        <f>+Descubrimiento!Z18*Descubrimiento!Z$103+'Rentas SpA'!Z18*'Rentas SpA'!Z$102+'Pza Const'!Z18*'Pza Const'!Z$102+'Pza Arauc'!Z18*'Pza Arauc'!Z$102+RRetail!Z18*RRetail!Z$102+Bucarest!Z18*Bucarest!Z$102+Magdalena!Z18*Magdalena!Z$102+BFC!Z18*BFC!Z$102</f>
        <v>0</v>
      </c>
      <c r="AA18" s="3">
        <f>+Descubrimiento!AA18*Descubrimiento!AA$103+'Rentas SpA'!AA18*'Rentas SpA'!AA$102+'Pza Const'!AA18*'Pza Const'!AA$102+'Pza Arauc'!AA18*'Pza Arauc'!AA$102+RRetail!AA18*RRetail!AA$102+Bucarest!AA18*Bucarest!AA$102+Magdalena!AA18*Magdalena!AA$102+BFC!AA18*BFC!AA$102</f>
        <v>0</v>
      </c>
      <c r="AB18" s="3">
        <f>+Descubrimiento!AB18*Descubrimiento!AB$103+'Rentas SpA'!AB18*'Rentas SpA'!AB$102+'Pza Const'!AB18*'Pza Const'!AB$102+'Pza Arauc'!AB18*'Pza Arauc'!AB$102+RRetail!AB18*RRetail!AB$102+Bucarest!AB18*Bucarest!AB$102+Magdalena!AB18*Magdalena!AB$102+BFC!AB18*BFC!AB$102</f>
        <v>0</v>
      </c>
      <c r="AC18" s="3">
        <f>+Descubrimiento!AC18*Descubrimiento!AC$103+'Rentas SpA'!AC18*'Rentas SpA'!AC$102+'Pza Const'!AC18*'Pza Const'!AC$102+'Pza Arauc'!AC18*'Pza Arauc'!AC$102+RRetail!AC18*RRetail!AC$102+Bucarest!AC18*Bucarest!AC$102+Magdalena!AC18*Magdalena!AC$102+BFC!AC18*BFC!AC$102</f>
        <v>0</v>
      </c>
      <c r="AD18" s="3">
        <f>+Descubrimiento!AD18*Descubrimiento!AD$103+'Rentas SpA'!AD18*'Rentas SpA'!AD$102+'Pza Const'!AD18*'Pza Const'!AD$102+'Pza Arauc'!AD18*'Pza Arauc'!AD$102+RRetail!AD18*RRetail!AD$102+Bucarest!AD18*Bucarest!AD$102+Magdalena!AD18*Magdalena!AD$102+BFC!AD18*BFC!AD$102</f>
        <v>0</v>
      </c>
      <c r="AE18" s="3">
        <f>+Descubrimiento!AE18*Descubrimiento!AE$103+'Rentas SpA'!AE18*'Rentas SpA'!AE$102+'Pza Const'!AE18*'Pza Const'!AE$102+'Pza Arauc'!AE18*'Pza Arauc'!AE$102+RRetail!AE18*RRetail!AE$102+Bucarest!AE18*Bucarest!AE$102+Magdalena!AE18*Magdalena!AE$102+BFC!AE18*BFC!AE$102</f>
        <v>0</v>
      </c>
      <c r="AF18" s="3">
        <f>+Descubrimiento!AF18*Descubrimiento!AF$103+'Rentas SpA'!AF18*'Rentas SpA'!AF$102+'Pza Const'!AF18*'Pza Const'!AF$102+'Pza Arauc'!AF18*'Pza Arauc'!AF$102+RRetail!AF18*RRetail!AF$102+Bucarest!AF18*Bucarest!AF$102+Magdalena!AF18*Magdalena!AF$102+BFC!AF18*BFC!AF$102</f>
        <v>0</v>
      </c>
      <c r="AG18" s="3">
        <f>+Descubrimiento!AG18*Descubrimiento!AG$103+'Rentas SpA'!AG18*'Rentas SpA'!AG$102+'Pza Const'!AG18*'Pza Const'!AG$102+'Pza Arauc'!AG18*'Pza Arauc'!AG$102+RRetail!AG18*RRetail!AG$102+Bucarest!AG18*Bucarest!AG$102+Magdalena!AG18*Magdalena!AG$102+BFC!AG18*BFC!AG$102</f>
        <v>0</v>
      </c>
      <c r="AH18" s="3">
        <f>+Descubrimiento!AH18*Descubrimiento!AH$103+'Rentas SpA'!AH18*'Rentas SpA'!AH$102+'Pza Const'!AH18*'Pza Const'!AH$102+'Pza Arauc'!AH18*'Pza Arauc'!AH$102+RRetail!AH18*RRetail!AH$102+Bucarest!AH18*Bucarest!AH$102+Magdalena!AH18*Magdalena!AH$102+BFC!AH18*BFC!AH$102</f>
        <v>0</v>
      </c>
      <c r="AI18" s="3">
        <f>+Descubrimiento!AI18*Descubrimiento!AI$103+'Rentas SpA'!AI18*'Rentas SpA'!AI$102+'Pza Const'!AI18*'Pza Const'!AI$102+'Pza Arauc'!AI18*'Pza Arauc'!AI$102+RRetail!AI18*RRetail!AI$102+Bucarest!AI18*Bucarest!AI$102+Magdalena!AI18*Magdalena!AI$102+BFC!AI18*BFC!AI$102</f>
        <v>0</v>
      </c>
    </row>
    <row r="19" spans="1:35" x14ac:dyDescent="0.3">
      <c r="A19" s="1" t="s">
        <v>112</v>
      </c>
      <c r="B19" s="3">
        <f>+Descubrimiento!B19*Descubrimiento!B$103+'Rentas SpA'!B19*'Rentas SpA'!B$102+'Pza Const'!B19*'Pza Const'!B$102+'Pza Arauc'!B19*'Pza Arauc'!B$102+RRetail!B19*RRetail!B$102+Bucarest!B19*Bucarest!B$102+Magdalena!B19*Magdalena!B$102+BFC!B19*BFC!B$102</f>
        <v>304432130.5</v>
      </c>
      <c r="C19" s="3">
        <f>+Descubrimiento!C19*Descubrimiento!C$103+'Rentas SpA'!C19*'Rentas SpA'!C$102+'Pza Const'!C19*'Pza Const'!C$102+'Pza Arauc'!C19*'Pza Arauc'!C$102+RRetail!C19*RRetail!C$102+Bucarest!C19*Bucarest!C$102+Magdalena!C19*Magdalena!C$102+BFC!C19*BFC!C$102</f>
        <v>319815770.5</v>
      </c>
      <c r="D19" s="3">
        <f>+Descubrimiento!D19*Descubrimiento!D$103+'Rentas SpA'!D19*'Rentas SpA'!D$102+'Pza Const'!D19*'Pza Const'!D$102+'Pza Arauc'!D19*'Pza Arauc'!D$102+RRetail!D19*RRetail!D$102+Bucarest!D19*Bucarest!D$102+Magdalena!D19*Magdalena!D$102+BFC!D19*BFC!D$102</f>
        <v>383369232</v>
      </c>
      <c r="E19" s="3">
        <f>+Descubrimiento!E19*Descubrimiento!E$103+'Rentas SpA'!E19*'Rentas SpA'!E$102+'Pza Const'!E19*'Pza Const'!E$102+'Pza Arauc'!E19*'Pza Arauc'!E$102+RRetail!E19*RRetail!E$102+Bucarest!E19*Bucarest!E$102+Magdalena!E19*Magdalena!E$102+BFC!E19*BFC!E$102</f>
        <v>424855691</v>
      </c>
      <c r="F19" s="3">
        <f>+Descubrimiento!F19*Descubrimiento!F$103+'Rentas SpA'!F19*'Rentas SpA'!F$102+'Pza Const'!F19*'Pza Const'!F$102+'Pza Arauc'!F19*'Pza Arauc'!F$102+RRetail!F19*RRetail!F$102+Bucarest!F19*Bucarest!F$102+Magdalena!F19*Magdalena!F$102+BFC!F19*BFC!F$102</f>
        <v>481972922</v>
      </c>
      <c r="G19" s="3">
        <f>+Descubrimiento!G19*Descubrimiento!G$103+'Rentas SpA'!G19*'Rentas SpA'!G$102+'Pza Const'!G19*'Pza Const'!G$102+'Pza Arauc'!G19*'Pza Arauc'!G$102+RRetail!G19*RRetail!G$102+Bucarest!G19*Bucarest!G$102+Magdalena!G19*Magdalena!G$102+BFC!G19*BFC!G$102</f>
        <v>493821530</v>
      </c>
      <c r="H19" s="3">
        <f>+Descubrimiento!H19*Descubrimiento!H$103+'Rentas SpA'!H19*'Rentas SpA'!H$102+'Pza Const'!H19*'Pza Const'!H$102+'Pza Arauc'!H19*'Pza Arauc'!H$102+RRetail!H19*RRetail!H$102+Bucarest!H19*Bucarest!H$102+Magdalena!H19*Magdalena!H$102+BFC!H19*BFC!H$102</f>
        <v>500191957</v>
      </c>
      <c r="I19" s="3">
        <f>+Descubrimiento!I19*Descubrimiento!I$103+'Rentas SpA'!I19*'Rentas SpA'!I$102+'Pza Const'!I19*'Pza Const'!I$102+'Pza Arauc'!I19*'Pza Arauc'!I$102+RRetail!I19*RRetail!I$102+Bucarest!I19*Bucarest!I$102+Magdalena!I19*Magdalena!I$102+BFC!I19*BFC!I$102</f>
        <v>520385081</v>
      </c>
      <c r="J19" s="3">
        <f>+Descubrimiento!J19*Descubrimiento!J$103+'Rentas SpA'!J19*'Rentas SpA'!J$102+'Pza Const'!J19*'Pza Const'!J$102+'Pza Arauc'!J19*'Pza Arauc'!J$102+RRetail!J19*RRetail!J$102+Bucarest!J19*Bucarest!J$102+Magdalena!J19*Magdalena!J$102+BFC!J19*BFC!J$102</f>
        <v>519602466</v>
      </c>
      <c r="K19" s="3">
        <f>+Descubrimiento!K19*Descubrimiento!K$103+'Rentas SpA'!K19*'Rentas SpA'!K$102+'Pza Const'!K19*'Pza Const'!K$102+'Pza Arauc'!K19*'Pza Arauc'!K$102+RRetail!K19*RRetail!K$102+Bucarest!K19*Bucarest!K$102+Magdalena!K19*Magdalena!K$102+BFC!K19*BFC!K$102</f>
        <v>525268247</v>
      </c>
      <c r="L19" s="3">
        <f>+Descubrimiento!L19*Descubrimiento!L$103+'Rentas SpA'!L19*'Rentas SpA'!L$102+'Pza Const'!L19*'Pza Const'!L$102+'Pza Arauc'!L19*'Pza Arauc'!L$102+RRetail!L19*RRetail!L$102+Bucarest!L19*Bucarest!L$102+Magdalena!L19*Magdalena!L$102+BFC!L19*BFC!L$102</f>
        <v>525327439</v>
      </c>
      <c r="M19" s="3">
        <f>+Descubrimiento!M19*Descubrimiento!M$103+'Rentas SpA'!M19*'Rentas SpA'!M$102+'Pza Const'!M19*'Pza Const'!M$102+'Pza Arauc'!M19*'Pza Arauc'!M$102+RRetail!M19*RRetail!M$102+Bucarest!M19*Bucarest!M$102+Magdalena!M19*Magdalena!M$102+BFC!M19*BFC!M$102</f>
        <v>526916579</v>
      </c>
      <c r="N19" s="3">
        <f>+Descubrimiento!N19*Descubrimiento!N$103+'Rentas SpA'!N19*'Rentas SpA'!N$102+'Pza Const'!N19*'Pza Const'!N$102+'Pza Arauc'!N19*'Pza Arauc'!N$102+RRetail!N19*RRetail!N$102+Bucarest!N19*Bucarest!N$102+Magdalena!N19*Magdalena!N$102+BFC!N19*BFC!N$102</f>
        <v>728054376</v>
      </c>
      <c r="O19" s="3">
        <f>+Descubrimiento!O19*Descubrimiento!O$103+'Rentas SpA'!O19*'Rentas SpA'!O$102+'Pza Const'!O19*'Pza Const'!O$102+'Pza Arauc'!O19*'Pza Arauc'!O$102+RRetail!O19*RRetail!O$102+Bucarest!O19*Bucarest!O$102+Magdalena!O19*Magdalena!O$102+BFC!O19*BFC!O$102</f>
        <v>736115246</v>
      </c>
      <c r="P19" s="3">
        <f>+Descubrimiento!P19*Descubrimiento!P$103+'Rentas SpA'!P19*'Rentas SpA'!P$102+'Pza Const'!P19*'Pza Const'!P$102+'Pza Arauc'!P19*'Pza Arauc'!P$102+RRetail!P19*RRetail!P$102+Bucarest!P19*Bucarest!P$102+Magdalena!P19*Magdalena!P$102+BFC!P19*BFC!P$102</f>
        <v>744084315.20000005</v>
      </c>
      <c r="Q19" s="3">
        <f>+Descubrimiento!Q19*Descubrimiento!Q$103+'Rentas SpA'!Q19*'Rentas SpA'!Q$102+'Pza Const'!Q19*'Pza Const'!Q$102+'Pza Arauc'!Q19*'Pza Arauc'!Q$102+RRetail!Q19*RRetail!Q$102+Bucarest!Q19*Bucarest!Q$102+Magdalena!Q19*Magdalena!Q$102+BFC!Q19*BFC!Q$102</f>
        <v>751406042.20000005</v>
      </c>
      <c r="R19" s="3">
        <f>+Descubrimiento!R19*Descubrimiento!R$103+'Rentas SpA'!R19*'Rentas SpA'!R$102+'Pza Const'!R19*'Pza Const'!R$102+'Pza Arauc'!R19*'Pza Arauc'!R$102+RRetail!R19*RRetail!R$102+Bucarest!R19*Bucarest!R$102+Magdalena!R19*Magdalena!R$102+BFC!R19*BFC!R$102</f>
        <v>927735152.20000005</v>
      </c>
      <c r="S19" s="3">
        <f>+Descubrimiento!S19*Descubrimiento!S$103+'Rentas SpA'!S19*'Rentas SpA'!S$102+'Pza Const'!S19*'Pza Const'!S$102+'Pza Arauc'!S19*'Pza Arauc'!S$102+RRetail!S19*RRetail!S$102+Bucarest!S19*Bucarest!S$102+Magdalena!S19*Magdalena!S$102+BFC!S19*BFC!S$102</f>
        <v>953816332.70000005</v>
      </c>
      <c r="T19" s="3">
        <f>+Descubrimiento!T19*Descubrimiento!T$103+'Rentas SpA'!T19*'Rentas SpA'!T$102+'Pza Const'!T19*'Pza Const'!T$102+'Pza Arauc'!T19*'Pza Arauc'!T$102+RRetail!T19*RRetail!T$102+Bucarest!T19*Bucarest!T$102+Magdalena!T19*Magdalena!T$102+BFC!T19*BFC!T$102</f>
        <v>989779941.0999999</v>
      </c>
      <c r="U19" s="3">
        <f>+Descubrimiento!U19*Descubrimiento!U$103+'Rentas SpA'!U19*'Rentas SpA'!U$102+'Pza Const'!U19*'Pza Const'!U$102+'Pza Arauc'!U19*'Pza Arauc'!U$102+RRetail!U19*RRetail!U$102+Bucarest!U19*Bucarest!U$102+Magdalena!U19*Magdalena!U$102+BFC!U19*BFC!U$102</f>
        <v>1038873884.9</v>
      </c>
      <c r="V19" s="3">
        <f>+Descubrimiento!V19*Descubrimiento!V$103+'Rentas SpA'!V19*'Rentas SpA'!V$102+'Pza Const'!V19*'Pza Const'!V$102+'Pza Arauc'!V19*'Pza Arauc'!V$102+RRetail!V19*RRetail!V$102+Bucarest!V19*Bucarest!V$102+Magdalena!V19*Magdalena!V$102+BFC!V19*BFC!V$102</f>
        <v>1030638929.5</v>
      </c>
      <c r="W19" s="3">
        <f>+Descubrimiento!W19*Descubrimiento!W$103+'Rentas SpA'!W19*'Rentas SpA'!W$102+'Pza Const'!W19*'Pza Const'!W$102+'Pza Arauc'!W19*'Pza Arauc'!W$102+RRetail!W19*RRetail!W$102+Bucarest!W19*Bucarest!W$102+Magdalena!W19*Magdalena!W$102+BFC!W19*BFC!W$102</f>
        <v>1048872192.9</v>
      </c>
      <c r="X19" s="3">
        <f>+Descubrimiento!X19*Descubrimiento!X$103+'Rentas SpA'!X19*'Rentas SpA'!X$102+'Pza Const'!X19*'Pza Const'!X$102+'Pza Arauc'!X19*'Pza Arauc'!X$102+RRetail!X19*RRetail!X$102+Bucarest!X19*Bucarest!X$102+Magdalena!X19*Magdalena!X$102+BFC!X19*BFC!X$102</f>
        <v>1069000628.2</v>
      </c>
      <c r="Y19" s="3">
        <f>+Descubrimiento!Y19*Descubrimiento!Y$103+'Rentas SpA'!Y19*'Rentas SpA'!Y$102+'Pza Const'!Y19*'Pza Const'!Y$102+'Pza Arauc'!Y19*'Pza Arauc'!Y$102+RRetail!Y19*RRetail!Y$102+Bucarest!Y19*Bucarest!Y$102+Magdalena!Y19*Magdalena!Y$102+BFC!Y19*BFC!Y$102</f>
        <v>1087240573.9000001</v>
      </c>
      <c r="Z19" s="3">
        <f>+Descubrimiento!Z19*Descubrimiento!Z$103+'Rentas SpA'!Z19*'Rentas SpA'!Z$102+'Pza Const'!Z19*'Pza Const'!Z$102+'Pza Arauc'!Z19*'Pza Arauc'!Z$102+RRetail!Z19*RRetail!Z$102+Bucarest!Z19*Bucarest!Z$102+Magdalena!Z19*Magdalena!Z$102+BFC!Z19*BFC!Z$102</f>
        <v>1107949933.2</v>
      </c>
      <c r="AA19" s="3">
        <f>+Descubrimiento!AA19*Descubrimiento!AA$103+'Rentas SpA'!AA19*'Rentas SpA'!AA$102+'Pza Const'!AA19*'Pza Const'!AA$102+'Pza Arauc'!AA19*'Pza Arauc'!AA$102+RRetail!AA19*RRetail!AA$102+Bucarest!AA19*Bucarest!AA$102+Magdalena!AA19*Magdalena!AA$102+BFC!AA19*BFC!AA$102</f>
        <v>1148888635.1999998</v>
      </c>
      <c r="AB19" s="3">
        <f>+Descubrimiento!AB19*Descubrimiento!AB$103+'Rentas SpA'!AB19*'Rentas SpA'!AB$102+'Pza Const'!AB19*'Pza Const'!AB$102+'Pza Arauc'!AB19*'Pza Arauc'!AB$102+RRetail!AB19*RRetail!AB$102+Bucarest!AB19*Bucarest!AB$102+Magdalena!AB19*Magdalena!AB$102+BFC!AB19*BFC!AB$102</f>
        <v>1167024241.9000001</v>
      </c>
      <c r="AC19" s="3">
        <f>+Descubrimiento!AC19*Descubrimiento!AC$103+'Rentas SpA'!AC19*'Rentas SpA'!AC$102+'Pza Const'!AC19*'Pza Const'!AC$102+'Pza Arauc'!AC19*'Pza Arauc'!AC$102+RRetail!AC19*RRetail!AC$102+Bucarest!AC19*Bucarest!AC$102+Magdalena!AC19*Magdalena!AC$102+BFC!AC19*BFC!AC$102</f>
        <v>1192242490.0999999</v>
      </c>
      <c r="AD19" s="3">
        <f>+Descubrimiento!AD19*Descubrimiento!AD$103+'Rentas SpA'!AD19*'Rentas SpA'!AD$102+'Pza Const'!AD19*'Pza Const'!AD$102+'Pza Arauc'!AD19*'Pza Arauc'!AD$102+RRetail!AD19*RRetail!AD$102+Bucarest!AD19*Bucarest!AD$102+Magdalena!AD19*Magdalena!AD$102+BFC!AD19*BFC!AD$102</f>
        <v>1223516860.6999998</v>
      </c>
      <c r="AE19" s="3">
        <f>+Descubrimiento!AE19*Descubrimiento!AE$103+'Rentas SpA'!AE19*'Rentas SpA'!AE$102+'Pza Const'!AE19*'Pza Const'!AE$102+'Pza Arauc'!AE19*'Pza Arauc'!AE$102+RRetail!AE19*RRetail!AE$102+Bucarest!AE19*Bucarest!AE$102+Magdalena!AE19*Magdalena!AE$102+BFC!AE19*BFC!AE$102</f>
        <v>1224959131.6999998</v>
      </c>
      <c r="AF19" s="3">
        <f>+Descubrimiento!AF19*Descubrimiento!AF$103+'Rentas SpA'!AF19*'Rentas SpA'!AF$102+'Pza Const'!AF19*'Pza Const'!AF$102+'Pza Arauc'!AF19*'Pza Arauc'!AF$102+RRetail!AF19*RRetail!AF$102+Bucarest!AF19*Bucarest!AF$102+Magdalena!AF19*Magdalena!AF$102+BFC!AF19*BFC!AF$102</f>
        <v>1239798075</v>
      </c>
      <c r="AG19" s="3">
        <f>+Descubrimiento!AG19*Descubrimiento!AG$103+'Rentas SpA'!AG19*'Rentas SpA'!AG$102+'Pza Const'!AG19*'Pza Const'!AG$102+'Pza Arauc'!AG19*'Pza Arauc'!AG$102+RRetail!AG19*RRetail!AG$102+Bucarest!AG19*Bucarest!AG$102+Magdalena!AG19*Magdalena!AG$102+BFC!AG19*BFC!AG$102</f>
        <v>1279094989</v>
      </c>
      <c r="AH19" s="3">
        <f>+Descubrimiento!AH19*Descubrimiento!AH$103+'Rentas SpA'!AH19*'Rentas SpA'!AH$102+'Pza Const'!AH19*'Pza Const'!AH$102+'Pza Arauc'!AH19*'Pza Arauc'!AH$102+RRetail!AH19*RRetail!AH$102+Bucarest!AH19*Bucarest!AH$102+Magdalena!AH19*Magdalena!AH$102+BFC!AH19*BFC!AH$102</f>
        <v>1300502420.9000001</v>
      </c>
      <c r="AI19" s="3">
        <f>+Descubrimiento!AI19*Descubrimiento!AI$103+'Rentas SpA'!AI19*'Rentas SpA'!AI$102+'Pza Const'!AI19*'Pza Const'!AI$102+'Pza Arauc'!AI19*'Pza Arauc'!AI$102+RRetail!AI19*RRetail!AI$102+Bucarest!AI19*Bucarest!AI$102+Magdalena!AI19*Magdalena!AI$102+BFC!AI19*BFC!AI$102</f>
        <v>1288966843.3</v>
      </c>
    </row>
    <row r="20" spans="1:35" x14ac:dyDescent="0.3">
      <c r="A20" s="1" t="s">
        <v>113</v>
      </c>
      <c r="B20" s="3">
        <f>+Descubrimiento!B20*Descubrimiento!B$103+'Rentas SpA'!B20*'Rentas SpA'!B$102+'Pza Const'!B20*'Pza Const'!B$102+'Pza Arauc'!B20*'Pza Arauc'!B$102+RRetail!B20*RRetail!B$102+Bucarest!B20*Bucarest!B$102+Magdalena!B20*Magdalena!B$102+BFC!B20*BFC!B$102</f>
        <v>0</v>
      </c>
      <c r="C20" s="3">
        <f>+Descubrimiento!C20*Descubrimiento!C$103+'Rentas SpA'!C20*'Rentas SpA'!C$102+'Pza Const'!C20*'Pza Const'!C$102+'Pza Arauc'!C20*'Pza Arauc'!C$102+RRetail!C20*RRetail!C$102+Bucarest!C20*Bucarest!C$102+Magdalena!C20*Magdalena!C$102+BFC!C20*BFC!C$102</f>
        <v>0</v>
      </c>
      <c r="D20" s="3">
        <f>+Descubrimiento!D20*Descubrimiento!D$103+'Rentas SpA'!D20*'Rentas SpA'!D$102+'Pza Const'!D20*'Pza Const'!D$102+'Pza Arauc'!D20*'Pza Arauc'!D$102+RRetail!D20*RRetail!D$102+Bucarest!D20*Bucarest!D$102+Magdalena!D20*Magdalena!D$102+BFC!D20*BFC!D$102</f>
        <v>0</v>
      </c>
      <c r="E20" s="3">
        <f>+Descubrimiento!E20*Descubrimiento!E$103+'Rentas SpA'!E20*'Rentas SpA'!E$102+'Pza Const'!E20*'Pza Const'!E$102+'Pza Arauc'!E20*'Pza Arauc'!E$102+RRetail!E20*RRetail!E$102+Bucarest!E20*Bucarest!E$102+Magdalena!E20*Magdalena!E$102+BFC!E20*BFC!E$102</f>
        <v>0</v>
      </c>
      <c r="F20" s="3">
        <f>+Descubrimiento!F20*Descubrimiento!F$103+'Rentas SpA'!F20*'Rentas SpA'!F$102+'Pza Const'!F20*'Pza Const'!F$102+'Pza Arauc'!F20*'Pza Arauc'!F$102+RRetail!F20*RRetail!F$102+Bucarest!F20*Bucarest!F$102+Magdalena!F20*Magdalena!F$102+BFC!F20*BFC!F$102</f>
        <v>0</v>
      </c>
      <c r="G20" s="3">
        <f>+Descubrimiento!G20*Descubrimiento!G$103+'Rentas SpA'!G20*'Rentas SpA'!G$102+'Pza Const'!G20*'Pza Const'!G$102+'Pza Arauc'!G20*'Pza Arauc'!G$102+RRetail!G20*RRetail!G$102+Bucarest!G20*Bucarest!G$102+Magdalena!G20*Magdalena!G$102+BFC!G20*BFC!G$102</f>
        <v>0</v>
      </c>
      <c r="H20" s="3">
        <f>+Descubrimiento!H20*Descubrimiento!H$103+'Rentas SpA'!H20*'Rentas SpA'!H$102+'Pza Const'!H20*'Pza Const'!H$102+'Pza Arauc'!H20*'Pza Arauc'!H$102+RRetail!H20*RRetail!H$102+Bucarest!H20*Bucarest!H$102+Magdalena!H20*Magdalena!H$102+BFC!H20*BFC!H$102</f>
        <v>0</v>
      </c>
      <c r="I20" s="3">
        <f>+Descubrimiento!I20*Descubrimiento!I$103+'Rentas SpA'!I20*'Rentas SpA'!I$102+'Pza Const'!I20*'Pza Const'!I$102+'Pza Arauc'!I20*'Pza Arauc'!I$102+RRetail!I20*RRetail!I$102+Bucarest!I20*Bucarest!I$102+Magdalena!I20*Magdalena!I$102+BFC!I20*BFC!I$102</f>
        <v>0</v>
      </c>
      <c r="J20" s="3">
        <f>+Descubrimiento!J20*Descubrimiento!J$103+'Rentas SpA'!J20*'Rentas SpA'!J$102+'Pza Const'!J20*'Pza Const'!J$102+'Pza Arauc'!J20*'Pza Arauc'!J$102+RRetail!J20*RRetail!J$102+Bucarest!J20*Bucarest!J$102+Magdalena!J20*Magdalena!J$102+BFC!J20*BFC!J$102</f>
        <v>0</v>
      </c>
      <c r="K20" s="3">
        <f>+Descubrimiento!K20*Descubrimiento!K$103+'Rentas SpA'!K20*'Rentas SpA'!K$102+'Pza Const'!K20*'Pza Const'!K$102+'Pza Arauc'!K20*'Pza Arauc'!K$102+RRetail!K20*RRetail!K$102+Bucarest!K20*Bucarest!K$102+Magdalena!K20*Magdalena!K$102+BFC!K20*BFC!K$102</f>
        <v>0</v>
      </c>
      <c r="L20" s="3">
        <f>+Descubrimiento!L20*Descubrimiento!L$103+'Rentas SpA'!L20*'Rentas SpA'!L$102+'Pza Const'!L20*'Pza Const'!L$102+'Pza Arauc'!L20*'Pza Arauc'!L$102+RRetail!L20*RRetail!L$102+Bucarest!L20*Bucarest!L$102+Magdalena!L20*Magdalena!L$102+BFC!L20*BFC!L$102</f>
        <v>0</v>
      </c>
      <c r="M20" s="3">
        <f>+Descubrimiento!M20*Descubrimiento!M$103+'Rentas SpA'!M20*'Rentas SpA'!M$102+'Pza Const'!M20*'Pza Const'!M$102+'Pza Arauc'!M20*'Pza Arauc'!M$102+RRetail!M20*RRetail!M$102+Bucarest!M20*Bucarest!M$102+Magdalena!M20*Magdalena!M$102+BFC!M20*BFC!M$102</f>
        <v>0</v>
      </c>
      <c r="N20" s="3">
        <f>+Descubrimiento!N20*Descubrimiento!N$103+'Rentas SpA'!N20*'Rentas SpA'!N$102+'Pza Const'!N20*'Pza Const'!N$102+'Pza Arauc'!N20*'Pza Arauc'!N$102+RRetail!N20*RRetail!N$102+Bucarest!N20*Bucarest!N$102+Magdalena!N20*Magdalena!N$102+BFC!N20*BFC!N$102</f>
        <v>10885949.800000001</v>
      </c>
      <c r="O20" s="3">
        <f>+Descubrimiento!O20*Descubrimiento!O$103+'Rentas SpA'!O20*'Rentas SpA'!O$102+'Pza Const'!O20*'Pza Const'!O$102+'Pza Arauc'!O20*'Pza Arauc'!O$102+RRetail!O20*RRetail!O$102+Bucarest!O20*Bucarest!O$102+Magdalena!O20*Magdalena!O$102+BFC!O20*BFC!O$102</f>
        <v>1643184</v>
      </c>
      <c r="P20" s="3">
        <f>+Descubrimiento!P20*Descubrimiento!P$103+'Rentas SpA'!P20*'Rentas SpA'!P$102+'Pza Const'!P20*'Pza Const'!P$102+'Pza Arauc'!P20*'Pza Arauc'!P$102+RRetail!P20*RRetail!P$102+Bucarest!P20*Bucarest!P$102+Magdalena!P20*Magdalena!P$102+BFC!P20*BFC!P$102</f>
        <v>329080</v>
      </c>
      <c r="Q20" s="3">
        <f>+Descubrimiento!Q20*Descubrimiento!Q$103+'Rentas SpA'!Q20*'Rentas SpA'!Q$102+'Pza Const'!Q20*'Pza Const'!Q$102+'Pza Arauc'!Q20*'Pza Arauc'!Q$102+RRetail!Q20*RRetail!Q$102+Bucarest!Q20*Bucarest!Q$102+Magdalena!Q20*Magdalena!Q$102+BFC!Q20*BFC!Q$102</f>
        <v>366683</v>
      </c>
      <c r="R20" s="3">
        <f>+Descubrimiento!R20*Descubrimiento!R$103+'Rentas SpA'!R20*'Rentas SpA'!R$102+'Pza Const'!R20*'Pza Const'!R$102+'Pza Arauc'!R20*'Pza Arauc'!R$102+RRetail!R20*RRetail!R$102+Bucarest!R20*Bucarest!R$102+Magdalena!R20*Magdalena!R$102+BFC!R20*BFC!R$102</f>
        <v>17398380.800000001</v>
      </c>
      <c r="S20" s="3">
        <f>+Descubrimiento!S20*Descubrimiento!S$103+'Rentas SpA'!S20*'Rentas SpA'!S$102+'Pza Const'!S20*'Pza Const'!S$102+'Pza Arauc'!S20*'Pza Arauc'!S$102+RRetail!S20*RRetail!S$102+Bucarest!S20*Bucarest!S$102+Magdalena!S20*Magdalena!S$102+BFC!S20*BFC!S$102</f>
        <v>21104818.5</v>
      </c>
      <c r="T20" s="3">
        <f>+Descubrimiento!T20*Descubrimiento!T$103+'Rentas SpA'!T20*'Rentas SpA'!T$102+'Pza Const'!T20*'Pza Const'!T$102+'Pza Arauc'!T20*'Pza Arauc'!T$102+RRetail!T20*RRetail!T$102+Bucarest!T20*Bucarest!T$102+Magdalena!T20*Magdalena!T$102+BFC!T20*BFC!T$102</f>
        <v>21312660.799999997</v>
      </c>
      <c r="U20" s="3">
        <f>+Descubrimiento!U20*Descubrimiento!U$103+'Rentas SpA'!U20*'Rentas SpA'!U$102+'Pza Const'!U20*'Pza Const'!U$102+'Pza Arauc'!U20*'Pza Arauc'!U$102+RRetail!U20*RRetail!U$102+Bucarest!U20*Bucarest!U$102+Magdalena!U20*Magdalena!U$102+BFC!U20*BFC!U$102</f>
        <v>21274615.199999999</v>
      </c>
      <c r="V20" s="3">
        <f>+Descubrimiento!V20*Descubrimiento!V$103+'Rentas SpA'!V20*'Rentas SpA'!V$102+'Pza Const'!V20*'Pza Const'!V$102+'Pza Arauc'!V20*'Pza Arauc'!V$102+RRetail!V20*RRetail!V$102+Bucarest!V20*Bucarest!V$102+Magdalena!V20*Magdalena!V$102+BFC!V20*BFC!V$102</f>
        <v>22594267.199999999</v>
      </c>
      <c r="W20" s="3">
        <f>+Descubrimiento!W20*Descubrimiento!W$103+'Rentas SpA'!W20*'Rentas SpA'!W$102+'Pza Const'!W20*'Pza Const'!W$102+'Pza Arauc'!W20*'Pza Arauc'!W$102+RRetail!W20*RRetail!W$102+Bucarest!W20*Bucarest!W$102+Magdalena!W20*Magdalena!W$102+BFC!W20*BFC!W$102</f>
        <v>22520653.5</v>
      </c>
      <c r="X20" s="3">
        <f>+Descubrimiento!X20*Descubrimiento!X$103+'Rentas SpA'!X20*'Rentas SpA'!X$102+'Pza Const'!X20*'Pza Const'!X$102+'Pza Arauc'!X20*'Pza Arauc'!X$102+RRetail!X20*RRetail!X$102+Bucarest!X20*Bucarest!X$102+Magdalena!X20*Magdalena!X$102+BFC!X20*BFC!X$102</f>
        <v>21976397.099999998</v>
      </c>
      <c r="Y20" s="3">
        <f>+Descubrimiento!Y20*Descubrimiento!Y$103+'Rentas SpA'!Y20*'Rentas SpA'!Y$102+'Pza Const'!Y20*'Pza Const'!Y$102+'Pza Arauc'!Y20*'Pza Arauc'!Y$102+RRetail!Y20*RRetail!Y$102+Bucarest!Y20*Bucarest!Y$102+Magdalena!Y20*Magdalena!Y$102+BFC!Y20*BFC!Y$102</f>
        <v>21213773.799999997</v>
      </c>
      <c r="Z20" s="3">
        <f>+Descubrimiento!Z20*Descubrimiento!Z$103+'Rentas SpA'!Z20*'Rentas SpA'!Z$102+'Pza Const'!Z20*'Pza Const'!Z$102+'Pza Arauc'!Z20*'Pza Arauc'!Z$102+RRetail!Z20*RRetail!Z$102+Bucarest!Z20*Bucarest!Z$102+Magdalena!Z20*Magdalena!Z$102+BFC!Z20*BFC!Z$102</f>
        <v>20279711.5</v>
      </c>
      <c r="AA20" s="3">
        <f>+Descubrimiento!AA20*Descubrimiento!AA$103+'Rentas SpA'!AA20*'Rentas SpA'!AA$102+'Pza Const'!AA20*'Pza Const'!AA$102+'Pza Arauc'!AA20*'Pza Arauc'!AA$102+RRetail!AA20*RRetail!AA$102+Bucarest!AA20*Bucarest!AA$102+Magdalena!AA20*Magdalena!AA$102+BFC!AA20*BFC!AA$102</f>
        <v>19642879.699999999</v>
      </c>
      <c r="AB20" s="3">
        <f>+Descubrimiento!AB20*Descubrimiento!AB$103+'Rentas SpA'!AB20*'Rentas SpA'!AB$102+'Pza Const'!AB20*'Pza Const'!AB$102+'Pza Arauc'!AB20*'Pza Arauc'!AB$102+RRetail!AB20*RRetail!AB$102+Bucarest!AB20*Bucarest!AB$102+Magdalena!AB20*Magdalena!AB$102+BFC!AB20*BFC!AB$102</f>
        <v>20574615.699999999</v>
      </c>
      <c r="AC20" s="3">
        <f>+Descubrimiento!AC20*Descubrimiento!AC$103+'Rentas SpA'!AC20*'Rentas SpA'!AC$102+'Pza Const'!AC20*'Pza Const'!AC$102+'Pza Arauc'!AC20*'Pza Arauc'!AC$102+RRetail!AC20*RRetail!AC$102+Bucarest!AC20*Bucarest!AC$102+Magdalena!AC20*Magdalena!AC$102+BFC!AC20*BFC!AC$102</f>
        <v>20220538</v>
      </c>
      <c r="AD20" s="3">
        <f>+Descubrimiento!AD20*Descubrimiento!AD$103+'Rentas SpA'!AD20*'Rentas SpA'!AD$102+'Pza Const'!AD20*'Pza Const'!AD$102+'Pza Arauc'!AD20*'Pza Arauc'!AD$102+RRetail!AD20*RRetail!AD$102+Bucarest!AD20*Bucarest!AD$102+Magdalena!AD20*Magdalena!AD$102+BFC!AD20*BFC!AD$102</f>
        <v>20523411.599999998</v>
      </c>
      <c r="AE20" s="3">
        <f>+Descubrimiento!AE20*Descubrimiento!AE$103+'Rentas SpA'!AE20*'Rentas SpA'!AE$102+'Pza Const'!AE20*'Pza Const'!AE$102+'Pza Arauc'!AE20*'Pza Arauc'!AE$102+RRetail!AE20*RRetail!AE$102+Bucarest!AE20*Bucarest!AE$102+Magdalena!AE20*Magdalena!AE$102+BFC!AE20*BFC!AE$102</f>
        <v>28612920.699999999</v>
      </c>
      <c r="AF20" s="3">
        <f>+Descubrimiento!AF20*Descubrimiento!AF$103+'Rentas SpA'!AF20*'Rentas SpA'!AF$102+'Pza Const'!AF20*'Pza Const'!AF$102+'Pza Arauc'!AF20*'Pza Arauc'!AF$102+RRetail!AF20*RRetail!AF$102+Bucarest!AF20*Bucarest!AF$102+Magdalena!AF20*Magdalena!AF$102+BFC!AF20*BFC!AF$102</f>
        <v>28898281.199999999</v>
      </c>
      <c r="AG20" s="3">
        <f>+Descubrimiento!AG20*Descubrimiento!AG$103+'Rentas SpA'!AG20*'Rentas SpA'!AG$102+'Pza Const'!AG20*'Pza Const'!AG$102+'Pza Arauc'!AG20*'Pza Arauc'!AG$102+RRetail!AG20*RRetail!AG$102+Bucarest!AG20*Bucarest!AG$102+Magdalena!AG20*Magdalena!AG$102+BFC!AG20*BFC!AG$102</f>
        <v>27618867.099999998</v>
      </c>
      <c r="AH20" s="3">
        <f>+Descubrimiento!AH20*Descubrimiento!AH$103+'Rentas SpA'!AH20*'Rentas SpA'!AH$102+'Pza Const'!AH20*'Pza Const'!AH$102+'Pza Arauc'!AH20*'Pza Arauc'!AH$102+RRetail!AH20*RRetail!AH$102+Bucarest!AH20*Bucarest!AH$102+Magdalena!AH20*Magdalena!AH$102+BFC!AH20*BFC!AH$102</f>
        <v>26994014.099999998</v>
      </c>
      <c r="AI20" s="3">
        <f>+Descubrimiento!AI20*Descubrimiento!AI$103+'Rentas SpA'!AI20*'Rentas SpA'!AI$102+'Pza Const'!AI20*'Pza Const'!AI$102+'Pza Arauc'!AI20*'Pza Arauc'!AI$102+RRetail!AI20*RRetail!AI$102+Bucarest!AI20*Bucarest!AI$102+Magdalena!AI20*Magdalena!AI$102+BFC!AI20*BFC!AI$102</f>
        <v>26485638.899999999</v>
      </c>
    </row>
    <row r="21" spans="1:35" x14ac:dyDescent="0.3">
      <c r="A21" s="6" t="s">
        <v>18</v>
      </c>
      <c r="B21" s="7">
        <f>+SUM(B13:B20)</f>
        <v>337375515</v>
      </c>
      <c r="C21" s="7">
        <f>+SUM(C13:C20)</f>
        <v>365701405</v>
      </c>
      <c r="D21" s="7">
        <f t="shared" ref="D21:R21" si="11">+SUM(D13:D20)</f>
        <v>435585439</v>
      </c>
      <c r="E21" s="7">
        <f t="shared" si="11"/>
        <v>488841416</v>
      </c>
      <c r="F21" s="7">
        <f t="shared" si="11"/>
        <v>482838820</v>
      </c>
      <c r="G21" s="7">
        <f t="shared" ref="G21:I21" si="12">+SUM(G13:G20)</f>
        <v>494921494</v>
      </c>
      <c r="H21" s="7">
        <f t="shared" si="12"/>
        <v>501303491</v>
      </c>
      <c r="I21" s="7">
        <f t="shared" si="12"/>
        <v>527625673</v>
      </c>
      <c r="J21" s="7">
        <f t="shared" si="11"/>
        <v>520798677</v>
      </c>
      <c r="K21" s="7">
        <f t="shared" ref="K21:M21" si="13">+SUM(K13:K20)</f>
        <v>526729433</v>
      </c>
      <c r="L21" s="7">
        <f t="shared" si="13"/>
        <v>526796104</v>
      </c>
      <c r="M21" s="7">
        <f t="shared" si="13"/>
        <v>528373743</v>
      </c>
      <c r="N21" s="7">
        <f t="shared" si="11"/>
        <v>742656035.19999993</v>
      </c>
      <c r="O21" s="7">
        <f t="shared" ref="O21:Q21" si="14">+SUM(O13:O20)</f>
        <v>741903618.39999998</v>
      </c>
      <c r="P21" s="7">
        <f t="shared" si="14"/>
        <v>754903088.60000002</v>
      </c>
      <c r="Q21" s="7">
        <f t="shared" si="14"/>
        <v>763469863.4000001</v>
      </c>
      <c r="R21" s="7">
        <f t="shared" si="11"/>
        <v>948490508.20000005</v>
      </c>
      <c r="S21" s="7">
        <f t="shared" ref="S21:U21" si="15">+SUM(S13:S20)</f>
        <v>981716943.80000007</v>
      </c>
      <c r="T21" s="7">
        <f t="shared" si="15"/>
        <v>1031357249.8999999</v>
      </c>
      <c r="U21" s="7">
        <f t="shared" si="15"/>
        <v>1085114883.8</v>
      </c>
      <c r="V21" s="7">
        <f t="shared" ref="V21:Y21" si="16">+SUM(V13:V20)</f>
        <v>1056826921.9000001</v>
      </c>
      <c r="W21" s="7">
        <f t="shared" si="16"/>
        <v>1075452423.0009999</v>
      </c>
      <c r="X21" s="7">
        <f t="shared" si="16"/>
        <v>1095092665.309</v>
      </c>
      <c r="Y21" s="7">
        <f t="shared" si="16"/>
        <v>1114619587.6790001</v>
      </c>
      <c r="Z21" s="7">
        <f t="shared" ref="Z21:AA21" si="17">+SUM(Z13:Z20)</f>
        <v>1135860306.9000001</v>
      </c>
      <c r="AA21" s="7">
        <f t="shared" si="17"/>
        <v>1194158707.0999999</v>
      </c>
      <c r="AB21" s="7">
        <f t="shared" ref="AB21:AC21" si="18">+SUM(AB13:AB20)</f>
        <v>1210663267.8000002</v>
      </c>
      <c r="AC21" s="7">
        <f t="shared" si="18"/>
        <v>1235622369.3</v>
      </c>
      <c r="AD21" s="7">
        <f t="shared" ref="AD21:AE21" si="19">+SUM(AD13:AD20)</f>
        <v>1247860068.2999997</v>
      </c>
      <c r="AE21" s="7">
        <f t="shared" si="19"/>
        <v>1270055064.3479998</v>
      </c>
      <c r="AF21" s="7">
        <f t="shared" ref="AF21:AG21" si="20">+SUM(AF13:AF20)</f>
        <v>1293305627</v>
      </c>
      <c r="AG21" s="7">
        <f t="shared" si="20"/>
        <v>1329495955.5</v>
      </c>
      <c r="AH21" s="7">
        <f t="shared" ref="AH21:AI21" si="21">+SUM(AH13:AH20)</f>
        <v>1341091028.8</v>
      </c>
      <c r="AI21" s="7">
        <f t="shared" si="21"/>
        <v>1346126339</v>
      </c>
    </row>
    <row r="22" spans="1:35" x14ac:dyDescent="0.3">
      <c r="A22" s="6" t="s">
        <v>19</v>
      </c>
      <c r="B22" s="7">
        <f t="shared" ref="B22:R22" si="22">+B21+B12</f>
        <v>354886636</v>
      </c>
      <c r="C22" s="7">
        <f t="shared" si="22"/>
        <v>391178029.5</v>
      </c>
      <c r="D22" s="7">
        <f t="shared" si="22"/>
        <v>459811625</v>
      </c>
      <c r="E22" s="7">
        <f t="shared" si="22"/>
        <v>507051579</v>
      </c>
      <c r="F22" s="7">
        <f t="shared" si="22"/>
        <v>510602912</v>
      </c>
      <c r="G22" s="7">
        <f t="shared" ref="G22:I22" si="23">+G21+G12</f>
        <v>509286309</v>
      </c>
      <c r="H22" s="7">
        <f t="shared" si="23"/>
        <v>515303441</v>
      </c>
      <c r="I22" s="7">
        <f t="shared" si="23"/>
        <v>547362201</v>
      </c>
      <c r="J22" s="7">
        <f t="shared" si="22"/>
        <v>533867954</v>
      </c>
      <c r="K22" s="7">
        <f t="shared" ref="K22:M22" si="24">+K21+K12</f>
        <v>540816158</v>
      </c>
      <c r="L22" s="7">
        <f t="shared" si="24"/>
        <v>540900635</v>
      </c>
      <c r="M22" s="7">
        <f t="shared" si="24"/>
        <v>547127602</v>
      </c>
      <c r="N22" s="7">
        <f t="shared" si="22"/>
        <v>762539585.99999988</v>
      </c>
      <c r="O22" s="7">
        <f t="shared" ref="O22:Q22" si="25">+O21+O12</f>
        <v>774298011.39999998</v>
      </c>
      <c r="P22" s="7">
        <f t="shared" si="25"/>
        <v>780950832.80000007</v>
      </c>
      <c r="Q22" s="7">
        <f t="shared" si="25"/>
        <v>790158439.00000012</v>
      </c>
      <c r="R22" s="7">
        <f t="shared" si="22"/>
        <v>976583705.5</v>
      </c>
      <c r="S22" s="7">
        <f t="shared" ref="S22:U22" si="26">+S21+S12</f>
        <v>1015787550.1</v>
      </c>
      <c r="T22" s="7">
        <f t="shared" si="26"/>
        <v>1075575537.3999999</v>
      </c>
      <c r="U22" s="7">
        <f t="shared" si="26"/>
        <v>1127832334.5999999</v>
      </c>
      <c r="V22" s="7">
        <f t="shared" ref="V22:Y22" si="27">+V21+V12</f>
        <v>1131256054.8000002</v>
      </c>
      <c r="W22" s="7">
        <f t="shared" si="27"/>
        <v>1147835743.5</v>
      </c>
      <c r="X22" s="7">
        <f t="shared" si="27"/>
        <v>1120315022.2</v>
      </c>
      <c r="Y22" s="7">
        <f t="shared" si="27"/>
        <v>1134141466.1000001</v>
      </c>
      <c r="Z22" s="7">
        <f t="shared" ref="Z22:AA22" si="28">+Z21+Z12</f>
        <v>1158336053.2</v>
      </c>
      <c r="AA22" s="7">
        <f t="shared" si="28"/>
        <v>1223835878.5</v>
      </c>
      <c r="AB22" s="7">
        <f t="shared" ref="AB22:AC22" si="29">+AB21+AB12</f>
        <v>1232406667.1000001</v>
      </c>
      <c r="AC22" s="7">
        <f t="shared" si="29"/>
        <v>1264199356.7</v>
      </c>
      <c r="AD22" s="7">
        <f t="shared" ref="AD22:AE22" si="30">+AD21+AD12</f>
        <v>1272487047.8999996</v>
      </c>
      <c r="AE22" s="7">
        <f t="shared" si="30"/>
        <v>1302854237.4999998</v>
      </c>
      <c r="AF22" s="7">
        <f t="shared" ref="AF22:AG22" si="31">+AF21+AF12</f>
        <v>1325019093.4000001</v>
      </c>
      <c r="AG22" s="7">
        <f t="shared" si="31"/>
        <v>1372685294.5</v>
      </c>
      <c r="AH22" s="7">
        <f t="shared" ref="AH22:AI22" si="32">+AH21+AH12</f>
        <v>1387284120.8999999</v>
      </c>
      <c r="AI22" s="7">
        <f t="shared" si="32"/>
        <v>1388550398.4000001</v>
      </c>
    </row>
    <row r="23" spans="1:35"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3">
      <c r="A25" s="1" t="s">
        <v>115</v>
      </c>
      <c r="B25" s="3">
        <f>+Descubrimiento!B25*Descubrimiento!B$103+'Rentas SpA'!B25*'Rentas SpA'!B$102+'Pza Const'!B25*'Pza Const'!B$102+'Pza Arauc'!B25*'Pza Arauc'!B$102+RRetail!B25*RRetail!B$102+Bucarest!B25*Bucarest!B$102+Magdalena!B25*Magdalena!B$102+BFC!B25*BFC!B$102</f>
        <v>3101653</v>
      </c>
      <c r="C25" s="3">
        <f>+Descubrimiento!C25*Descubrimiento!C$103+'Rentas SpA'!C25*'Rentas SpA'!C$102+'Pza Const'!C25*'Pza Const'!C$102+'Pza Arauc'!C25*'Pza Arauc'!C$102+RRetail!C25*RRetail!C$102+Bucarest!C25*Bucarest!C$102+Magdalena!C25*Magdalena!C$102+BFC!C25*BFC!C$102</f>
        <v>3334499</v>
      </c>
      <c r="D25" s="3">
        <f>+Descubrimiento!D25*Descubrimiento!D$103+'Rentas SpA'!D25*'Rentas SpA'!D$102+'Pza Const'!D25*'Pza Const'!D$102+'Pza Arauc'!D25*'Pza Arauc'!D$102+RRetail!D25*RRetail!D$102+Bucarest!D25*Bucarest!D$102+Magdalena!D25*Magdalena!D$102+BFC!D25*BFC!D$102</f>
        <v>1448223</v>
      </c>
      <c r="E25" s="3">
        <f>+Descubrimiento!E25*Descubrimiento!E$103+'Rentas SpA'!E25*'Rentas SpA'!E$102+'Pza Const'!E25*'Pza Const'!E$102+'Pza Arauc'!E25*'Pza Arauc'!E$102+RRetail!E25*RRetail!E$102+Bucarest!E25*Bucarest!E$102+Magdalena!E25*Magdalena!E$102+BFC!E25*BFC!E$102</f>
        <v>1292080</v>
      </c>
      <c r="F25" s="3">
        <f>+Descubrimiento!F25*Descubrimiento!F$103+'Rentas SpA'!F25*'Rentas SpA'!F$102+'Pza Const'!F25*'Pza Const'!F$102+'Pza Arauc'!F25*'Pza Arauc'!F$102+RRetail!F25*RRetail!F$102+Bucarest!F25*Bucarest!F$102+Magdalena!F25*Magdalena!F$102+BFC!F25*BFC!F$102</f>
        <v>27707444</v>
      </c>
      <c r="G25" s="3">
        <f>+Descubrimiento!G25*Descubrimiento!G$103+'Rentas SpA'!G25*'Rentas SpA'!G$102+'Pza Const'!G25*'Pza Const'!G$102+'Pza Arauc'!G25*'Pza Arauc'!G$102+RRetail!G25*RRetail!G$102+Bucarest!G25*Bucarest!G$102+Magdalena!G25*Magdalena!G$102+BFC!G25*BFC!G$102</f>
        <v>27770888</v>
      </c>
      <c r="H25" s="3">
        <f>+Descubrimiento!H25*Descubrimiento!H$103+'Rentas SpA'!H25*'Rentas SpA'!H$102+'Pza Const'!H25*'Pza Const'!H$102+'Pza Arauc'!H25*'Pza Arauc'!H$102+RRetail!H25*RRetail!H$102+Bucarest!H25*Bucarest!H$102+Magdalena!H25*Magdalena!H$102+BFC!H25*BFC!H$102</f>
        <v>28286889</v>
      </c>
      <c r="I25" s="3">
        <f>+Descubrimiento!I25*Descubrimiento!I$103+'Rentas SpA'!I25*'Rentas SpA'!I$102+'Pza Const'!I25*'Pza Const'!I$102+'Pza Arauc'!I25*'Pza Arauc'!I$102+RRetail!I25*RRetail!I$102+Bucarest!I25*Bucarest!I$102+Magdalena!I25*Magdalena!I$102+BFC!I25*BFC!I$102</f>
        <v>28726912</v>
      </c>
      <c r="J25" s="3">
        <f>+Descubrimiento!J25*Descubrimiento!J$103+'Rentas SpA'!J25*'Rentas SpA'!J$102+'Pza Const'!J25*'Pza Const'!J$102+'Pza Arauc'!J25*'Pza Arauc'!J$102+RRetail!J25*RRetail!J$102+Bucarest!J25*Bucarest!J$102+Magdalena!J25*Magdalena!J$102+BFC!J25*BFC!J$102</f>
        <v>394516</v>
      </c>
      <c r="K25" s="3">
        <f>+Descubrimiento!K25*Descubrimiento!K$103+'Rentas SpA'!K25*'Rentas SpA'!K$102+'Pza Const'!K25*'Pza Const'!K$102+'Pza Arauc'!K25*'Pza Arauc'!K$102+RRetail!K25*RRetail!K$102+Bucarest!K25*Bucarest!K$102+Magdalena!K25*Magdalena!K$102+BFC!K25*BFC!K$102</f>
        <v>222800</v>
      </c>
      <c r="L25" s="3">
        <f>+Descubrimiento!L25*Descubrimiento!L$103+'Rentas SpA'!L25*'Rentas SpA'!L$102+'Pza Const'!L25*'Pza Const'!L$102+'Pza Arauc'!L25*'Pza Arauc'!L$102+RRetail!L25*RRetail!L$102+Bucarest!L25*Bucarest!L$102+Magdalena!L25*Magdalena!L$102+BFC!L25*BFC!L$102</f>
        <v>1584209</v>
      </c>
      <c r="M25" s="3">
        <f>+Descubrimiento!M25*Descubrimiento!M$103+'Rentas SpA'!M25*'Rentas SpA'!M$102+'Pza Const'!M25*'Pza Const'!M$102+'Pza Arauc'!M25*'Pza Arauc'!M$102+RRetail!M25*RRetail!M$102+Bucarest!M25*Bucarest!M$102+Magdalena!M25*Magdalena!M$102+BFC!M25*BFC!M$102</f>
        <v>1937209</v>
      </c>
      <c r="N25" s="3">
        <f>+Descubrimiento!N25*Descubrimiento!N$103+'Rentas SpA'!N25*'Rentas SpA'!N$102+'Pza Const'!N25*'Pza Const'!N$102+'Pza Arauc'!N25*'Pza Arauc'!N$102+RRetail!N25*RRetail!N$102+Bucarest!N25*Bucarest!N$102+Magdalena!N25*Magdalena!N$102+BFC!N25*BFC!N$102</f>
        <v>21186244</v>
      </c>
      <c r="O25" s="3">
        <f>+Descubrimiento!O25*Descubrimiento!O$103+'Rentas SpA'!O25*'Rentas SpA'!O$102+'Pza Const'!O25*'Pza Const'!O$102+'Pza Arauc'!O25*'Pza Arauc'!O$102+RRetail!O25*RRetail!O$102+Bucarest!O25*Bucarest!O$102+Magdalena!O25*Magdalena!O$102+BFC!O25*BFC!O$102</f>
        <v>43907275.800000004</v>
      </c>
      <c r="P25" s="3">
        <f>+Descubrimiento!P25*Descubrimiento!P$103+'Rentas SpA'!P25*'Rentas SpA'!P$102+'Pza Const'!P25*'Pza Const'!P$102+'Pza Arauc'!P25*'Pza Arauc'!P$102+RRetail!P25*RRetail!P$102+Bucarest!P25*Bucarest!P$102+Magdalena!P25*Magdalena!P$102+BFC!P25*BFC!P$102</f>
        <v>10250882.6</v>
      </c>
      <c r="Q25" s="3">
        <f>+Descubrimiento!Q25*Descubrimiento!Q$103+'Rentas SpA'!Q25*'Rentas SpA'!Q$102+'Pza Const'!Q25*'Pza Const'!Q$102+'Pza Arauc'!Q25*'Pza Arauc'!Q$102+RRetail!Q25*RRetail!Q$102+Bucarest!Q25*Bucarest!Q$102+Magdalena!Q25*Magdalena!Q$102+BFC!Q25*BFC!Q$102</f>
        <v>10808505.200000001</v>
      </c>
      <c r="R25" s="3">
        <f>+Descubrimiento!R25*Descubrimiento!R$103+'Rentas SpA'!R25*'Rentas SpA'!R$102+'Pza Const'!R25*'Pza Const'!R$102+'Pza Arauc'!R25*'Pza Arauc'!R$102+RRetail!R25*RRetail!R$102+Bucarest!R25*Bucarest!R$102+Magdalena!R25*Magdalena!R$102+BFC!R25*BFC!R$102</f>
        <v>33667457.200000003</v>
      </c>
      <c r="S25" s="3">
        <f>+Descubrimiento!S25*Descubrimiento!S$103+'Rentas SpA'!S25*'Rentas SpA'!S$102+'Pza Const'!S25*'Pza Const'!S$102+'Pza Arauc'!S25*'Pza Arauc'!S$102+RRetail!S25*RRetail!S$102+Bucarest!S25*Bucarest!S$102+Magdalena!S25*Magdalena!S$102+BFC!S25*BFC!S$102</f>
        <v>28590136.799999997</v>
      </c>
      <c r="T25" s="3">
        <f>+Descubrimiento!T25*Descubrimiento!T$103+'Rentas SpA'!T25*'Rentas SpA'!T$102+'Pza Const'!T25*'Pza Const'!T$102+'Pza Arauc'!T25*'Pza Arauc'!T$102+RRetail!T25*RRetail!T$102+Bucarest!T25*Bucarest!T$102+Magdalena!T25*Magdalena!T$102+BFC!T25*BFC!T$102</f>
        <v>7285998.2999999998</v>
      </c>
      <c r="U25" s="3">
        <f>+Descubrimiento!U25*Descubrimiento!U$103+'Rentas SpA'!U25*'Rentas SpA'!U$102+'Pza Const'!U25*'Pza Const'!U$102+'Pza Arauc'!U25*'Pza Arauc'!U$102+RRetail!U25*RRetail!U$102+Bucarest!U25*Bucarest!U$102+Magdalena!U25*Magdalena!U$102+BFC!U25*BFC!U$102</f>
        <v>8510999.3999999985</v>
      </c>
      <c r="V25" s="3">
        <f>+Descubrimiento!V25*Descubrimiento!V$103+'Rentas SpA'!V25*'Rentas SpA'!V$102+'Pza Const'!V25*'Pza Const'!V$102+'Pza Arauc'!V25*'Pza Arauc'!V$102+RRetail!V25*RRetail!V$102+Bucarest!V25*Bucarest!V$102+Magdalena!V25*Magdalena!V$102+BFC!V25*BFC!V$102</f>
        <v>21234566.100000001</v>
      </c>
      <c r="W25" s="3">
        <f>+Descubrimiento!W25*Descubrimiento!W$103+'Rentas SpA'!W25*'Rentas SpA'!W$102+'Pza Const'!W25*'Pza Const'!W$102+'Pza Arauc'!W25*'Pza Arauc'!W$102+RRetail!W25*RRetail!W$102+Bucarest!W25*Bucarest!W$102+Magdalena!W25*Magdalena!W$102+BFC!W25*BFC!W$102</f>
        <v>16070934.699999999</v>
      </c>
      <c r="X25" s="3">
        <f>+Descubrimiento!X25*Descubrimiento!X$103+'Rentas SpA'!X25*'Rentas SpA'!X$102+'Pza Const'!X25*'Pza Const'!X$102+'Pza Arauc'!X25*'Pza Arauc'!X$102+RRetail!X25*RRetail!X$102+Bucarest!X25*Bucarest!X$102+Magdalena!X25*Magdalena!X$102+BFC!X25*BFC!X$102</f>
        <v>16501409.199999999</v>
      </c>
      <c r="Y25" s="3">
        <f>+Descubrimiento!Y25*Descubrimiento!Y$103+'Rentas SpA'!Y25*'Rentas SpA'!Y$102+'Pza Const'!Y25*'Pza Const'!Y$102+'Pza Arauc'!Y25*'Pza Arauc'!Y$102+RRetail!Y25*RRetail!Y$102+Bucarest!Y25*Bucarest!Y$102+Magdalena!Y25*Magdalena!Y$102+BFC!Y25*BFC!Y$102</f>
        <v>16808239.199999999</v>
      </c>
      <c r="Z25" s="3">
        <f>+Descubrimiento!Z25*Descubrimiento!Z$103+'Rentas SpA'!Z25*'Rentas SpA'!Z$102+'Pza Const'!Z25*'Pza Const'!Z$102+'Pza Arauc'!Z25*'Pza Arauc'!Z$102+RRetail!Z25*RRetail!Z$102+Bucarest!Z25*Bucarest!Z$102+Magdalena!Z25*Magdalena!Z$102+BFC!Z25*BFC!Z$102</f>
        <v>16941924.100000001</v>
      </c>
      <c r="AA25" s="3">
        <f>+Descubrimiento!AA25*Descubrimiento!AA$103+'Rentas SpA'!AA25*'Rentas SpA'!AA$102+'Pza Const'!AA25*'Pza Const'!AA$102+'Pza Arauc'!AA25*'Pza Arauc'!AA$102+RRetail!AA25*RRetail!AA$102+Bucarest!AA25*Bucarest!AA$102+Magdalena!AA25*Magdalena!AA$102+BFC!AA25*BFC!AA$102</f>
        <v>43429598.599999994</v>
      </c>
      <c r="AB25" s="3">
        <f>+Descubrimiento!AB25*Descubrimiento!AB$103+'Rentas SpA'!AB25*'Rentas SpA'!AB$102+'Pza Const'!AB25*'Pza Const'!AB$102+'Pza Arauc'!AB25*'Pza Arauc'!AB$102+RRetail!AB25*RRetail!AB$102+Bucarest!AB25*Bucarest!AB$102+Magdalena!AB25*Magdalena!AB$102+BFC!AB25*BFC!AB$102</f>
        <v>44241797.199999996</v>
      </c>
      <c r="AC25" s="3">
        <f>+Descubrimiento!AC25*Descubrimiento!AC$103+'Rentas SpA'!AC25*'Rentas SpA'!AC$102+'Pza Const'!AC25*'Pza Const'!AC$102+'Pza Arauc'!AC25*'Pza Arauc'!AC$102+RRetail!AC25*RRetail!AC$102+Bucarest!AC25*Bucarest!AC$102+Magdalena!AC25*Magdalena!AC$102+BFC!AC25*BFC!AC$102</f>
        <v>92971238.199999988</v>
      </c>
      <c r="AD25" s="3">
        <f>+Descubrimiento!AD25*Descubrimiento!AD$103+'Rentas SpA'!AD25*'Rentas SpA'!AD$102+'Pza Const'!AD25*'Pza Const'!AD$102+'Pza Arauc'!AD25*'Pza Arauc'!AD$102+RRetail!AD25*RRetail!AD$102+Bucarest!AD25*Bucarest!AD$102+Magdalena!AD25*Magdalena!AD$102+BFC!AD25*BFC!AD$102</f>
        <v>94363164</v>
      </c>
      <c r="AE25" s="3">
        <f>+Descubrimiento!AE25*Descubrimiento!AE$103+'Rentas SpA'!AE25*'Rentas SpA'!AE$102+'Pza Const'!AE25*'Pza Const'!AE$102+'Pza Arauc'!AE25*'Pza Arauc'!AE$102+RRetail!AE25*RRetail!AE$102+Bucarest!AE25*Bucarest!AE$102+Magdalena!AE25*Magdalena!AE$102+BFC!AE25*BFC!AE$102</f>
        <v>70752011.700000003</v>
      </c>
      <c r="AF25" s="3">
        <f>+Descubrimiento!AF25*Descubrimiento!AF$103+'Rentas SpA'!AF25*'Rentas SpA'!AF$102+'Pza Const'!AF25*'Pza Const'!AF$102+'Pza Arauc'!AF25*'Pza Arauc'!AF$102+RRetail!AF25*RRetail!AF$102+Bucarest!AF25*Bucarest!AF$102+Magdalena!AF25*Magdalena!AF$102+BFC!AF25*BFC!AF$102</f>
        <v>86381056.799999997</v>
      </c>
      <c r="AG25" s="3">
        <f>+Descubrimiento!AG25*Descubrimiento!AG$103+'Rentas SpA'!AG25*'Rentas SpA'!AG$102+'Pza Const'!AG25*'Pza Const'!AG$102+'Pza Arauc'!AG25*'Pza Arauc'!AG$102+RRetail!AG25*RRetail!AG$102+Bucarest!AG25*Bucarest!AG$102+Magdalena!AG25*Magdalena!AG$102+BFC!AG25*BFC!AG$102</f>
        <v>59920903.700000003</v>
      </c>
      <c r="AH25" s="3">
        <f>+Descubrimiento!AH25*Descubrimiento!AH$103+'Rentas SpA'!AH25*'Rentas SpA'!AH$102+'Pza Const'!AH25*'Pza Const'!AH$102+'Pza Arauc'!AH25*'Pza Arauc'!AH$102+RRetail!AH25*RRetail!AH$102+Bucarest!AH25*Bucarest!AH$102+Magdalena!AH25*Magdalena!AH$102+BFC!AH25*BFC!AH$102</f>
        <v>17004914.699999999</v>
      </c>
      <c r="AI25" s="3">
        <f>+Descubrimiento!AI25*Descubrimiento!AI$103+'Rentas SpA'!AI25*'Rentas SpA'!AI$102+'Pza Const'!AI25*'Pza Const'!AI$102+'Pza Arauc'!AI25*'Pza Arauc'!AI$102+RRetail!AI25*RRetail!AI$102+Bucarest!AI25*Bucarest!AI$102+Magdalena!AI25*Magdalena!AI$102+BFC!AI25*BFC!AI$102</f>
        <v>14458570.799999999</v>
      </c>
    </row>
    <row r="26" spans="1:35" x14ac:dyDescent="0.3">
      <c r="A26" s="1" t="s">
        <v>116</v>
      </c>
      <c r="B26" s="3">
        <f>+Descubrimiento!B26*Descubrimiento!B$103+'Rentas SpA'!B26*'Rentas SpA'!B$102+'Pza Const'!B26*'Pza Const'!B$102+'Pza Arauc'!B26*'Pza Arauc'!B$102+RRetail!B26*RRetail!B$102+Bucarest!B26*Bucarest!B$102+Magdalena!B26*Magdalena!B$102+BFC!B26*BFC!B$102</f>
        <v>831910.5</v>
      </c>
      <c r="C26" s="3">
        <f>+Descubrimiento!C26*Descubrimiento!C$103+'Rentas SpA'!C26*'Rentas SpA'!C$102+'Pza Const'!C26*'Pza Const'!C$102+'Pza Arauc'!C26*'Pza Arauc'!C$102+RRetail!C26*RRetail!C$102+Bucarest!C26*Bucarest!C$102+Magdalena!C26*Magdalena!C$102+BFC!C26*BFC!C$102</f>
        <v>1132564</v>
      </c>
      <c r="D26" s="3">
        <f>+Descubrimiento!D26*Descubrimiento!D$103+'Rentas SpA'!D26*'Rentas SpA'!D$102+'Pza Const'!D26*'Pza Const'!D$102+'Pza Arauc'!D26*'Pza Arauc'!D$102+RRetail!D26*RRetail!D$102+Bucarest!D26*Bucarest!D$102+Magdalena!D26*Magdalena!D$102+BFC!D26*BFC!D$102</f>
        <v>3325355</v>
      </c>
      <c r="E26" s="3">
        <f>+Descubrimiento!E26*Descubrimiento!E$103+'Rentas SpA'!E26*'Rentas SpA'!E$102+'Pza Const'!E26*'Pza Const'!E$102+'Pza Arauc'!E26*'Pza Arauc'!E$102+RRetail!E26*RRetail!E$102+Bucarest!E26*Bucarest!E$102+Magdalena!E26*Magdalena!E$102+BFC!E26*BFC!E$102</f>
        <v>984647</v>
      </c>
      <c r="F26" s="3">
        <f>+Descubrimiento!F26*Descubrimiento!F$103+'Rentas SpA'!F26*'Rentas SpA'!F$102+'Pza Const'!F26*'Pza Const'!F$102+'Pza Arauc'!F26*'Pza Arauc'!F$102+RRetail!F26*RRetail!F$102+Bucarest!F26*Bucarest!F$102+Magdalena!F26*Magdalena!F$102+BFC!F26*BFC!F$102</f>
        <v>1059334</v>
      </c>
      <c r="G26" s="3">
        <f>+Descubrimiento!G26*Descubrimiento!G$103+'Rentas SpA'!G26*'Rentas SpA'!G$102+'Pza Const'!G26*'Pza Const'!G$102+'Pza Arauc'!G26*'Pza Arauc'!G$102+RRetail!G26*RRetail!G$102+Bucarest!G26*Bucarest!G$102+Magdalena!G26*Magdalena!G$102+BFC!G26*BFC!G$102</f>
        <v>802378</v>
      </c>
      <c r="H26" s="3">
        <f>+Descubrimiento!H26*Descubrimiento!H$103+'Rentas SpA'!H26*'Rentas SpA'!H$102+'Pza Const'!H26*'Pza Const'!H$102+'Pza Arauc'!H26*'Pza Arauc'!H$102+RRetail!H26*RRetail!H$102+Bucarest!H26*Bucarest!H$102+Magdalena!H26*Magdalena!H$102+BFC!H26*BFC!H$102</f>
        <v>764916</v>
      </c>
      <c r="I26" s="3">
        <f>+Descubrimiento!I26*Descubrimiento!I$103+'Rentas SpA'!I26*'Rentas SpA'!I$102+'Pza Const'!I26*'Pza Const'!I$102+'Pza Arauc'!I26*'Pza Arauc'!I$102+RRetail!I26*RRetail!I$102+Bucarest!I26*Bucarest!I$102+Magdalena!I26*Magdalena!I$102+BFC!I26*BFC!I$102</f>
        <v>1749562</v>
      </c>
      <c r="J26" s="3">
        <f>+Descubrimiento!J26*Descubrimiento!J$103+'Rentas SpA'!J26*'Rentas SpA'!J$102+'Pza Const'!J26*'Pza Const'!J$102+'Pza Arauc'!J26*'Pza Arauc'!J$102+RRetail!J26*RRetail!J$102+Bucarest!J26*Bucarest!J$102+Magdalena!J26*Magdalena!J$102+BFC!J26*BFC!J$102</f>
        <v>1143242</v>
      </c>
      <c r="K26" s="3">
        <f>+Descubrimiento!K26*Descubrimiento!K$103+'Rentas SpA'!K26*'Rentas SpA'!K$102+'Pza Const'!K26*'Pza Const'!K$102+'Pza Arauc'!K26*'Pza Arauc'!K$102+RRetail!K26*RRetail!K$102+Bucarest!K26*Bucarest!K$102+Magdalena!K26*Magdalena!K$102+BFC!K26*BFC!K$102</f>
        <v>767416</v>
      </c>
      <c r="L26" s="3">
        <f>+Descubrimiento!L26*Descubrimiento!L$103+'Rentas SpA'!L26*'Rentas SpA'!L$102+'Pza Const'!L26*'Pza Const'!L$102+'Pza Arauc'!L26*'Pza Arauc'!L$102+RRetail!L26*RRetail!L$102+Bucarest!L26*Bucarest!L$102+Magdalena!L26*Magdalena!L$102+BFC!L26*BFC!L$102</f>
        <v>1482182</v>
      </c>
      <c r="M26" s="3">
        <f>+Descubrimiento!M26*Descubrimiento!M$103+'Rentas SpA'!M26*'Rentas SpA'!M$102+'Pza Const'!M26*'Pza Const'!M$102+'Pza Arauc'!M26*'Pza Arauc'!M$102+RRetail!M26*RRetail!M$102+Bucarest!M26*Bucarest!M$102+Magdalena!M26*Magdalena!M$102+BFC!M26*BFC!M$102</f>
        <v>1693290</v>
      </c>
      <c r="N26" s="3">
        <f>+Descubrimiento!N26*Descubrimiento!N$103+'Rentas SpA'!N26*'Rentas SpA'!N$102+'Pza Const'!N26*'Pza Const'!N$102+'Pza Arauc'!N26*'Pza Arauc'!N$102+RRetail!N26*RRetail!N$102+Bucarest!N26*Bucarest!N$102+Magdalena!N26*Magdalena!N$102+BFC!N26*BFC!N$102</f>
        <v>2655692.6</v>
      </c>
      <c r="O26" s="3">
        <f>+Descubrimiento!O26*Descubrimiento!O$103+'Rentas SpA'!O26*'Rentas SpA'!O$102+'Pza Const'!O26*'Pza Const'!O$102+'Pza Arauc'!O26*'Pza Arauc'!O$102+RRetail!O26*RRetail!O$102+Bucarest!O26*Bucarest!O$102+Magdalena!O26*Magdalena!O$102+BFC!O26*BFC!O$102</f>
        <v>1364983.2</v>
      </c>
      <c r="P26" s="3">
        <f>+Descubrimiento!P26*Descubrimiento!P$103+'Rentas SpA'!P26*'Rentas SpA'!P$102+'Pza Const'!P26*'Pza Const'!P$102+'Pza Arauc'!P26*'Pza Arauc'!P$102+RRetail!P26*RRetail!P$102+Bucarest!P26*Bucarest!P$102+Magdalena!P26*Magdalena!P$102+BFC!P26*BFC!P$102</f>
        <v>1992347.8</v>
      </c>
      <c r="Q26" s="3">
        <f>+Descubrimiento!Q26*Descubrimiento!Q$103+'Rentas SpA'!Q26*'Rentas SpA'!Q$102+'Pza Const'!Q26*'Pza Const'!Q$102+'Pza Arauc'!Q26*'Pza Arauc'!Q$102+RRetail!Q26*RRetail!Q$102+Bucarest!Q26*Bucarest!Q$102+Magdalena!Q26*Magdalena!Q$102+BFC!Q26*BFC!Q$102</f>
        <v>4618721.2</v>
      </c>
      <c r="R26" s="3">
        <f>+Descubrimiento!R26*Descubrimiento!R$103+'Rentas SpA'!R26*'Rentas SpA'!R$102+'Pza Const'!R26*'Pza Const'!R$102+'Pza Arauc'!R26*'Pza Arauc'!R$102+RRetail!R26*RRetail!R$102+Bucarest!R26*Bucarest!R$102+Magdalena!R26*Magdalena!R$102+BFC!R26*BFC!R$102</f>
        <v>3131925.0999999996</v>
      </c>
      <c r="S26" s="3">
        <f>+Descubrimiento!S26*Descubrimiento!S$103+'Rentas SpA'!S26*'Rentas SpA'!S$102+'Pza Const'!S26*'Pza Const'!S$102+'Pza Arauc'!S26*'Pza Arauc'!S$102+RRetail!S26*RRetail!S$102+Bucarest!S26*Bucarest!S$102+Magdalena!S26*Magdalena!S$102+BFC!S26*BFC!S$102</f>
        <v>6907628.5999999996</v>
      </c>
      <c r="T26" s="3">
        <f>+Descubrimiento!T26*Descubrimiento!T$103+'Rentas SpA'!T26*'Rentas SpA'!T$102+'Pza Const'!T26*'Pza Const'!T$102+'Pza Arauc'!T26*'Pza Arauc'!T$102+RRetail!T26*RRetail!T$102+Bucarest!T26*Bucarest!T$102+Magdalena!T26*Magdalena!T$102+BFC!T26*BFC!T$102</f>
        <v>12111874</v>
      </c>
      <c r="U26" s="3">
        <f>+Descubrimiento!U26*Descubrimiento!U$103+'Rentas SpA'!U26*'Rentas SpA'!U$102+'Pza Const'!U26*'Pza Const'!U$102+'Pza Arauc'!U26*'Pza Arauc'!U$102+RRetail!U26*RRetail!U$102+Bucarest!U26*Bucarest!U$102+Magdalena!U26*Magdalena!U$102+BFC!U26*BFC!U$102</f>
        <v>17489302.399999999</v>
      </c>
      <c r="V26" s="3">
        <f>+Descubrimiento!V26*Descubrimiento!V$103+'Rentas SpA'!V26*'Rentas SpA'!V$102+'Pza Const'!V26*'Pza Const'!V$102+'Pza Arauc'!V26*'Pza Arauc'!V$102+RRetail!V26*RRetail!V$102+Bucarest!V26*Bucarest!V$102+Magdalena!V26*Magdalena!V$102+BFC!V26*BFC!V$102</f>
        <v>6610999.8999999994</v>
      </c>
      <c r="W26" s="3">
        <f>+Descubrimiento!W26*Descubrimiento!W$103+'Rentas SpA'!W26*'Rentas SpA'!W$102+'Pza Const'!W26*'Pza Const'!W$102+'Pza Arauc'!W26*'Pza Arauc'!W$102+RRetail!W26*RRetail!W$102+Bucarest!W26*Bucarest!W$102+Magdalena!W26*Magdalena!W$102+BFC!W26*BFC!W$102</f>
        <v>6041675.7999999998</v>
      </c>
      <c r="X26" s="3">
        <f>+Descubrimiento!X26*Descubrimiento!X$103+'Rentas SpA'!X26*'Rentas SpA'!X$102+'Pza Const'!X26*'Pza Const'!X$102+'Pza Arauc'!X26*'Pza Arauc'!X$102+RRetail!X26*RRetail!X$102+Bucarest!X26*Bucarest!X$102+Magdalena!X26*Magdalena!X$102+BFC!X26*BFC!X$102</f>
        <v>5392978</v>
      </c>
      <c r="Y26" s="3">
        <f>+Descubrimiento!Y26*Descubrimiento!Y$103+'Rentas SpA'!Y26*'Rentas SpA'!Y$102+'Pza Const'!Y26*'Pza Const'!Y$102+'Pza Arauc'!Y26*'Pza Arauc'!Y$102+RRetail!Y26*RRetail!Y$102+Bucarest!Y26*Bucarest!Y$102+Magdalena!Y26*Magdalena!Y$102+BFC!Y26*BFC!Y$102</f>
        <v>4318750.1999999993</v>
      </c>
      <c r="Z26" s="3">
        <f>+Descubrimiento!Z26*Descubrimiento!Z$103+'Rentas SpA'!Z26*'Rentas SpA'!Z$102+'Pza Const'!Z26*'Pza Const'!Z$102+'Pza Arauc'!Z26*'Pza Arauc'!Z$102+RRetail!Z26*RRetail!Z$102+Bucarest!Z26*Bucarest!Z$102+Magdalena!Z26*Magdalena!Z$102+BFC!Z26*BFC!Z$102</f>
        <v>4752060.5999999996</v>
      </c>
      <c r="AA26" s="3">
        <f>+Descubrimiento!AA26*Descubrimiento!AA$103+'Rentas SpA'!AA26*'Rentas SpA'!AA$102+'Pza Const'!AA26*'Pza Const'!AA$102+'Pza Arauc'!AA26*'Pza Arauc'!AA$102+RRetail!AA26*RRetail!AA$102+Bucarest!AA26*Bucarest!AA$102+Magdalena!AA26*Magdalena!AA$102+BFC!AA26*BFC!AA$102</f>
        <v>10570763.5</v>
      </c>
      <c r="AB26" s="3">
        <f>+Descubrimiento!AB26*Descubrimiento!AB$103+'Rentas SpA'!AB26*'Rentas SpA'!AB$102+'Pza Const'!AB26*'Pza Const'!AB$102+'Pza Arauc'!AB26*'Pza Arauc'!AB$102+RRetail!AB26*RRetail!AB$102+Bucarest!AB26*Bucarest!AB$102+Magdalena!AB26*Magdalena!AB$102+BFC!AB26*BFC!AB$102</f>
        <v>10589157.6</v>
      </c>
      <c r="AC26" s="3">
        <f>+Descubrimiento!AC26*Descubrimiento!AC$103+'Rentas SpA'!AC26*'Rentas SpA'!AC$102+'Pza Const'!AC26*'Pza Const'!AC$102+'Pza Arauc'!AC26*'Pza Arauc'!AC$102+RRetail!AC26*RRetail!AC$102+Bucarest!AC26*Bucarest!AC$102+Magdalena!AC26*Magdalena!AC$102+BFC!AC26*BFC!AC$102</f>
        <v>10878307.199999999</v>
      </c>
      <c r="AD26" s="3">
        <f>+Descubrimiento!AD26*Descubrimiento!AD$103+'Rentas SpA'!AD26*'Rentas SpA'!AD$102+'Pza Const'!AD26*'Pza Const'!AD$102+'Pza Arauc'!AD26*'Pza Arauc'!AD$102+RRetail!AD26*RRetail!AD$102+Bucarest!AD26*Bucarest!AD$102+Magdalena!AD26*Magdalena!AD$102+BFC!AD26*BFC!AD$102</f>
        <v>4989398.3</v>
      </c>
      <c r="AE26" s="3">
        <f>+Descubrimiento!AE26*Descubrimiento!AE$103+'Rentas SpA'!AE26*'Rentas SpA'!AE$102+'Pza Const'!AE26*'Pza Const'!AE$102+'Pza Arauc'!AE26*'Pza Arauc'!AE$102+RRetail!AE26*RRetail!AE$102+Bucarest!AE26*Bucarest!AE$102+Magdalena!AE26*Magdalena!AE$102+BFC!AE26*BFC!AE$102</f>
        <v>7359257.0999999996</v>
      </c>
      <c r="AF26" s="3">
        <f>+Descubrimiento!AF26*Descubrimiento!AF$103+'Rentas SpA'!AF26*'Rentas SpA'!AF$102+'Pza Const'!AF26*'Pza Const'!AF$102+'Pza Arauc'!AF26*'Pza Arauc'!AF$102+RRetail!AF26*RRetail!AF$102+Bucarest!AF26*Bucarest!AF$102+Magdalena!AF26*Magdalena!AF$102+BFC!AF26*BFC!AF$102</f>
        <v>5575962.7999999998</v>
      </c>
      <c r="AG26" s="3">
        <f>+Descubrimiento!AG26*Descubrimiento!AG$103+'Rentas SpA'!AG26*'Rentas SpA'!AG$102+'Pza Const'!AG26*'Pza Const'!AG$102+'Pza Arauc'!AG26*'Pza Arauc'!AG$102+RRetail!AG26*RRetail!AG$102+Bucarest!AG26*Bucarest!AG$102+Magdalena!AG26*Magdalena!AG$102+BFC!AG26*BFC!AG$102</f>
        <v>5195721</v>
      </c>
      <c r="AH26" s="3">
        <f>+Descubrimiento!AH26*Descubrimiento!AH$103+'Rentas SpA'!AH26*'Rentas SpA'!AH$102+'Pza Const'!AH26*'Pza Const'!AH$102+'Pza Arauc'!AH26*'Pza Arauc'!AH$102+RRetail!AH26*RRetail!AH$102+Bucarest!AH26*Bucarest!AH$102+Magdalena!AH26*Magdalena!AH$102+BFC!AH26*BFC!AH$102</f>
        <v>5615374.5</v>
      </c>
      <c r="AI26" s="3">
        <f>+Descubrimiento!AI26*Descubrimiento!AI$103+'Rentas SpA'!AI26*'Rentas SpA'!AI$102+'Pza Const'!AI26*'Pza Const'!AI$102+'Pza Arauc'!AI26*'Pza Arauc'!AI$102+RRetail!AI26*RRetail!AI$102+Bucarest!AI26*Bucarest!AI$102+Magdalena!AI26*Magdalena!AI$102+BFC!AI26*BFC!AI$102</f>
        <v>8152979.3999999994</v>
      </c>
    </row>
    <row r="27" spans="1:35" x14ac:dyDescent="0.3">
      <c r="A27" s="1" t="s">
        <v>117</v>
      </c>
      <c r="B27" s="3">
        <f>+Descubrimiento!B27*Descubrimiento!B$103+'Rentas SpA'!B27*'Rentas SpA'!B$102+'Pza Const'!B27*'Pza Const'!B$102+'Pza Arauc'!B27*'Pza Arauc'!B$102+RRetail!B27*RRetail!B$102+Bucarest!B27*Bucarest!B$102+Magdalena!B27*Magdalena!B$102+BFC!B27*BFC!B$102</f>
        <v>1613984</v>
      </c>
      <c r="C27" s="3">
        <f>+Descubrimiento!C27*Descubrimiento!C$103+'Rentas SpA'!C27*'Rentas SpA'!C$102+'Pza Const'!C27*'Pza Const'!C$102+'Pza Arauc'!C27*'Pza Arauc'!C$102+RRetail!C27*RRetail!C$102+Bucarest!C27*Bucarest!C$102+Magdalena!C27*Magdalena!C$102+BFC!C27*BFC!C$102</f>
        <v>2692880</v>
      </c>
      <c r="D27" s="3">
        <f>+Descubrimiento!D27*Descubrimiento!D$103+'Rentas SpA'!D27*'Rentas SpA'!D$102+'Pza Const'!D27*'Pza Const'!D$102+'Pza Arauc'!D27*'Pza Arauc'!D$102+RRetail!D27*RRetail!D$102+Bucarest!D27*Bucarest!D$102+Magdalena!D27*Magdalena!D$102+BFC!D27*BFC!D$102</f>
        <v>5429457</v>
      </c>
      <c r="E27" s="3">
        <f>+Descubrimiento!E27*Descubrimiento!E$103+'Rentas SpA'!E27*'Rentas SpA'!E$102+'Pza Const'!E27*'Pza Const'!E$102+'Pza Arauc'!E27*'Pza Arauc'!E$102+RRetail!E27*RRetail!E$102+Bucarest!E27*Bucarest!E$102+Magdalena!E27*Magdalena!E$102+BFC!E27*BFC!E$102</f>
        <v>30344418</v>
      </c>
      <c r="F27" s="3">
        <f>+Descubrimiento!F27*Descubrimiento!F$103+'Rentas SpA'!F27*'Rentas SpA'!F$102+'Pza Const'!F27*'Pza Const'!F$102+'Pza Arauc'!F27*'Pza Arauc'!F$102+RRetail!F27*RRetail!F$102+Bucarest!F27*Bucarest!F$102+Magdalena!F27*Magdalena!F$102+BFC!F27*BFC!F$102</f>
        <v>2167100</v>
      </c>
      <c r="G27" s="3">
        <f>+Descubrimiento!G27*Descubrimiento!G$103+'Rentas SpA'!G27*'Rentas SpA'!G$102+'Pza Const'!G27*'Pza Const'!G$102+'Pza Arauc'!G27*'Pza Arauc'!G$102+RRetail!G27*RRetail!G$102+Bucarest!G27*Bucarest!G$102+Magdalena!G27*Magdalena!G$102+BFC!G27*BFC!G$102</f>
        <v>0</v>
      </c>
      <c r="H27" s="3">
        <f>+Descubrimiento!H27*Descubrimiento!H$103+'Rentas SpA'!H27*'Rentas SpA'!H$102+'Pza Const'!H27*'Pza Const'!H$102+'Pza Arauc'!H27*'Pza Arauc'!H$102+RRetail!H27*RRetail!H$102+Bucarest!H27*Bucarest!H$102+Magdalena!H27*Magdalena!H$102+BFC!H27*BFC!H$102</f>
        <v>308641</v>
      </c>
      <c r="I27" s="3">
        <f>+Descubrimiento!I27*Descubrimiento!I$103+'Rentas SpA'!I27*'Rentas SpA'!I$102+'Pza Const'!I27*'Pza Const'!I$102+'Pza Arauc'!I27*'Pza Arauc'!I$102+RRetail!I27*RRetail!I$102+Bucarest!I27*Bucarest!I$102+Magdalena!I27*Magdalena!I$102+BFC!I27*BFC!I$102</f>
        <v>0</v>
      </c>
      <c r="J27" s="3">
        <f>+Descubrimiento!J27*Descubrimiento!J$103+'Rentas SpA'!J27*'Rentas SpA'!J$102+'Pza Const'!J27*'Pza Const'!J$102+'Pza Arauc'!J27*'Pza Arauc'!J$102+RRetail!J27*RRetail!J$102+Bucarest!J27*Bucarest!J$102+Magdalena!J27*Magdalena!J$102+BFC!J27*BFC!J$102</f>
        <v>0</v>
      </c>
      <c r="K27" s="3">
        <f>+Descubrimiento!K27*Descubrimiento!K$103+'Rentas SpA'!K27*'Rentas SpA'!K$102+'Pza Const'!K27*'Pza Const'!K$102+'Pza Arauc'!K27*'Pza Arauc'!K$102+RRetail!K27*RRetail!K$102+Bucarest!K27*Bucarest!K$102+Magdalena!K27*Magdalena!K$102+BFC!K27*BFC!K$102</f>
        <v>0</v>
      </c>
      <c r="L27" s="3">
        <f>+Descubrimiento!L27*Descubrimiento!L$103+'Rentas SpA'!L27*'Rentas SpA'!L$102+'Pza Const'!L27*'Pza Const'!L$102+'Pza Arauc'!L27*'Pza Arauc'!L$102+RRetail!L27*RRetail!L$102+Bucarest!L27*Bucarest!L$102+Magdalena!L27*Magdalena!L$102+BFC!L27*BFC!L$102</f>
        <v>52000</v>
      </c>
      <c r="M27" s="3">
        <f>+Descubrimiento!M27*Descubrimiento!M$103+'Rentas SpA'!M27*'Rentas SpA'!M$102+'Pza Const'!M27*'Pza Const'!M$102+'Pza Arauc'!M27*'Pza Arauc'!M$102+RRetail!M27*RRetail!M$102+Bucarest!M27*Bucarest!M$102+Magdalena!M27*Magdalena!M$102+BFC!M27*BFC!M$102</f>
        <v>0</v>
      </c>
      <c r="N27" s="3">
        <f>+Descubrimiento!N27*Descubrimiento!N$103+'Rentas SpA'!N27*'Rentas SpA'!N$102+'Pza Const'!N27*'Pza Const'!N$102+'Pza Arauc'!N27*'Pza Arauc'!N$102+RRetail!N27*RRetail!N$102+Bucarest!N27*Bucarest!N$102+Magdalena!N27*Magdalena!N$102+BFC!N27*BFC!N$102</f>
        <v>0</v>
      </c>
      <c r="O27" s="3">
        <f>+Descubrimiento!O27*Descubrimiento!O$103+'Rentas SpA'!O27*'Rentas SpA'!O$102+'Pza Const'!O27*'Pza Const'!O$102+'Pza Arauc'!O27*'Pza Arauc'!O$102+RRetail!O27*RRetail!O$102+Bucarest!O27*Bucarest!O$102+Magdalena!O27*Magdalena!O$102+BFC!O27*BFC!O$102</f>
        <v>0</v>
      </c>
      <c r="P27" s="3">
        <f>+Descubrimiento!P27*Descubrimiento!P$103+'Rentas SpA'!P27*'Rentas SpA'!P$102+'Pza Const'!P27*'Pza Const'!P$102+'Pza Arauc'!P27*'Pza Arauc'!P$102+RRetail!P27*RRetail!P$102+Bucarest!P27*Bucarest!P$102+Magdalena!P27*Magdalena!P$102+BFC!P27*BFC!P$102</f>
        <v>292000</v>
      </c>
      <c r="Q27" s="3">
        <f>+Descubrimiento!Q27*Descubrimiento!Q$103+'Rentas SpA'!Q27*'Rentas SpA'!Q$102+'Pza Const'!Q27*'Pza Const'!Q$102+'Pza Arauc'!Q27*'Pza Arauc'!Q$102+RRetail!Q27*RRetail!Q$102+Bucarest!Q27*Bucarest!Q$102+Magdalena!Q27*Magdalena!Q$102+BFC!Q27*BFC!Q$102</f>
        <v>0</v>
      </c>
      <c r="R27" s="3">
        <f>+Descubrimiento!R27*Descubrimiento!R$103+'Rentas SpA'!R27*'Rentas SpA'!R$102+'Pza Const'!R27*'Pza Const'!R$102+'Pza Arauc'!R27*'Pza Arauc'!R$102+RRetail!R27*RRetail!R$102+Bucarest!R27*Bucarest!R$102+Magdalena!R27*Magdalena!R$102+BFC!R27*BFC!R$102</f>
        <v>0</v>
      </c>
      <c r="S27" s="3">
        <f>+Descubrimiento!S27*Descubrimiento!S$103+'Rentas SpA'!S27*'Rentas SpA'!S$102+'Pza Const'!S27*'Pza Const'!S$102+'Pza Arauc'!S27*'Pza Arauc'!S$102+RRetail!S27*RRetail!S$102+Bucarest!S27*Bucarest!S$102+Magdalena!S27*Magdalena!S$102+BFC!S27*BFC!S$102</f>
        <v>0</v>
      </c>
      <c r="T27" s="3">
        <f>+Descubrimiento!T27*Descubrimiento!T$103+'Rentas SpA'!T27*'Rentas SpA'!T$102+'Pza Const'!T27*'Pza Const'!T$102+'Pza Arauc'!T27*'Pza Arauc'!T$102+RRetail!T27*RRetail!T$102+Bucarest!T27*Bucarest!T$102+Magdalena!T27*Magdalena!T$102+BFC!T27*BFC!T$102</f>
        <v>30000</v>
      </c>
      <c r="U27" s="3">
        <f>+Descubrimiento!U27*Descubrimiento!U$103+'Rentas SpA'!U27*'Rentas SpA'!U$102+'Pza Const'!U27*'Pza Const'!U$102+'Pza Arauc'!U27*'Pza Arauc'!U$102+RRetail!U27*RRetail!U$102+Bucarest!U27*Bucarest!U$102+Magdalena!U27*Magdalena!U$102+BFC!U27*BFC!U$102</f>
        <v>0</v>
      </c>
      <c r="V27" s="3">
        <f>+Descubrimiento!V27*Descubrimiento!V$103+'Rentas SpA'!V27*'Rentas SpA'!V$102+'Pza Const'!V27*'Pza Const'!V$102+'Pza Arauc'!V27*'Pza Arauc'!V$102+RRetail!V27*RRetail!V$102+Bucarest!V27*Bucarest!V$102+Magdalena!V27*Magdalena!V$102+BFC!V27*BFC!V$102</f>
        <v>0</v>
      </c>
      <c r="W27" s="3">
        <f>+Descubrimiento!W27*Descubrimiento!W$103+'Rentas SpA'!W27*'Rentas SpA'!W$102+'Pza Const'!W27*'Pza Const'!W$102+'Pza Arauc'!W27*'Pza Arauc'!W$102+RRetail!W27*RRetail!W$102+Bucarest!W27*Bucarest!W$102+Magdalena!W27*Magdalena!W$102+BFC!W27*BFC!W$102</f>
        <v>3356860</v>
      </c>
      <c r="X27" s="3">
        <f>+Descubrimiento!X27*Descubrimiento!X$103+'Rentas SpA'!X27*'Rentas SpA'!X$102+'Pza Const'!X27*'Pza Const'!X$102+'Pza Arauc'!X27*'Pza Arauc'!X$102+RRetail!X27*RRetail!X$102+Bucarest!X27*Bucarest!X$102+Magdalena!X27*Magdalena!X$102+BFC!X27*BFC!X$102</f>
        <v>1860</v>
      </c>
      <c r="Y27" s="3">
        <f>+Descubrimiento!Y27*Descubrimiento!Y$103+'Rentas SpA'!Y27*'Rentas SpA'!Y$102+'Pza Const'!Y27*'Pza Const'!Y$102+'Pza Arauc'!Y27*'Pza Arauc'!Y$102+RRetail!Y27*RRetail!Y$102+Bucarest!Y27*Bucarest!Y$102+Magdalena!Y27*Magdalena!Y$102+BFC!Y27*BFC!Y$102</f>
        <v>150000</v>
      </c>
      <c r="Z27" s="3">
        <f>+Descubrimiento!Z27*Descubrimiento!Z$103+'Rentas SpA'!Z27*'Rentas SpA'!Z$102+'Pza Const'!Z27*'Pza Const'!Z$102+'Pza Arauc'!Z27*'Pza Arauc'!Z$102+RRetail!Z27*RRetail!Z$102+Bucarest!Z27*Bucarest!Z$102+Magdalena!Z27*Magdalena!Z$102+BFC!Z27*BFC!Z$102</f>
        <v>0</v>
      </c>
      <c r="AA27" s="3">
        <f>+Descubrimiento!AA27*Descubrimiento!AA$103+'Rentas SpA'!AA27*'Rentas SpA'!AA$102+'Pza Const'!AA27*'Pza Const'!AA$102+'Pza Arauc'!AA27*'Pza Arauc'!AA$102+RRetail!AA27*RRetail!AA$102+Bucarest!AA27*Bucarest!AA$102+Magdalena!AA27*Magdalena!AA$102+BFC!AA27*BFC!AA$102</f>
        <v>8255013.8999999994</v>
      </c>
      <c r="AB27" s="3">
        <f>+Descubrimiento!AB27*Descubrimiento!AB$103+'Rentas SpA'!AB27*'Rentas SpA'!AB$102+'Pza Const'!AB27*'Pza Const'!AB$102+'Pza Arauc'!AB27*'Pza Arauc'!AB$102+RRetail!AB27*RRetail!AB$102+Bucarest!AB27*Bucarest!AB$102+Magdalena!AB27*Magdalena!AB$102+BFC!AB27*BFC!AB$102</f>
        <v>7840984.0999999996</v>
      </c>
      <c r="AC27" s="3">
        <f>+Descubrimiento!AC27*Descubrimiento!AC$103+'Rentas SpA'!AC27*'Rentas SpA'!AC$102+'Pza Const'!AC27*'Pza Const'!AC$102+'Pza Arauc'!AC27*'Pza Arauc'!AC$102+RRetail!AC27*RRetail!AC$102+Bucarest!AC27*Bucarest!AC$102+Magdalena!AC27*Magdalena!AC$102+BFC!AC27*BFC!AC$102</f>
        <v>8001577.6999999993</v>
      </c>
      <c r="AD27" s="3">
        <f>+Descubrimiento!AD27*Descubrimiento!AD$103+'Rentas SpA'!AD27*'Rentas SpA'!AD$102+'Pza Const'!AD27*'Pza Const'!AD$102+'Pza Arauc'!AD27*'Pza Arauc'!AD$102+RRetail!AD27*RRetail!AD$102+Bucarest!AD27*Bucarest!AD$102+Magdalena!AD27*Magdalena!AD$102+BFC!AD27*BFC!AD$102</f>
        <v>7999548.1999999993</v>
      </c>
      <c r="AE27" s="3">
        <f>+Descubrimiento!AE27*Descubrimiento!AE$103+'Rentas SpA'!AE27*'Rentas SpA'!AE$102+'Pza Const'!AE27*'Pza Const'!AE$102+'Pza Arauc'!AE27*'Pza Arauc'!AE$102+RRetail!AE27*RRetail!AE$102+Bucarest!AE27*Bucarest!AE$102+Magdalena!AE27*Magdalena!AE$102+BFC!AE27*BFC!AE$102</f>
        <v>8077280.3999999994</v>
      </c>
      <c r="AF27" s="3">
        <f>+Descubrimiento!AF27*Descubrimiento!AF$103+'Rentas SpA'!AF27*'Rentas SpA'!AF$102+'Pza Const'!AF27*'Pza Const'!AF$102+'Pza Arauc'!AF27*'Pza Arauc'!AF$102+RRetail!AF27*RRetail!AF$102+Bucarest!AF27*Bucarest!AF$102+Magdalena!AF27*Magdalena!AF$102+BFC!AF27*BFC!AF$102</f>
        <v>8445582.5</v>
      </c>
      <c r="AG27" s="3">
        <f>+Descubrimiento!AG27*Descubrimiento!AG$103+'Rentas SpA'!AG27*'Rentas SpA'!AG$102+'Pza Const'!AG27*'Pza Const'!AG$102+'Pza Arauc'!AG27*'Pza Arauc'!AG$102+RRetail!AG27*RRetail!AG$102+Bucarest!AG27*Bucarest!AG$102+Magdalena!AG27*Magdalena!AG$102+BFC!AG27*BFC!AG$102</f>
        <v>8773706.0999999996</v>
      </c>
      <c r="AH27" s="3">
        <f>+Descubrimiento!AH27*Descubrimiento!AH$103+'Rentas SpA'!AH27*'Rentas SpA'!AH$102+'Pza Const'!AH27*'Pza Const'!AH$102+'Pza Arauc'!AH27*'Pza Arauc'!AH$102+RRetail!AH27*RRetail!AH$102+Bucarest!AH27*Bucarest!AH$102+Magdalena!AH27*Magdalena!AH$102+BFC!AH27*BFC!AH$102</f>
        <v>8463000.3999999985</v>
      </c>
      <c r="AI27" s="3">
        <f>+Descubrimiento!AI27*Descubrimiento!AI$103+'Rentas SpA'!AI27*'Rentas SpA'!AI$102+'Pza Const'!AI27*'Pza Const'!AI$102+'Pza Arauc'!AI27*'Pza Arauc'!AI$102+RRetail!AI27*RRetail!AI$102+Bucarest!AI27*Bucarest!AI$102+Magdalena!AI27*Magdalena!AI$102+BFC!AI27*BFC!AI$102</f>
        <v>8375735.5999999996</v>
      </c>
    </row>
    <row r="28" spans="1:35" x14ac:dyDescent="0.3">
      <c r="A28" s="1" t="s">
        <v>118</v>
      </c>
      <c r="B28" s="3">
        <f>+Descubrimiento!B28*Descubrimiento!B$103+'Rentas SpA'!B28*'Rentas SpA'!B$102+'Pza Const'!B28*'Pza Const'!B$102+'Pza Arauc'!B28*'Pza Arauc'!B$102+RRetail!B28*RRetail!B$102+Bucarest!B28*Bucarest!B$102+Magdalena!B28*Magdalena!B$102+BFC!B28*BFC!B$102</f>
        <v>51083</v>
      </c>
      <c r="C28" s="3">
        <f>+Descubrimiento!C28*Descubrimiento!C$103+'Rentas SpA'!C28*'Rentas SpA'!C$102+'Pza Const'!C28*'Pza Const'!C$102+'Pza Arauc'!C28*'Pza Arauc'!C$102+RRetail!C28*RRetail!C$102+Bucarest!C28*Bucarest!C$102+Magdalena!C28*Magdalena!C$102+BFC!C28*BFC!C$102</f>
        <v>10743</v>
      </c>
      <c r="D28" s="3">
        <f>+Descubrimiento!D28*Descubrimiento!D$103+'Rentas SpA'!D28*'Rentas SpA'!D$102+'Pza Const'!D28*'Pza Const'!D$102+'Pza Arauc'!D28*'Pza Arauc'!D$102+RRetail!D28*RRetail!D$102+Bucarest!D28*Bucarest!D$102+Magdalena!D28*Magdalena!D$102+BFC!D28*BFC!D$102</f>
        <v>1729</v>
      </c>
      <c r="E28" s="3">
        <f>+Descubrimiento!E28*Descubrimiento!E$103+'Rentas SpA'!E28*'Rentas SpA'!E$102+'Pza Const'!E28*'Pza Const'!E$102+'Pza Arauc'!E28*'Pza Arauc'!E$102+RRetail!E28*RRetail!E$102+Bucarest!E28*Bucarest!E$102+Magdalena!E28*Magdalena!E$102+BFC!E28*BFC!E$102</f>
        <v>636612</v>
      </c>
      <c r="F28" s="3">
        <f>+Descubrimiento!F28*Descubrimiento!F$103+'Rentas SpA'!F28*'Rentas SpA'!F$102+'Pza Const'!F28*'Pza Const'!F$102+'Pza Arauc'!F28*'Pza Arauc'!F$102+RRetail!F28*RRetail!F$102+Bucarest!F28*Bucarest!F$102+Magdalena!F28*Magdalena!F$102+BFC!F28*BFC!F$102</f>
        <v>428853</v>
      </c>
      <c r="G28" s="3">
        <f>+Descubrimiento!G28*Descubrimiento!G$103+'Rentas SpA'!G28*'Rentas SpA'!G$102+'Pza Const'!G28*'Pza Const'!G$102+'Pza Arauc'!G28*'Pza Arauc'!G$102+RRetail!G28*RRetail!G$102+Bucarest!G28*Bucarest!G$102+Magdalena!G28*Magdalena!G$102+BFC!G28*BFC!G$102</f>
        <v>418486</v>
      </c>
      <c r="H28" s="3">
        <f>+Descubrimiento!H28*Descubrimiento!H$103+'Rentas SpA'!H28*'Rentas SpA'!H$102+'Pza Const'!H28*'Pza Const'!H$102+'Pza Arauc'!H28*'Pza Arauc'!H$102+RRetail!H28*RRetail!H$102+Bucarest!H28*Bucarest!H$102+Magdalena!H28*Magdalena!H$102+BFC!H28*BFC!H$102</f>
        <v>176524</v>
      </c>
      <c r="I28" s="3">
        <f>+Descubrimiento!I28*Descubrimiento!I$103+'Rentas SpA'!I28*'Rentas SpA'!I$102+'Pza Const'!I28*'Pza Const'!I$102+'Pza Arauc'!I28*'Pza Arauc'!I$102+RRetail!I28*RRetail!I$102+Bucarest!I28*Bucarest!I$102+Magdalena!I28*Magdalena!I$102+BFC!I28*BFC!I$102</f>
        <v>845337</v>
      </c>
      <c r="J28" s="3">
        <f>+Descubrimiento!J28*Descubrimiento!J$103+'Rentas SpA'!J28*'Rentas SpA'!J$102+'Pza Const'!J28*'Pza Const'!J$102+'Pza Arauc'!J28*'Pza Arauc'!J$102+RRetail!J28*RRetail!J$102+Bucarest!J28*Bucarest!J$102+Magdalena!J28*Magdalena!J$102+BFC!J28*BFC!J$102</f>
        <v>918424</v>
      </c>
      <c r="K28" s="3">
        <f>+Descubrimiento!K28*Descubrimiento!K$103+'Rentas SpA'!K28*'Rentas SpA'!K$102+'Pza Const'!K28*'Pza Const'!K$102+'Pza Arauc'!K28*'Pza Arauc'!K$102+RRetail!K28*RRetail!K$102+Bucarest!K28*Bucarest!K$102+Magdalena!K28*Magdalena!K$102+BFC!K28*BFC!K$102</f>
        <v>1010770</v>
      </c>
      <c r="L28" s="3">
        <f>+Descubrimiento!L28*Descubrimiento!L$103+'Rentas SpA'!L28*'Rentas SpA'!L$102+'Pza Const'!L28*'Pza Const'!L$102+'Pza Arauc'!L28*'Pza Arauc'!L$102+RRetail!L28*RRetail!L$102+Bucarest!L28*Bucarest!L$102+Magdalena!L28*Magdalena!L$102+BFC!L28*BFC!L$102</f>
        <v>364386</v>
      </c>
      <c r="M28" s="3">
        <f>+Descubrimiento!M28*Descubrimiento!M$103+'Rentas SpA'!M28*'Rentas SpA'!M$102+'Pza Const'!M28*'Pza Const'!M$102+'Pza Arauc'!M28*'Pza Arauc'!M$102+RRetail!M28*RRetail!M$102+Bucarest!M28*Bucarest!M$102+Magdalena!M28*Magdalena!M$102+BFC!M28*BFC!M$102</f>
        <v>446797</v>
      </c>
      <c r="N28" s="3">
        <f>+Descubrimiento!N28*Descubrimiento!N$103+'Rentas SpA'!N28*'Rentas SpA'!N$102+'Pza Const'!N28*'Pza Const'!N$102+'Pza Arauc'!N28*'Pza Arauc'!N$102+RRetail!N28*RRetail!N$102+Bucarest!N28*Bucarest!N$102+Magdalena!N28*Magdalena!N$102+BFC!N28*BFC!N$102</f>
        <v>726113.8</v>
      </c>
      <c r="O28" s="3">
        <f>+Descubrimiento!O28*Descubrimiento!O$103+'Rentas SpA'!O28*'Rentas SpA'!O$102+'Pza Const'!O28*'Pza Const'!O$102+'Pza Arauc'!O28*'Pza Arauc'!O$102+RRetail!O28*RRetail!O$102+Bucarest!O28*Bucarest!O$102+Magdalena!O28*Magdalena!O$102+BFC!O28*BFC!O$102</f>
        <v>39565445.600000001</v>
      </c>
      <c r="P28" s="3">
        <f>+Descubrimiento!P28*Descubrimiento!P$103+'Rentas SpA'!P28*'Rentas SpA'!P$102+'Pza Const'!P28*'Pza Const'!P$102+'Pza Arauc'!P28*'Pza Arauc'!P$102+RRetail!P28*RRetail!P$102+Bucarest!P28*Bucarest!P$102+Magdalena!P28*Magdalena!P$102+BFC!P28*BFC!P$102</f>
        <v>215520</v>
      </c>
      <c r="Q28" s="3">
        <f>+Descubrimiento!Q28*Descubrimiento!Q$103+'Rentas SpA'!Q28*'Rentas SpA'!Q$102+'Pza Const'!Q28*'Pza Const'!Q$102+'Pza Arauc'!Q28*'Pza Arauc'!Q$102+RRetail!Q28*RRetail!Q$102+Bucarest!Q28*Bucarest!Q$102+Magdalena!Q28*Magdalena!Q$102+BFC!Q28*BFC!Q$102</f>
        <v>217494</v>
      </c>
      <c r="R28" s="3">
        <f>+Descubrimiento!R28*Descubrimiento!R$103+'Rentas SpA'!R28*'Rentas SpA'!R$102+'Pza Const'!R28*'Pza Const'!R$102+'Pza Arauc'!R28*'Pza Arauc'!R$102+RRetail!R28*RRetail!R$102+Bucarest!R28*Bucarest!R$102+Magdalena!R28*Magdalena!R$102+BFC!R28*BFC!R$102</f>
        <v>440261</v>
      </c>
      <c r="S28" s="3">
        <f>+Descubrimiento!S28*Descubrimiento!S$103+'Rentas SpA'!S28*'Rentas SpA'!S$102+'Pza Const'!S28*'Pza Const'!S$102+'Pza Arauc'!S28*'Pza Arauc'!S$102+RRetail!S28*RRetail!S$102+Bucarest!S28*Bucarest!S$102+Magdalena!S28*Magdalena!S$102+BFC!S28*BFC!S$102</f>
        <v>994954</v>
      </c>
      <c r="T28" s="3">
        <f>+Descubrimiento!T28*Descubrimiento!T$103+'Rentas SpA'!T28*'Rentas SpA'!T$102+'Pza Const'!T28*'Pza Const'!T$102+'Pza Arauc'!T28*'Pza Arauc'!T$102+RRetail!T28*RRetail!T$102+Bucarest!T28*Bucarest!T$102+Magdalena!T28*Magdalena!T$102+BFC!T28*BFC!T$102</f>
        <v>204334</v>
      </c>
      <c r="U28" s="3">
        <f>+Descubrimiento!U28*Descubrimiento!U$103+'Rentas SpA'!U28*'Rentas SpA'!U$102+'Pza Const'!U28*'Pza Const'!U$102+'Pza Arauc'!U28*'Pza Arauc'!U$102+RRetail!U28*RRetail!U$102+Bucarest!U28*Bucarest!U$102+Magdalena!U28*Magdalena!U$102+BFC!U28*BFC!U$102</f>
        <v>232859</v>
      </c>
      <c r="V28" s="3">
        <f>+Descubrimiento!V28*Descubrimiento!V$103+'Rentas SpA'!V28*'Rentas SpA'!V$102+'Pza Const'!V28*'Pza Const'!V$102+'Pza Arauc'!V28*'Pza Arauc'!V$102+RRetail!V28*RRetail!V$102+Bucarest!V28*Bucarest!V$102+Magdalena!V28*Magdalena!V$102+BFC!V28*BFC!V$102</f>
        <v>189342.8</v>
      </c>
      <c r="W28" s="3">
        <f>+Descubrimiento!W28*Descubrimiento!W$103+'Rentas SpA'!W28*'Rentas SpA'!W$102+'Pza Const'!W28*'Pza Const'!W$102+'Pza Arauc'!W28*'Pza Arauc'!W$102+RRetail!W28*RRetail!W$102+Bucarest!W28*Bucarest!W$102+Magdalena!W28*Magdalena!W$102+BFC!W28*BFC!W$102</f>
        <v>10576253.5</v>
      </c>
      <c r="X28" s="3">
        <f>+Descubrimiento!X28*Descubrimiento!X$103+'Rentas SpA'!X28*'Rentas SpA'!X$102+'Pza Const'!X28*'Pza Const'!X$102+'Pza Arauc'!X28*'Pza Arauc'!X$102+RRetail!X28*RRetail!X$102+Bucarest!X28*Bucarest!X$102+Magdalena!X28*Magdalena!X$102+BFC!X28*BFC!X$102</f>
        <v>3506305.9</v>
      </c>
      <c r="Y28" s="3">
        <f>+Descubrimiento!Y28*Descubrimiento!Y$103+'Rentas SpA'!Y28*'Rentas SpA'!Y$102+'Pza Const'!Y28*'Pza Const'!Y$102+'Pza Arauc'!Y28*'Pza Arauc'!Y$102+RRetail!Y28*RRetail!Y$102+Bucarest!Y28*Bucarest!Y$102+Magdalena!Y28*Magdalena!Y$102+BFC!Y28*BFC!Y$102</f>
        <v>3399939</v>
      </c>
      <c r="Z28" s="3">
        <f>+Descubrimiento!Z28*Descubrimiento!Z$103+'Rentas SpA'!Z28*'Rentas SpA'!Z$102+'Pza Const'!Z28*'Pza Const'!Z$102+'Pza Arauc'!Z28*'Pza Arauc'!Z$102+RRetail!Z28*RRetail!Z$102+Bucarest!Z28*Bucarest!Z$102+Magdalena!Z28*Magdalena!Z$102+BFC!Z28*BFC!Z$102</f>
        <v>554100</v>
      </c>
      <c r="AA28" s="3">
        <f>+Descubrimiento!AA28*Descubrimiento!AA$103+'Rentas SpA'!AA28*'Rentas SpA'!AA$102+'Pza Const'!AA28*'Pza Const'!AA$102+'Pza Arauc'!AA28*'Pza Arauc'!AA$102+RRetail!AA28*RRetail!AA$102+Bucarest!AA28*Bucarest!AA$102+Magdalena!AA28*Magdalena!AA$102+BFC!AA28*BFC!AA$102</f>
        <v>1090545.2</v>
      </c>
      <c r="AB28" s="3">
        <f>+Descubrimiento!AB28*Descubrimiento!AB$103+'Rentas SpA'!AB28*'Rentas SpA'!AB$102+'Pza Const'!AB28*'Pza Const'!AB$102+'Pza Arauc'!AB28*'Pza Arauc'!AB$102+RRetail!AB28*RRetail!AB$102+Bucarest!AB28*Bucarest!AB$102+Magdalena!AB28*Magdalena!AB$102+BFC!AB28*BFC!AB$102</f>
        <v>1899373.5</v>
      </c>
      <c r="AC28" s="3">
        <f>+Descubrimiento!AC28*Descubrimiento!AC$103+'Rentas SpA'!AC28*'Rentas SpA'!AC$102+'Pza Const'!AC28*'Pza Const'!AC$102+'Pza Arauc'!AC28*'Pza Arauc'!AC$102+RRetail!AC28*RRetail!AC$102+Bucarest!AC28*Bucarest!AC$102+Magdalena!AC28*Magdalena!AC$102+BFC!AC28*BFC!AC$102</f>
        <v>2124611</v>
      </c>
      <c r="AD28" s="3">
        <f>+Descubrimiento!AD28*Descubrimiento!AD$103+'Rentas SpA'!AD28*'Rentas SpA'!AD$102+'Pza Const'!AD28*'Pza Const'!AD$102+'Pza Arauc'!AD28*'Pza Arauc'!AD$102+RRetail!AD28*RRetail!AD$102+Bucarest!AD28*Bucarest!AD$102+Magdalena!AD28*Magdalena!AD$102+BFC!AD28*BFC!AD$102</f>
        <v>2397022.5999999996</v>
      </c>
      <c r="AE28" s="3">
        <f>+Descubrimiento!AE28*Descubrimiento!AE$103+'Rentas SpA'!AE28*'Rentas SpA'!AE$102+'Pza Const'!AE28*'Pza Const'!AE$102+'Pza Arauc'!AE28*'Pza Arauc'!AE$102+RRetail!AE28*RRetail!AE$102+Bucarest!AE28*Bucarest!AE$102+Magdalena!AE28*Magdalena!AE$102+BFC!AE28*BFC!AE$102</f>
        <v>3096006.6999999997</v>
      </c>
      <c r="AF28" s="3">
        <f>+Descubrimiento!AF28*Descubrimiento!AF$103+'Rentas SpA'!AF28*'Rentas SpA'!AF$102+'Pza Const'!AF28*'Pza Const'!AF$102+'Pza Arauc'!AF28*'Pza Arauc'!AF$102+RRetail!AF28*RRetail!AF$102+Bucarest!AF28*Bucarest!AF$102+Magdalena!AF28*Magdalena!AF$102+BFC!AF28*BFC!AF$102</f>
        <v>2225629.0999999996</v>
      </c>
      <c r="AG28" s="3">
        <f>+Descubrimiento!AG28*Descubrimiento!AG$103+'Rentas SpA'!AG28*'Rentas SpA'!AG$102+'Pza Const'!AG28*'Pza Const'!AG$102+'Pza Arauc'!AG28*'Pza Arauc'!AG$102+RRetail!AG28*RRetail!AG$102+Bucarest!AG28*Bucarest!AG$102+Magdalena!AG28*Magdalena!AG$102+BFC!AG28*BFC!AG$102</f>
        <v>3251681</v>
      </c>
      <c r="AH28" s="3">
        <f>+Descubrimiento!AH28*Descubrimiento!AH$103+'Rentas SpA'!AH28*'Rentas SpA'!AH$102+'Pza Const'!AH28*'Pza Const'!AH$102+'Pza Arauc'!AH28*'Pza Arauc'!AH$102+RRetail!AH28*RRetail!AH$102+Bucarest!AH28*Bucarest!AH$102+Magdalena!AH28*Magdalena!AH$102+BFC!AH28*BFC!AH$102</f>
        <v>4781520.5</v>
      </c>
      <c r="AI28" s="3">
        <f>+Descubrimiento!AI28*Descubrimiento!AI$103+'Rentas SpA'!AI28*'Rentas SpA'!AI$102+'Pza Const'!AI28*'Pza Const'!AI$102+'Pza Arauc'!AI28*'Pza Arauc'!AI$102+RRetail!AI28*RRetail!AI$102+Bucarest!AI28*Bucarest!AI$102+Magdalena!AI28*Magdalena!AI$102+BFC!AI28*BFC!AI$102</f>
        <v>5989015.7999999998</v>
      </c>
    </row>
    <row r="29" spans="1:35" x14ac:dyDescent="0.3">
      <c r="A29" s="1" t="s">
        <v>119</v>
      </c>
      <c r="B29" s="3">
        <f>+Descubrimiento!B29*Descubrimiento!B$103+'Rentas SpA'!B29*'Rentas SpA'!B$102+'Pza Const'!B29*'Pza Const'!B$102+'Pza Arauc'!B29*'Pza Arauc'!B$102+RRetail!B29*RRetail!B$102+Bucarest!B29*Bucarest!B$102+Magdalena!B29*Magdalena!B$102+BFC!B29*BFC!B$102</f>
        <v>719364.5</v>
      </c>
      <c r="C29" s="3">
        <f>+Descubrimiento!C29*Descubrimiento!C$103+'Rentas SpA'!C29*'Rentas SpA'!C$102+'Pza Const'!C29*'Pza Const'!C$102+'Pza Arauc'!C29*'Pza Arauc'!C$102+RRetail!C29*RRetail!C$102+Bucarest!C29*Bucarest!C$102+Magdalena!C29*Magdalena!C$102+BFC!C29*BFC!C$102</f>
        <v>263582</v>
      </c>
      <c r="D29" s="3">
        <f>+Descubrimiento!D29*Descubrimiento!D$103+'Rentas SpA'!D29*'Rentas SpA'!D$102+'Pza Const'!D29*'Pza Const'!D$102+'Pza Arauc'!D29*'Pza Arauc'!D$102+RRetail!D29*RRetail!D$102+Bucarest!D29*Bucarest!D$102+Magdalena!D29*Magdalena!D$102+BFC!D29*BFC!D$102</f>
        <v>168972</v>
      </c>
      <c r="E29" s="3">
        <f>+Descubrimiento!E29*Descubrimiento!E$103+'Rentas SpA'!E29*'Rentas SpA'!E$102+'Pza Const'!E29*'Pza Const'!E$102+'Pza Arauc'!E29*'Pza Arauc'!E$102+RRetail!E29*RRetail!E$102+Bucarest!E29*Bucarest!E$102+Magdalena!E29*Magdalena!E$102+BFC!E29*BFC!E$102</f>
        <v>306038</v>
      </c>
      <c r="F29" s="3">
        <f>+Descubrimiento!F29*Descubrimiento!F$103+'Rentas SpA'!F29*'Rentas SpA'!F$102+'Pza Const'!F29*'Pza Const'!F$102+'Pza Arauc'!F29*'Pza Arauc'!F$102+RRetail!F29*RRetail!F$102+Bucarest!F29*Bucarest!F$102+Magdalena!F29*Magdalena!F$102+BFC!F29*BFC!F$102</f>
        <v>451278</v>
      </c>
      <c r="G29" s="3">
        <f>+Descubrimiento!G29*Descubrimiento!G$103+'Rentas SpA'!G29*'Rentas SpA'!G$102+'Pza Const'!G29*'Pza Const'!G$102+'Pza Arauc'!G29*'Pza Arauc'!G$102+RRetail!G29*RRetail!G$102+Bucarest!G29*Bucarest!G$102+Magdalena!G29*Magdalena!G$102+BFC!G29*BFC!G$102</f>
        <v>816011</v>
      </c>
      <c r="H29" s="3">
        <f>+Descubrimiento!H29*Descubrimiento!H$103+'Rentas SpA'!H29*'Rentas SpA'!H$102+'Pza Const'!H29*'Pza Const'!H$102+'Pza Arauc'!H29*'Pza Arauc'!H$102+RRetail!H29*RRetail!H$102+Bucarest!H29*Bucarest!H$102+Magdalena!H29*Magdalena!H$102+BFC!H29*BFC!H$102</f>
        <v>132839</v>
      </c>
      <c r="I29" s="3">
        <f>+Descubrimiento!I29*Descubrimiento!I$103+'Rentas SpA'!I29*'Rentas SpA'!I$102+'Pza Const'!I29*'Pza Const'!I$102+'Pza Arauc'!I29*'Pza Arauc'!I$102+RRetail!I29*RRetail!I$102+Bucarest!I29*Bucarest!I$102+Magdalena!I29*Magdalena!I$102+BFC!I29*BFC!I$102</f>
        <v>634219</v>
      </c>
      <c r="J29" s="3">
        <f>+Descubrimiento!J29*Descubrimiento!J$103+'Rentas SpA'!J29*'Rentas SpA'!J$102+'Pza Const'!J29*'Pza Const'!J$102+'Pza Arauc'!J29*'Pza Arauc'!J$102+RRetail!J29*RRetail!J$102+Bucarest!J29*Bucarest!J$102+Magdalena!J29*Magdalena!J$102+BFC!J29*BFC!J$102</f>
        <v>893781</v>
      </c>
      <c r="K29" s="3">
        <f>+Descubrimiento!K29*Descubrimiento!K$103+'Rentas SpA'!K29*'Rentas SpA'!K$102+'Pza Const'!K29*'Pza Const'!K$102+'Pza Arauc'!K29*'Pza Arauc'!K$102+RRetail!K29*RRetail!K$102+Bucarest!K29*Bucarest!K$102+Magdalena!K29*Magdalena!K$102+BFC!K29*BFC!K$102</f>
        <v>1331762</v>
      </c>
      <c r="L29" s="3">
        <f>+Descubrimiento!L29*Descubrimiento!L$103+'Rentas SpA'!L29*'Rentas SpA'!L$102+'Pza Const'!L29*'Pza Const'!L$102+'Pza Arauc'!L29*'Pza Arauc'!L$102+RRetail!L29*RRetail!L$102+Bucarest!L29*Bucarest!L$102+Magdalena!L29*Magdalena!L$102+BFC!L29*BFC!L$102</f>
        <v>557079</v>
      </c>
      <c r="M29" s="3">
        <f>+Descubrimiento!M29*Descubrimiento!M$103+'Rentas SpA'!M29*'Rentas SpA'!M$102+'Pza Const'!M29*'Pza Const'!M$102+'Pza Arauc'!M29*'Pza Arauc'!M$102+RRetail!M29*RRetail!M$102+Bucarest!M29*Bucarest!M$102+Magdalena!M29*Magdalena!M$102+BFC!M29*BFC!M$102</f>
        <v>500532</v>
      </c>
      <c r="N29" s="3">
        <f>+Descubrimiento!N29*Descubrimiento!N$103+'Rentas SpA'!N29*'Rentas SpA'!N$102+'Pza Const'!N29*'Pza Const'!N$102+'Pza Arauc'!N29*'Pza Arauc'!N$102+RRetail!N29*RRetail!N$102+Bucarest!N29*Bucarest!N$102+Magdalena!N29*Magdalena!N$102+BFC!N29*BFC!N$102</f>
        <v>1605458.4</v>
      </c>
      <c r="O29" s="3">
        <f>+Descubrimiento!O29*Descubrimiento!O$103+'Rentas SpA'!O29*'Rentas SpA'!O$102+'Pza Const'!O29*'Pza Const'!O$102+'Pza Arauc'!O29*'Pza Arauc'!O$102+RRetail!O29*RRetail!O$102+Bucarest!O29*Bucarest!O$102+Magdalena!O29*Magdalena!O$102+BFC!O29*BFC!O$102</f>
        <v>1868304.4</v>
      </c>
      <c r="P29" s="3">
        <f>+Descubrimiento!P29*Descubrimiento!P$103+'Rentas SpA'!P29*'Rentas SpA'!P$102+'Pza Const'!P29*'Pza Const'!P$102+'Pza Arauc'!P29*'Pza Arauc'!P$102+RRetail!P29*RRetail!P$102+Bucarest!P29*Bucarest!P$102+Magdalena!P29*Magdalena!P$102+BFC!P29*BFC!P$102</f>
        <v>130833</v>
      </c>
      <c r="Q29" s="3">
        <f>+Descubrimiento!Q29*Descubrimiento!Q$103+'Rentas SpA'!Q29*'Rentas SpA'!Q$102+'Pza Const'!Q29*'Pza Const'!Q$102+'Pza Arauc'!Q29*'Pza Arauc'!Q$102+RRetail!Q29*RRetail!Q$102+Bucarest!Q29*Bucarest!Q$102+Magdalena!Q29*Magdalena!Q$102+BFC!Q29*BFC!Q$102</f>
        <v>423083</v>
      </c>
      <c r="R29" s="3">
        <f>+Descubrimiento!R29*Descubrimiento!R$103+'Rentas SpA'!R29*'Rentas SpA'!R$102+'Pza Const'!R29*'Pza Const'!R$102+'Pza Arauc'!R29*'Pza Arauc'!R$102+RRetail!R29*RRetail!R$102+Bucarest!R29*Bucarest!R$102+Magdalena!R29*Magdalena!R$102+BFC!R29*BFC!R$102</f>
        <v>382191</v>
      </c>
      <c r="S29" s="3">
        <f>+Descubrimiento!S29*Descubrimiento!S$103+'Rentas SpA'!S29*'Rentas SpA'!S$102+'Pza Const'!S29*'Pza Const'!S$102+'Pza Arauc'!S29*'Pza Arauc'!S$102+RRetail!S29*RRetail!S$102+Bucarest!S29*Bucarest!S$102+Magdalena!S29*Magdalena!S$102+BFC!S29*BFC!S$102</f>
        <v>1386030</v>
      </c>
      <c r="T29" s="3">
        <f>+Descubrimiento!T29*Descubrimiento!T$103+'Rentas SpA'!T29*'Rentas SpA'!T$102+'Pza Const'!T29*'Pza Const'!T$102+'Pza Arauc'!T29*'Pza Arauc'!T$102+RRetail!T29*RRetail!T$102+Bucarest!T29*Bucarest!T$102+Magdalena!T29*Magdalena!T$102+BFC!T29*BFC!T$102</f>
        <v>154361</v>
      </c>
      <c r="U29" s="3">
        <f>+Descubrimiento!U29*Descubrimiento!U$103+'Rentas SpA'!U29*'Rentas SpA'!U$102+'Pza Const'!U29*'Pza Const'!U$102+'Pza Arauc'!U29*'Pza Arauc'!U$102+RRetail!U29*RRetail!U$102+Bucarest!U29*Bucarest!U$102+Magdalena!U29*Magdalena!U$102+BFC!U29*BFC!U$102</f>
        <v>153613</v>
      </c>
      <c r="V29" s="3">
        <f>+Descubrimiento!V29*Descubrimiento!V$103+'Rentas SpA'!V29*'Rentas SpA'!V$102+'Pza Const'!V29*'Pza Const'!V$102+'Pza Arauc'!V29*'Pza Arauc'!V$102+RRetail!V29*RRetail!V$102+Bucarest!V29*Bucarest!V$102+Magdalena!V29*Magdalena!V$102+BFC!V29*BFC!V$102</f>
        <v>173272</v>
      </c>
      <c r="W29" s="3">
        <f>+Descubrimiento!W29*Descubrimiento!W$103+'Rentas SpA'!W29*'Rentas SpA'!W$102+'Pza Const'!W29*'Pza Const'!W$102+'Pza Arauc'!W29*'Pza Arauc'!W$102+RRetail!W29*RRetail!W$102+Bucarest!W29*Bucarest!W$102+Magdalena!W29*Magdalena!W$102+BFC!W29*BFC!W$102</f>
        <v>1842466</v>
      </c>
      <c r="X29" s="3">
        <f>+Descubrimiento!X29*Descubrimiento!X$103+'Rentas SpA'!X29*'Rentas SpA'!X$102+'Pza Const'!X29*'Pza Const'!X$102+'Pza Arauc'!X29*'Pza Arauc'!X$102+RRetail!X29*RRetail!X$102+Bucarest!X29*Bucarest!X$102+Magdalena!X29*Magdalena!X$102+BFC!X29*BFC!X$102</f>
        <v>300930</v>
      </c>
      <c r="Y29" s="3">
        <f>+Descubrimiento!Y29*Descubrimiento!Y$103+'Rentas SpA'!Y29*'Rentas SpA'!Y$102+'Pza Const'!Y29*'Pza Const'!Y$102+'Pza Arauc'!Y29*'Pza Arauc'!Y$102+RRetail!Y29*RRetail!Y$102+Bucarest!Y29*Bucarest!Y$102+Magdalena!Y29*Magdalena!Y$102+BFC!Y29*BFC!Y$102</f>
        <v>178826</v>
      </c>
      <c r="Z29" s="3">
        <f>+Descubrimiento!Z29*Descubrimiento!Z$103+'Rentas SpA'!Z29*'Rentas SpA'!Z$102+'Pza Const'!Z29*'Pza Const'!Z$102+'Pza Arauc'!Z29*'Pza Arauc'!Z$102+RRetail!Z29*RRetail!Z$102+Bucarest!Z29*Bucarest!Z$102+Magdalena!Z29*Magdalena!Z$102+BFC!Z29*BFC!Z$102</f>
        <v>233019</v>
      </c>
      <c r="AA29" s="3">
        <f>+Descubrimiento!AA29*Descubrimiento!AA$103+'Rentas SpA'!AA29*'Rentas SpA'!AA$102+'Pza Const'!AA29*'Pza Const'!AA$102+'Pza Arauc'!AA29*'Pza Arauc'!AA$102+RRetail!AA29*RRetail!AA$102+Bucarest!AA29*Bucarest!AA$102+Magdalena!AA29*Magdalena!AA$102+BFC!AA29*BFC!AA$102</f>
        <v>1492418.4</v>
      </c>
      <c r="AB29" s="3">
        <f>+Descubrimiento!AB29*Descubrimiento!AB$103+'Rentas SpA'!AB29*'Rentas SpA'!AB$102+'Pza Const'!AB29*'Pza Const'!AB$102+'Pza Arauc'!AB29*'Pza Arauc'!AB$102+RRetail!AB29*RRetail!AB$102+Bucarest!AB29*Bucarest!AB$102+Magdalena!AB29*Magdalena!AB$102+BFC!AB29*BFC!AB$102</f>
        <v>840598.4</v>
      </c>
      <c r="AC29" s="3">
        <f>+Descubrimiento!AC29*Descubrimiento!AC$103+'Rentas SpA'!AC29*'Rentas SpA'!AC$102+'Pza Const'!AC29*'Pza Const'!AC$102+'Pza Arauc'!AC29*'Pza Arauc'!AC$102+RRetail!AC29*RRetail!AC$102+Bucarest!AC29*Bucarest!AC$102+Magdalena!AC29*Magdalena!AC$102+BFC!AC29*BFC!AC$102</f>
        <v>587418.4</v>
      </c>
      <c r="AD29" s="3">
        <f>+Descubrimiento!AD29*Descubrimiento!AD$103+'Rentas SpA'!AD29*'Rentas SpA'!AD$102+'Pza Const'!AD29*'Pza Const'!AD$102+'Pza Arauc'!AD29*'Pza Arauc'!AD$102+RRetail!AD29*RRetail!AD$102+Bucarest!AD29*Bucarest!AD$102+Magdalena!AD29*Magdalena!AD$102+BFC!AD29*BFC!AD$102</f>
        <v>3894605.0999999996</v>
      </c>
      <c r="AE29" s="3">
        <f>+Descubrimiento!AE29*Descubrimiento!AE$103+'Rentas SpA'!AE29*'Rentas SpA'!AE$102+'Pza Const'!AE29*'Pza Const'!AE$102+'Pza Arauc'!AE29*'Pza Arauc'!AE$102+RRetail!AE29*RRetail!AE$102+Bucarest!AE29*Bucarest!AE$102+Magdalena!AE29*Magdalena!AE$102+BFC!AE29*BFC!AE$102</f>
        <v>1925909.9</v>
      </c>
      <c r="AF29" s="3">
        <f>+Descubrimiento!AF29*Descubrimiento!AF$103+'Rentas SpA'!AF29*'Rentas SpA'!AF$102+'Pza Const'!AF29*'Pza Const'!AF$102+'Pza Arauc'!AF29*'Pza Arauc'!AF$102+RRetail!AF29*RRetail!AF$102+Bucarest!AF29*Bucarest!AF$102+Magdalena!AF29*Magdalena!AF$102+BFC!AF29*BFC!AF$102</f>
        <v>5530631.5999999996</v>
      </c>
      <c r="AG29" s="3">
        <f>+Descubrimiento!AG29*Descubrimiento!AG$103+'Rentas SpA'!AG29*'Rentas SpA'!AG$102+'Pza Const'!AG29*'Pza Const'!AG$102+'Pza Arauc'!AG29*'Pza Arauc'!AG$102+RRetail!AG29*RRetail!AG$102+Bucarest!AG29*Bucarest!AG$102+Magdalena!AG29*Magdalena!AG$102+BFC!AG29*BFC!AG$102</f>
        <v>2973168.6999999997</v>
      </c>
      <c r="AH29" s="3">
        <f>+Descubrimiento!AH29*Descubrimiento!AH$103+'Rentas SpA'!AH29*'Rentas SpA'!AH$102+'Pza Const'!AH29*'Pza Const'!AH$102+'Pza Arauc'!AH29*'Pza Arauc'!AH$102+RRetail!AH29*RRetail!AH$102+Bucarest!AH29*Bucarest!AH$102+Magdalena!AH29*Magdalena!AH$102+BFC!AH29*BFC!AH$102</f>
        <v>3419117.4</v>
      </c>
      <c r="AI29" s="3">
        <f>+Descubrimiento!AI29*Descubrimiento!AI$103+'Rentas SpA'!AI29*'Rentas SpA'!AI$102+'Pza Const'!AI29*'Pza Const'!AI$102+'Pza Arauc'!AI29*'Pza Arauc'!AI$102+RRetail!AI29*RRetail!AI$102+Bucarest!AI29*Bucarest!AI$102+Magdalena!AI29*Magdalena!AI$102+BFC!AI29*BFC!AI$102</f>
        <v>4186094.8</v>
      </c>
    </row>
    <row r="30" spans="1:35" x14ac:dyDescent="0.3">
      <c r="A30" s="1" t="s">
        <v>120</v>
      </c>
      <c r="B30" s="3">
        <f>+Descubrimiento!B30*Descubrimiento!B$103+'Rentas SpA'!B30*'Rentas SpA'!B$102+'Pza Const'!B30*'Pza Const'!B$102+'Pza Arauc'!B30*'Pza Arauc'!B$102+RRetail!B30*RRetail!B$102+Bucarest!B30*Bucarest!B$102+Magdalena!B30*Magdalena!B$102+BFC!B30*BFC!B$102</f>
        <v>286235</v>
      </c>
      <c r="C30" s="3">
        <f>+Descubrimiento!C30*Descubrimiento!C$103+'Rentas SpA'!C30*'Rentas SpA'!C$102+'Pza Const'!C30*'Pza Const'!C$102+'Pza Arauc'!C30*'Pza Arauc'!C$102+RRetail!C30*RRetail!C$102+Bucarest!C30*Bucarest!C$102+Magdalena!C30*Magdalena!C$102+BFC!C30*BFC!C$102</f>
        <v>590649</v>
      </c>
      <c r="D30" s="3">
        <f>+Descubrimiento!D30*Descubrimiento!D$103+'Rentas SpA'!D30*'Rentas SpA'!D$102+'Pza Const'!D30*'Pza Const'!D$102+'Pza Arauc'!D30*'Pza Arauc'!D$102+RRetail!D30*RRetail!D$102+Bucarest!D30*Bucarest!D$102+Magdalena!D30*Magdalena!D$102+BFC!D30*BFC!D$102</f>
        <v>939636</v>
      </c>
      <c r="E30" s="3">
        <f>+Descubrimiento!E30*Descubrimiento!E$103+'Rentas SpA'!E30*'Rentas SpA'!E$102+'Pza Const'!E30*'Pza Const'!E$102+'Pza Arauc'!E30*'Pza Arauc'!E$102+RRetail!E30*RRetail!E$102+Bucarest!E30*Bucarest!E$102+Magdalena!E30*Magdalena!E$102+BFC!E30*BFC!E$102</f>
        <v>1096792</v>
      </c>
      <c r="F30" s="3">
        <f>+Descubrimiento!F30*Descubrimiento!F$103+'Rentas SpA'!F30*'Rentas SpA'!F$102+'Pza Const'!F30*'Pza Const'!F$102+'Pza Arauc'!F30*'Pza Arauc'!F$102+RRetail!F30*RRetail!F$102+Bucarest!F30*Bucarest!F$102+Magdalena!F30*Magdalena!F$102+BFC!F30*BFC!F$102</f>
        <v>819028</v>
      </c>
      <c r="G30" s="3">
        <f>+Descubrimiento!G30*Descubrimiento!G$103+'Rentas SpA'!G30*'Rentas SpA'!G$102+'Pza Const'!G30*'Pza Const'!G$102+'Pza Arauc'!G30*'Pza Arauc'!G$102+RRetail!G30*RRetail!G$102+Bucarest!G30*Bucarest!G$102+Magdalena!G30*Magdalena!G$102+BFC!G30*BFC!G$102</f>
        <v>641011</v>
      </c>
      <c r="H30" s="3">
        <f>+Descubrimiento!H30*Descubrimiento!H$103+'Rentas SpA'!H30*'Rentas SpA'!H$102+'Pza Const'!H30*'Pza Const'!H$102+'Pza Arauc'!H30*'Pza Arauc'!H$102+RRetail!H30*RRetail!H$102+Bucarest!H30*Bucarest!H$102+Magdalena!H30*Magdalena!H$102+BFC!H30*BFC!H$102</f>
        <v>836448</v>
      </c>
      <c r="I30" s="3">
        <f>+Descubrimiento!I30*Descubrimiento!I$103+'Rentas SpA'!I30*'Rentas SpA'!I$102+'Pza Const'!I30*'Pza Const'!I$102+'Pza Arauc'!I30*'Pza Arauc'!I$102+RRetail!I30*RRetail!I$102+Bucarest!I30*Bucarest!I$102+Magdalena!I30*Magdalena!I$102+BFC!I30*BFC!I$102</f>
        <v>622430</v>
      </c>
      <c r="J30" s="3">
        <f>+Descubrimiento!J30*Descubrimiento!J$103+'Rentas SpA'!J30*'Rentas SpA'!J$102+'Pza Const'!J30*'Pza Const'!J$102+'Pza Arauc'!J30*'Pza Arauc'!J$102+RRetail!J30*RRetail!J$102+Bucarest!J30*Bucarest!J$102+Magdalena!J30*Magdalena!J$102+BFC!J30*BFC!J$102</f>
        <v>855745</v>
      </c>
      <c r="K30" s="3">
        <f>+Descubrimiento!K30*Descubrimiento!K$103+'Rentas SpA'!K30*'Rentas SpA'!K$102+'Pza Const'!K30*'Pza Const'!K$102+'Pza Arauc'!K30*'Pza Arauc'!K$102+RRetail!K30*RRetail!K$102+Bucarest!K30*Bucarest!K$102+Magdalena!K30*Magdalena!K$102+BFC!K30*BFC!K$102</f>
        <v>669981</v>
      </c>
      <c r="L30" s="3">
        <f>+Descubrimiento!L30*Descubrimiento!L$103+'Rentas SpA'!L30*'Rentas SpA'!L$102+'Pza Const'!L30*'Pza Const'!L$102+'Pza Arauc'!L30*'Pza Arauc'!L$102+RRetail!L30*RRetail!L$102+Bucarest!L30*Bucarest!L$102+Magdalena!L30*Magdalena!L$102+BFC!L30*BFC!L$102</f>
        <v>857594</v>
      </c>
      <c r="M30" s="3">
        <f>+Descubrimiento!M30*Descubrimiento!M$103+'Rentas SpA'!M30*'Rentas SpA'!M$102+'Pza Const'!M30*'Pza Const'!M$102+'Pza Arauc'!M30*'Pza Arauc'!M$102+RRetail!M30*RRetail!M$102+Bucarest!M30*Bucarest!M$102+Magdalena!M30*Magdalena!M$102+BFC!M30*BFC!M$102</f>
        <v>659141</v>
      </c>
      <c r="N30" s="3">
        <f>+Descubrimiento!N30*Descubrimiento!N$103+'Rentas SpA'!N30*'Rentas SpA'!N$102+'Pza Const'!N30*'Pza Const'!N$102+'Pza Arauc'!N30*'Pza Arauc'!N$102+RRetail!N30*RRetail!N$102+Bucarest!N30*Bucarest!N$102+Magdalena!N30*Magdalena!N$102+BFC!N30*BFC!N$102</f>
        <v>1282047</v>
      </c>
      <c r="O30" s="3">
        <f>+Descubrimiento!O30*Descubrimiento!O$103+'Rentas SpA'!O30*'Rentas SpA'!O$102+'Pza Const'!O30*'Pza Const'!O$102+'Pza Arauc'!O30*'Pza Arauc'!O$102+RRetail!O30*RRetail!O$102+Bucarest!O30*Bucarest!O$102+Magdalena!O30*Magdalena!O$102+BFC!O30*BFC!O$102</f>
        <v>860943</v>
      </c>
      <c r="P30" s="3">
        <f>+Descubrimiento!P30*Descubrimiento!P$103+'Rentas SpA'!P30*'Rentas SpA'!P$102+'Pza Const'!P30*'Pza Const'!P$102+'Pza Arauc'!P30*'Pza Arauc'!P$102+RRetail!P30*RRetail!P$102+Bucarest!P30*Bucarest!P$102+Magdalena!P30*Magdalena!P$102+BFC!P30*BFC!P$102</f>
        <v>654097</v>
      </c>
      <c r="Q30" s="3">
        <f>+Descubrimiento!Q30*Descubrimiento!Q$103+'Rentas SpA'!Q30*'Rentas SpA'!Q$102+'Pza Const'!Q30*'Pza Const'!Q$102+'Pza Arauc'!Q30*'Pza Arauc'!Q$102+RRetail!Q30*RRetail!Q$102+Bucarest!Q30*Bucarest!Q$102+Magdalena!Q30*Magdalena!Q$102+BFC!Q30*BFC!Q$102</f>
        <v>692083</v>
      </c>
      <c r="R30" s="3">
        <f>+Descubrimiento!R30*Descubrimiento!R$103+'Rentas SpA'!R30*'Rentas SpA'!R$102+'Pza Const'!R30*'Pza Const'!R$102+'Pza Arauc'!R30*'Pza Arauc'!R$102+RRetail!R30*RRetail!R$102+Bucarest!R30*Bucarest!R$102+Magdalena!R30*Magdalena!R$102+BFC!R30*BFC!R$102</f>
        <v>1114755</v>
      </c>
      <c r="S30" s="3">
        <f>+Descubrimiento!S30*Descubrimiento!S$103+'Rentas SpA'!S30*'Rentas SpA'!S$102+'Pza Const'!S30*'Pza Const'!S$102+'Pza Arauc'!S30*'Pza Arauc'!S$102+RRetail!S30*RRetail!S$102+Bucarest!S30*Bucarest!S$102+Magdalena!S30*Magdalena!S$102+BFC!S30*BFC!S$102</f>
        <v>693538</v>
      </c>
      <c r="T30" s="3">
        <f>+Descubrimiento!T30*Descubrimiento!T$103+'Rentas SpA'!T30*'Rentas SpA'!T$102+'Pza Const'!T30*'Pza Const'!T$102+'Pza Arauc'!T30*'Pza Arauc'!T$102+RRetail!T30*RRetail!T$102+Bucarest!T30*Bucarest!T$102+Magdalena!T30*Magdalena!T$102+BFC!T30*BFC!T$102</f>
        <v>608691</v>
      </c>
      <c r="U30" s="3">
        <f>+Descubrimiento!U30*Descubrimiento!U$103+'Rentas SpA'!U30*'Rentas SpA'!U$102+'Pza Const'!U30*'Pza Const'!U$102+'Pza Arauc'!U30*'Pza Arauc'!U$102+RRetail!U30*RRetail!U$102+Bucarest!U30*Bucarest!U$102+Magdalena!U30*Magdalena!U$102+BFC!U30*BFC!U$102</f>
        <v>671858</v>
      </c>
      <c r="V30" s="3">
        <f>+Descubrimiento!V30*Descubrimiento!V$103+'Rentas SpA'!V30*'Rentas SpA'!V$102+'Pza Const'!V30*'Pza Const'!V$102+'Pza Arauc'!V30*'Pza Arauc'!V$102+RRetail!V30*RRetail!V$102+Bucarest!V30*Bucarest!V$102+Magdalena!V30*Magdalena!V$102+BFC!V30*BFC!V$102</f>
        <v>1073540.6000000001</v>
      </c>
      <c r="W30" s="3">
        <f>+Descubrimiento!W30*Descubrimiento!W$103+'Rentas SpA'!W30*'Rentas SpA'!W$102+'Pza Const'!W30*'Pza Const'!W$102+'Pza Arauc'!W30*'Pza Arauc'!W$102+RRetail!W30*RRetail!W$102+Bucarest!W30*Bucarest!W$102+Magdalena!W30*Magdalena!W$102+BFC!W30*BFC!W$102</f>
        <v>2930242.3</v>
      </c>
      <c r="X30" s="3">
        <f>+Descubrimiento!X30*Descubrimiento!X$103+'Rentas SpA'!X30*'Rentas SpA'!X$102+'Pza Const'!X30*'Pza Const'!X$102+'Pza Arauc'!X30*'Pza Arauc'!X$102+RRetail!X30*RRetail!X$102+Bucarest!X30*Bucarest!X$102+Magdalena!X30*Magdalena!X$102+BFC!X30*BFC!X$102</f>
        <v>2347638.6</v>
      </c>
      <c r="Y30" s="3">
        <f>+Descubrimiento!Y30*Descubrimiento!Y$103+'Rentas SpA'!Y30*'Rentas SpA'!Y$102+'Pza Const'!Y30*'Pza Const'!Y$102+'Pza Arauc'!Y30*'Pza Arauc'!Y$102+RRetail!Y30*RRetail!Y$102+Bucarest!Y30*Bucarest!Y$102+Magdalena!Y30*Magdalena!Y$102+BFC!Y30*BFC!Y$102</f>
        <v>1865756.7</v>
      </c>
      <c r="Z30" s="3">
        <f>+Descubrimiento!Z30*Descubrimiento!Z$103+'Rentas SpA'!Z30*'Rentas SpA'!Z$102+'Pza Const'!Z30*'Pza Const'!Z$102+'Pza Arauc'!Z30*'Pza Arauc'!Z$102+RRetail!Z30*RRetail!Z$102+Bucarest!Z30*Bucarest!Z$102+Magdalena!Z30*Magdalena!Z$102+BFC!Z30*BFC!Z$102</f>
        <v>2174496.4</v>
      </c>
      <c r="AA30" s="3">
        <f>+Descubrimiento!AA30*Descubrimiento!AA$103+'Rentas SpA'!AA30*'Rentas SpA'!AA$102+'Pza Const'!AA30*'Pza Const'!AA$102+'Pza Arauc'!AA30*'Pza Arauc'!AA$102+RRetail!AA30*RRetail!AA$102+Bucarest!AA30*Bucarest!AA$102+Magdalena!AA30*Magdalena!AA$102+BFC!AA30*BFC!AA$102</f>
        <v>1646419.4</v>
      </c>
      <c r="AB30" s="3">
        <f>+Descubrimiento!AB30*Descubrimiento!AB$103+'Rentas SpA'!AB30*'Rentas SpA'!AB$102+'Pza Const'!AB30*'Pza Const'!AB$102+'Pza Arauc'!AB30*'Pza Arauc'!AB$102+RRetail!AB30*RRetail!AB$102+Bucarest!AB30*Bucarest!AB$102+Magdalena!AB30*Magdalena!AB$102+BFC!AB30*BFC!AB$102</f>
        <v>1461025.4</v>
      </c>
      <c r="AC30" s="3">
        <f>+Descubrimiento!AC30*Descubrimiento!AC$103+'Rentas SpA'!AC30*'Rentas SpA'!AC$102+'Pza Const'!AC30*'Pza Const'!AC$102+'Pza Arauc'!AC30*'Pza Arauc'!AC$102+RRetail!AC30*RRetail!AC$102+Bucarest!AC30*Bucarest!AC$102+Magdalena!AC30*Magdalena!AC$102+BFC!AC30*BFC!AC$102</f>
        <v>1680356.6</v>
      </c>
      <c r="AD30" s="3">
        <f>+Descubrimiento!AD30*Descubrimiento!AD$103+'Rentas SpA'!AD30*'Rentas SpA'!AD$102+'Pza Const'!AD30*'Pza Const'!AD$102+'Pza Arauc'!AD30*'Pza Arauc'!AD$102+RRetail!AD30*RRetail!AD$102+Bucarest!AD30*Bucarest!AD$102+Magdalena!AD30*Magdalena!AD$102+BFC!AD30*BFC!AD$102</f>
        <v>1124405</v>
      </c>
      <c r="AE30" s="3">
        <f>+Descubrimiento!AE30*Descubrimiento!AE$103+'Rentas SpA'!AE30*'Rentas SpA'!AE$102+'Pza Const'!AE30*'Pza Const'!AE$102+'Pza Arauc'!AE30*'Pza Arauc'!AE$102+RRetail!AE30*RRetail!AE$102+Bucarest!AE30*Bucarest!AE$102+Magdalena!AE30*Magdalena!AE$102+BFC!AE30*BFC!AE$102</f>
        <v>973868</v>
      </c>
      <c r="AF30" s="3">
        <f>+Descubrimiento!AF30*Descubrimiento!AF$103+'Rentas SpA'!AF30*'Rentas SpA'!AF$102+'Pza Const'!AF30*'Pza Const'!AF$102+'Pza Arauc'!AF30*'Pza Arauc'!AF$102+RRetail!AF30*RRetail!AF$102+Bucarest!AF30*Bucarest!AF$102+Magdalena!AF30*Magdalena!AF$102+BFC!AF30*BFC!AF$102</f>
        <v>1012697.4</v>
      </c>
      <c r="AG30" s="3">
        <f>+Descubrimiento!AG30*Descubrimiento!AG$103+'Rentas SpA'!AG30*'Rentas SpA'!AG$102+'Pza Const'!AG30*'Pza Const'!AG$102+'Pza Arauc'!AG30*'Pza Arauc'!AG$102+RRetail!AG30*RRetail!AG$102+Bucarest!AG30*Bucarest!AG$102+Magdalena!AG30*Magdalena!AG$102+BFC!AG30*BFC!AG$102</f>
        <v>1420793.2999999998</v>
      </c>
      <c r="AH30" s="3">
        <f>+Descubrimiento!AH30*Descubrimiento!AH$103+'Rentas SpA'!AH30*'Rentas SpA'!AH$102+'Pza Const'!AH30*'Pza Const'!AH$102+'Pza Arauc'!AH30*'Pza Arauc'!AH$102+RRetail!AH30*RRetail!AH$102+Bucarest!AH30*Bucarest!AH$102+Magdalena!AH30*Magdalena!AH$102+BFC!AH30*BFC!AH$102</f>
        <v>1406422.2</v>
      </c>
      <c r="AI30" s="3">
        <f>+Descubrimiento!AI30*Descubrimiento!AI$103+'Rentas SpA'!AI30*'Rentas SpA'!AI$102+'Pza Const'!AI30*'Pza Const'!AI$102+'Pza Arauc'!AI30*'Pza Arauc'!AI$102+RRetail!AI30*RRetail!AI$102+Bucarest!AI30*Bucarest!AI$102+Magdalena!AI30*Magdalena!AI$102+BFC!AI30*BFC!AI$102</f>
        <v>1416301.8</v>
      </c>
    </row>
    <row r="31" spans="1:35" x14ac:dyDescent="0.3">
      <c r="A31" s="1" t="s">
        <v>121</v>
      </c>
      <c r="B31" s="3">
        <f>+Descubrimiento!B31*Descubrimiento!B$103+'Rentas SpA'!B31*'Rentas SpA'!B$102+'Pza Const'!B31*'Pza Const'!B$102+'Pza Arauc'!B31*'Pza Arauc'!B$102+RRetail!B31*RRetail!B$102+Bucarest!B31*Bucarest!B$102+Magdalena!B31*Magdalena!B$102+BFC!B31*BFC!B$102</f>
        <v>0</v>
      </c>
      <c r="C31" s="3">
        <f>+Descubrimiento!C31*Descubrimiento!C$103+'Rentas SpA'!C31*'Rentas SpA'!C$102+'Pza Const'!C31*'Pza Const'!C$102+'Pza Arauc'!C31*'Pza Arauc'!C$102+RRetail!C31*RRetail!C$102+Bucarest!C31*Bucarest!C$102+Magdalena!C31*Magdalena!C$102+BFC!C31*BFC!C$102</f>
        <v>0</v>
      </c>
      <c r="D31" s="3">
        <f>+Descubrimiento!D31*Descubrimiento!D$103+'Rentas SpA'!D31*'Rentas SpA'!D$102+'Pza Const'!D31*'Pza Const'!D$102+'Pza Arauc'!D31*'Pza Arauc'!D$102+RRetail!D31*RRetail!D$102+Bucarest!D31*Bucarest!D$102+Magdalena!D31*Magdalena!D$102+BFC!D31*BFC!D$102</f>
        <v>2396129</v>
      </c>
      <c r="E31" s="3">
        <f>+Descubrimiento!E31*Descubrimiento!E$103+'Rentas SpA'!E31*'Rentas SpA'!E$102+'Pza Const'!E31*'Pza Const'!E$102+'Pza Arauc'!E31*'Pza Arauc'!E$102+RRetail!E31*RRetail!E$102+Bucarest!E31*Bucarest!E$102+Magdalena!E31*Magdalena!E$102+BFC!E31*BFC!E$102</f>
        <v>0</v>
      </c>
      <c r="F31" s="3">
        <f>+Descubrimiento!F31*Descubrimiento!F$103+'Rentas SpA'!F31*'Rentas SpA'!F$102+'Pza Const'!F31*'Pza Const'!F$102+'Pza Arauc'!F31*'Pza Arauc'!F$102+RRetail!F31*RRetail!F$102+Bucarest!F31*Bucarest!F$102+Magdalena!F31*Magdalena!F$102+BFC!F31*BFC!F$102</f>
        <v>0</v>
      </c>
      <c r="G31" s="3">
        <f>+Descubrimiento!G31*Descubrimiento!G$103+'Rentas SpA'!G31*'Rentas SpA'!G$102+'Pza Const'!G31*'Pza Const'!G$102+'Pza Arauc'!G31*'Pza Arauc'!G$102+RRetail!G31*RRetail!G$102+Bucarest!G31*Bucarest!G$102+Magdalena!G31*Magdalena!G$102+BFC!G31*BFC!G$102</f>
        <v>0</v>
      </c>
      <c r="H31" s="3">
        <f>+Descubrimiento!H31*Descubrimiento!H$103+'Rentas SpA'!H31*'Rentas SpA'!H$102+'Pza Const'!H31*'Pza Const'!H$102+'Pza Arauc'!H31*'Pza Arauc'!H$102+RRetail!H31*RRetail!H$102+Bucarest!H31*Bucarest!H$102+Magdalena!H31*Magdalena!H$102+BFC!H31*BFC!H$102</f>
        <v>0</v>
      </c>
      <c r="I31" s="3">
        <f>+Descubrimiento!I31*Descubrimiento!I$103+'Rentas SpA'!I31*'Rentas SpA'!I$102+'Pza Const'!I31*'Pza Const'!I$102+'Pza Arauc'!I31*'Pza Arauc'!I$102+RRetail!I31*RRetail!I$102+Bucarest!I31*Bucarest!I$102+Magdalena!I31*Magdalena!I$102+BFC!I31*BFC!I$102</f>
        <v>0</v>
      </c>
      <c r="J31" s="3">
        <f>+Descubrimiento!J31*Descubrimiento!J$103+'Rentas SpA'!J31*'Rentas SpA'!J$102+'Pza Const'!J31*'Pza Const'!J$102+'Pza Arauc'!J31*'Pza Arauc'!J$102+RRetail!J31*RRetail!J$102+Bucarest!J31*Bucarest!J$102+Magdalena!J31*Magdalena!J$102+BFC!J31*BFC!J$102</f>
        <v>0</v>
      </c>
      <c r="K31" s="3">
        <f>+Descubrimiento!K31*Descubrimiento!K$103+'Rentas SpA'!K31*'Rentas SpA'!K$102+'Pza Const'!K31*'Pza Const'!K$102+'Pza Arauc'!K31*'Pza Arauc'!K$102+RRetail!K31*RRetail!K$102+Bucarest!K31*Bucarest!K$102+Magdalena!K31*Magdalena!K$102+BFC!K31*BFC!K$102</f>
        <v>0</v>
      </c>
      <c r="L31" s="3">
        <f>+Descubrimiento!L31*Descubrimiento!L$103+'Rentas SpA'!L31*'Rentas SpA'!L$102+'Pza Const'!L31*'Pza Const'!L$102+'Pza Arauc'!L31*'Pza Arauc'!L$102+RRetail!L31*RRetail!L$102+Bucarest!L31*Bucarest!L$102+Magdalena!L31*Magdalena!L$102+BFC!L31*BFC!L$102</f>
        <v>0</v>
      </c>
      <c r="M31" s="3">
        <f>+Descubrimiento!M31*Descubrimiento!M$103+'Rentas SpA'!M31*'Rentas SpA'!M$102+'Pza Const'!M31*'Pza Const'!M$102+'Pza Arauc'!M31*'Pza Arauc'!M$102+RRetail!M31*RRetail!M$102+Bucarest!M31*Bucarest!M$102+Magdalena!M31*Magdalena!M$102+BFC!M31*BFC!M$102</f>
        <v>0</v>
      </c>
      <c r="N31" s="3">
        <f>+Descubrimiento!N31*Descubrimiento!N$103+'Rentas SpA'!N31*'Rentas SpA'!N$102+'Pza Const'!N31*'Pza Const'!N$102+'Pza Arauc'!N31*'Pza Arauc'!N$102+RRetail!N31*RRetail!N$102+Bucarest!N31*Bucarest!N$102+Magdalena!N31*Magdalena!N$102+BFC!N31*BFC!N$102</f>
        <v>0</v>
      </c>
      <c r="O31" s="3">
        <f>+Descubrimiento!O31*Descubrimiento!O$103+'Rentas SpA'!O31*'Rentas SpA'!O$102+'Pza Const'!O31*'Pza Const'!O$102+'Pza Arauc'!O31*'Pza Arauc'!O$102+RRetail!O31*RRetail!O$102+Bucarest!O31*Bucarest!O$102+Magdalena!O31*Magdalena!O$102+BFC!O31*BFC!O$102</f>
        <v>0</v>
      </c>
      <c r="P31" s="3">
        <f>+Descubrimiento!P31*Descubrimiento!P$103+'Rentas SpA'!P31*'Rentas SpA'!P$102+'Pza Const'!P31*'Pza Const'!P$102+'Pza Arauc'!P31*'Pza Arauc'!P$102+RRetail!P31*RRetail!P$102+Bucarest!P31*Bucarest!P$102+Magdalena!P31*Magdalena!P$102+BFC!P31*BFC!P$102</f>
        <v>0</v>
      </c>
      <c r="Q31" s="3">
        <f>+Descubrimiento!Q31*Descubrimiento!Q$103+'Rentas SpA'!Q31*'Rentas SpA'!Q$102+'Pza Const'!Q31*'Pza Const'!Q$102+'Pza Arauc'!Q31*'Pza Arauc'!Q$102+RRetail!Q31*RRetail!Q$102+Bucarest!Q31*Bucarest!Q$102+Magdalena!Q31*Magdalena!Q$102+BFC!Q31*BFC!Q$102</f>
        <v>0</v>
      </c>
      <c r="R31" s="3">
        <f>+Descubrimiento!R31*Descubrimiento!R$103+'Rentas SpA'!R31*'Rentas SpA'!R$102+'Pza Const'!R31*'Pza Const'!R$102+'Pza Arauc'!R31*'Pza Arauc'!R$102+RRetail!R31*RRetail!R$102+Bucarest!R31*Bucarest!R$102+Magdalena!R31*Magdalena!R$102+BFC!R31*BFC!R$102</f>
        <v>0</v>
      </c>
      <c r="S31" s="3">
        <f>+Descubrimiento!S31*Descubrimiento!S$103+'Rentas SpA'!S31*'Rentas SpA'!S$102+'Pza Const'!S31*'Pza Const'!S$102+'Pza Arauc'!S31*'Pza Arauc'!S$102+RRetail!S31*RRetail!S$102+Bucarest!S31*Bucarest!S$102+Magdalena!S31*Magdalena!S$102+BFC!S31*BFC!S$102</f>
        <v>0</v>
      </c>
      <c r="T31" s="3">
        <f>+Descubrimiento!T31*Descubrimiento!T$103+'Rentas SpA'!T31*'Rentas SpA'!T$102+'Pza Const'!T31*'Pza Const'!T$102+'Pza Arauc'!T31*'Pza Arauc'!T$102+RRetail!T31*RRetail!T$102+Bucarest!T31*Bucarest!T$102+Magdalena!T31*Magdalena!T$102+BFC!T31*BFC!T$102</f>
        <v>0</v>
      </c>
      <c r="U31" s="3">
        <f>+Descubrimiento!U31*Descubrimiento!U$103+'Rentas SpA'!U31*'Rentas SpA'!U$102+'Pza Const'!U31*'Pza Const'!U$102+'Pza Arauc'!U31*'Pza Arauc'!U$102+RRetail!U31*RRetail!U$102+Bucarest!U31*Bucarest!U$102+Magdalena!U31*Magdalena!U$102+BFC!U31*BFC!U$102</f>
        <v>0</v>
      </c>
      <c r="V31" s="3">
        <f>+Descubrimiento!V31*Descubrimiento!V$103+'Rentas SpA'!V31*'Rentas SpA'!V$102+'Pza Const'!V31*'Pza Const'!V$102+'Pza Arauc'!V31*'Pza Arauc'!V$102+RRetail!V31*RRetail!V$102+Bucarest!V31*Bucarest!V$102+Magdalena!V31*Magdalena!V$102+BFC!V31*BFC!V$102</f>
        <v>0</v>
      </c>
      <c r="W31" s="3">
        <f>+Descubrimiento!W31*Descubrimiento!W$103+'Rentas SpA'!W31*'Rentas SpA'!W$102+'Pza Const'!W31*'Pza Const'!W$102+'Pza Arauc'!W31*'Pza Arauc'!W$102+RRetail!W31*RRetail!W$102+Bucarest!W31*Bucarest!W$102+Magdalena!W31*Magdalena!W$102+BFC!W31*BFC!W$102</f>
        <v>0</v>
      </c>
      <c r="X31" s="3">
        <f>+Descubrimiento!X31*Descubrimiento!X$103+'Rentas SpA'!X31*'Rentas SpA'!X$102+'Pza Const'!X31*'Pza Const'!X$102+'Pza Arauc'!X31*'Pza Arauc'!X$102+RRetail!X31*RRetail!X$102+Bucarest!X31*Bucarest!X$102+Magdalena!X31*Magdalena!X$102+BFC!X31*BFC!X$102</f>
        <v>0</v>
      </c>
      <c r="Y31" s="3">
        <f>+Descubrimiento!Y31*Descubrimiento!Y$103+'Rentas SpA'!Y31*'Rentas SpA'!Y$102+'Pza Const'!Y31*'Pza Const'!Y$102+'Pza Arauc'!Y31*'Pza Arauc'!Y$102+RRetail!Y31*RRetail!Y$102+Bucarest!Y31*Bucarest!Y$102+Magdalena!Y31*Magdalena!Y$102+BFC!Y31*BFC!Y$102</f>
        <v>0</v>
      </c>
      <c r="Z31" s="3">
        <f>+Descubrimiento!Z31*Descubrimiento!Z$103+'Rentas SpA'!Z31*'Rentas SpA'!Z$102+'Pza Const'!Z31*'Pza Const'!Z$102+'Pza Arauc'!Z31*'Pza Arauc'!Z$102+RRetail!Z31*RRetail!Z$102+Bucarest!Z31*Bucarest!Z$102+Magdalena!Z31*Magdalena!Z$102+BFC!Z31*BFC!Z$102</f>
        <v>0</v>
      </c>
      <c r="AA31" s="3">
        <f>+Descubrimiento!AA31*Descubrimiento!AA$103+'Rentas SpA'!AA31*'Rentas SpA'!AA$102+'Pza Const'!AA31*'Pza Const'!AA$102+'Pza Arauc'!AA31*'Pza Arauc'!AA$102+RRetail!AA31*RRetail!AA$102+Bucarest!AA31*Bucarest!AA$102+Magdalena!AA31*Magdalena!AA$102+BFC!AA31*BFC!AA$102</f>
        <v>0</v>
      </c>
      <c r="AB31" s="3">
        <f>+Descubrimiento!AB31*Descubrimiento!AB$103+'Rentas SpA'!AB31*'Rentas SpA'!AB$102+'Pza Const'!AB31*'Pza Const'!AB$102+'Pza Arauc'!AB31*'Pza Arauc'!AB$102+RRetail!AB31*RRetail!AB$102+Bucarest!AB31*Bucarest!AB$102+Magdalena!AB31*Magdalena!AB$102+BFC!AB31*BFC!AB$102</f>
        <v>0</v>
      </c>
      <c r="AC31" s="3">
        <f>+Descubrimiento!AC31*Descubrimiento!AC$103+'Rentas SpA'!AC31*'Rentas SpA'!AC$102+'Pza Const'!AC31*'Pza Const'!AC$102+'Pza Arauc'!AC31*'Pza Arauc'!AC$102+RRetail!AC31*RRetail!AC$102+Bucarest!AC31*Bucarest!AC$102+Magdalena!AC31*Magdalena!AC$102+BFC!AC31*BFC!AC$102</f>
        <v>0</v>
      </c>
      <c r="AD31" s="3">
        <f>+Descubrimiento!AD31*Descubrimiento!AD$103+'Rentas SpA'!AD31*'Rentas SpA'!AD$102+'Pza Const'!AD31*'Pza Const'!AD$102+'Pza Arauc'!AD31*'Pza Arauc'!AD$102+RRetail!AD31*RRetail!AD$102+Bucarest!AD31*Bucarest!AD$102+Magdalena!AD31*Magdalena!AD$102+BFC!AD31*BFC!AD$102</f>
        <v>0</v>
      </c>
      <c r="AE31" s="3">
        <f>+Descubrimiento!AE31*Descubrimiento!AE$103+'Rentas SpA'!AE31*'Rentas SpA'!AE$102+'Pza Const'!AE31*'Pza Const'!AE$102+'Pza Arauc'!AE31*'Pza Arauc'!AE$102+RRetail!AE31*RRetail!AE$102+Bucarest!AE31*Bucarest!AE$102+Magdalena!AE31*Magdalena!AE$102+BFC!AE31*BFC!AE$102</f>
        <v>0</v>
      </c>
      <c r="AF31" s="3">
        <f>+Descubrimiento!AF31*Descubrimiento!AF$103+'Rentas SpA'!AF31*'Rentas SpA'!AF$102+'Pza Const'!AF31*'Pza Const'!AF$102+'Pza Arauc'!AF31*'Pza Arauc'!AF$102+RRetail!AF31*RRetail!AF$102+Bucarest!AF31*Bucarest!AF$102+Magdalena!AF31*Magdalena!AF$102+BFC!AF31*BFC!AF$102</f>
        <v>0</v>
      </c>
      <c r="AG31" s="3">
        <f>+Descubrimiento!AG31*Descubrimiento!AG$103+'Rentas SpA'!AG31*'Rentas SpA'!AG$102+'Pza Const'!AG31*'Pza Const'!AG$102+'Pza Arauc'!AG31*'Pza Arauc'!AG$102+RRetail!AG31*RRetail!AG$102+Bucarest!AG31*Bucarest!AG$102+Magdalena!AG31*Magdalena!AG$102+BFC!AG31*BFC!AG$102</f>
        <v>0</v>
      </c>
      <c r="AH31" s="3">
        <f>+Descubrimiento!AH31*Descubrimiento!AH$103+'Rentas SpA'!AH31*'Rentas SpA'!AH$102+'Pza Const'!AH31*'Pza Const'!AH$102+'Pza Arauc'!AH31*'Pza Arauc'!AH$102+RRetail!AH31*RRetail!AH$102+Bucarest!AH31*Bucarest!AH$102+Magdalena!AH31*Magdalena!AH$102+BFC!AH31*BFC!AH$102</f>
        <v>0</v>
      </c>
      <c r="AI31" s="3">
        <f>+Descubrimiento!AI31*Descubrimiento!AI$103+'Rentas SpA'!AI31*'Rentas SpA'!AI$102+'Pza Const'!AI31*'Pza Const'!AI$102+'Pza Arauc'!AI31*'Pza Arauc'!AI$102+RRetail!AI31*RRetail!AI$102+Bucarest!AI31*Bucarest!AI$102+Magdalena!AI31*Magdalena!AI$102+BFC!AI31*BFC!AI$102</f>
        <v>0</v>
      </c>
    </row>
    <row r="32" spans="1:35" x14ac:dyDescent="0.3">
      <c r="A32" s="6" t="s">
        <v>122</v>
      </c>
      <c r="B32" s="7">
        <f t="shared" ref="B32:C32" si="33">+SUM(B23:B31)</f>
        <v>6604230</v>
      </c>
      <c r="C32" s="7">
        <f t="shared" si="33"/>
        <v>8024917</v>
      </c>
      <c r="D32" s="7">
        <f>+SUM(D23:D31)</f>
        <v>13709501</v>
      </c>
      <c r="E32" s="7">
        <f t="shared" ref="E32:R32" si="34">+SUM(E23:E31)</f>
        <v>34660587</v>
      </c>
      <c r="F32" s="7">
        <f t="shared" si="34"/>
        <v>32633037</v>
      </c>
      <c r="G32" s="7">
        <f t="shared" ref="G32:I32" si="35">+SUM(G23:G31)</f>
        <v>30448774</v>
      </c>
      <c r="H32" s="7">
        <f t="shared" si="35"/>
        <v>30506257</v>
      </c>
      <c r="I32" s="7">
        <f t="shared" si="35"/>
        <v>32578460</v>
      </c>
      <c r="J32" s="7">
        <f t="shared" si="34"/>
        <v>4205708</v>
      </c>
      <c r="K32" s="7">
        <f t="shared" ref="K32:M32" si="36">+SUM(K23:K31)</f>
        <v>4002729</v>
      </c>
      <c r="L32" s="7">
        <f t="shared" si="36"/>
        <v>4897450</v>
      </c>
      <c r="M32" s="7">
        <f t="shared" si="36"/>
        <v>5236969</v>
      </c>
      <c r="N32" s="7">
        <f t="shared" si="34"/>
        <v>27455555.800000001</v>
      </c>
      <c r="O32" s="7">
        <f t="shared" ref="O32:Q32" si="37">+SUM(O23:O31)</f>
        <v>87566952.000000015</v>
      </c>
      <c r="P32" s="7">
        <f t="shared" si="37"/>
        <v>13535680.4</v>
      </c>
      <c r="Q32" s="7">
        <f t="shared" si="37"/>
        <v>16759886.400000002</v>
      </c>
      <c r="R32" s="7">
        <f t="shared" si="34"/>
        <v>38736589.300000004</v>
      </c>
      <c r="S32" s="7">
        <f t="shared" ref="S32:U32" si="38">+SUM(S23:S31)</f>
        <v>38572287.399999999</v>
      </c>
      <c r="T32" s="7">
        <f t="shared" si="38"/>
        <v>20395258.300000001</v>
      </c>
      <c r="U32" s="7">
        <f t="shared" si="38"/>
        <v>27058631.799999997</v>
      </c>
      <c r="V32" s="7">
        <f t="shared" ref="V32:Y32" si="39">+SUM(V23:V31)</f>
        <v>29281721.400000002</v>
      </c>
      <c r="W32" s="7">
        <f t="shared" si="39"/>
        <v>40818432.299999997</v>
      </c>
      <c r="X32" s="7">
        <f t="shared" si="39"/>
        <v>28051121.699999999</v>
      </c>
      <c r="Y32" s="7">
        <f t="shared" si="39"/>
        <v>26721511.099999998</v>
      </c>
      <c r="Z32" s="7">
        <f t="shared" ref="Z32:AA32" si="40">+SUM(Z23:Z31)</f>
        <v>24655600.100000001</v>
      </c>
      <c r="AA32" s="7">
        <f t="shared" si="40"/>
        <v>66484758.999999993</v>
      </c>
      <c r="AB32" s="7">
        <f t="shared" ref="AB32:AC32" si="41">+SUM(AB23:AB31)</f>
        <v>66872936.199999996</v>
      </c>
      <c r="AC32" s="7">
        <f t="shared" si="41"/>
        <v>116243509.09999999</v>
      </c>
      <c r="AD32" s="7">
        <f t="shared" ref="AD32:AE32" si="42">+SUM(AD23:AD31)</f>
        <v>114768143.19999999</v>
      </c>
      <c r="AE32" s="7">
        <f t="shared" si="42"/>
        <v>92184333.800000012</v>
      </c>
      <c r="AF32" s="7">
        <f t="shared" ref="AF32:AG32" si="43">+SUM(AF23:AF31)</f>
        <v>109171560.19999999</v>
      </c>
      <c r="AG32" s="7">
        <f t="shared" si="43"/>
        <v>81535973.799999997</v>
      </c>
      <c r="AH32" s="7">
        <f t="shared" ref="AH32:AI32" si="44">+SUM(AH23:AH31)</f>
        <v>40690349.699999996</v>
      </c>
      <c r="AI32" s="7">
        <f t="shared" si="44"/>
        <v>42578698.199999988</v>
      </c>
    </row>
    <row r="33" spans="1:35"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
      <c r="A34" s="1" t="s">
        <v>123</v>
      </c>
      <c r="B34" s="3">
        <f>+Descubrimiento!B34*Descubrimiento!B$103+'Rentas SpA'!B34*'Rentas SpA'!B$102+'Pza Const'!B34*'Pza Const'!B$102+'Pza Arauc'!B34*'Pza Arauc'!B$102+RRetail!B34*RRetail!B$102+Bucarest!B34*Bucarest!B$102+Magdalena!B34*Magdalena!B$102+BFC!B34*BFC!B$102</f>
        <v>11075514.5</v>
      </c>
      <c r="C34" s="3">
        <f>+Descubrimiento!C34*Descubrimiento!C$103+'Rentas SpA'!C34*'Rentas SpA'!C$102+'Pza Const'!C34*'Pza Const'!C$102+'Pza Arauc'!C34*'Pza Arauc'!C$102+RRetail!C34*RRetail!C$102+Bucarest!C34*Bucarest!C$102+Magdalena!C34*Magdalena!C$102+BFC!C34*BFC!C$102</f>
        <v>9846102</v>
      </c>
      <c r="D34" s="3">
        <f>+Descubrimiento!D34*Descubrimiento!D$103+'Rentas SpA'!D34*'Rentas SpA'!D$102+'Pza Const'!D34*'Pza Const'!D$102+'Pza Arauc'!D34*'Pza Arauc'!D$102+RRetail!D34*RRetail!D$102+Bucarest!D34*Bucarest!D$102+Magdalena!D34*Magdalena!D$102+BFC!D34*BFC!D$102</f>
        <v>2965918</v>
      </c>
      <c r="E34" s="3">
        <f>+Descubrimiento!E34*Descubrimiento!E$103+'Rentas SpA'!E34*'Rentas SpA'!E$102+'Pza Const'!E34*'Pza Const'!E$102+'Pza Arauc'!E34*'Pza Arauc'!E$102+RRetail!E34*RRetail!E$102+Bucarest!E34*Bucarest!E$102+Magdalena!E34*Magdalena!E$102+BFC!E34*BFC!E$102</f>
        <v>1731192</v>
      </c>
      <c r="F34" s="3">
        <f>+Descubrimiento!F34*Descubrimiento!F$103+'Rentas SpA'!F34*'Rentas SpA'!F$102+'Pza Const'!F34*'Pza Const'!F$102+'Pza Arauc'!F34*'Pza Arauc'!F$102+RRetail!F34*RRetail!F$102+Bucarest!F34*Bucarest!F$102+Magdalena!F34*Magdalena!F$102+BFC!F34*BFC!F$102</f>
        <v>1892538</v>
      </c>
      <c r="G34" s="3">
        <f>+Descubrimiento!G34*Descubrimiento!G$103+'Rentas SpA'!G34*'Rentas SpA'!G$102+'Pza Const'!G34*'Pza Const'!G$102+'Pza Arauc'!G34*'Pza Arauc'!G$102+RRetail!G34*RRetail!G$102+Bucarest!G34*Bucarest!G$102+Magdalena!G34*Magdalena!G$102+BFC!G34*BFC!G$102</f>
        <v>1646003</v>
      </c>
      <c r="H34" s="3">
        <f>+Descubrimiento!H34*Descubrimiento!H$103+'Rentas SpA'!H34*'Rentas SpA'!H$102+'Pza Const'!H34*'Pza Const'!H$102+'Pza Arauc'!H34*'Pza Arauc'!H$102+RRetail!H34*RRetail!H$102+Bucarest!H34*Bucarest!H$102+Magdalena!H34*Magdalena!H$102+BFC!H34*BFC!H$102</f>
        <v>1638551</v>
      </c>
      <c r="I34" s="3">
        <f>+Descubrimiento!I34*Descubrimiento!I$103+'Rentas SpA'!I34*'Rentas SpA'!I$102+'Pza Const'!I34*'Pza Const'!I$102+'Pza Arauc'!I34*'Pza Arauc'!I$102+RRetail!I34*RRetail!I$102+Bucarest!I34*Bucarest!I$102+Magdalena!I34*Magdalena!I$102+BFC!I34*BFC!I$102</f>
        <v>1618981</v>
      </c>
      <c r="J34" s="3">
        <f>+Descubrimiento!J34*Descubrimiento!J$103+'Rentas SpA'!J34*'Rentas SpA'!J$102+'Pza Const'!J34*'Pza Const'!J$102+'Pza Arauc'!J34*'Pza Arauc'!J$102+RRetail!J34*RRetail!J$102+Bucarest!J34*Bucarest!J$102+Magdalena!J34*Magdalena!J$102+BFC!J34*BFC!J$102</f>
        <v>30264016</v>
      </c>
      <c r="K34" s="3">
        <f>+Descubrimiento!K34*Descubrimiento!K$103+'Rentas SpA'!K34*'Rentas SpA'!K$102+'Pza Const'!K34*'Pza Const'!K$102+'Pza Arauc'!K34*'Pza Arauc'!K$102+RRetail!K34*RRetail!K$102+Bucarest!K34*Bucarest!K$102+Magdalena!K34*Magdalena!K$102+BFC!K34*BFC!K$102</f>
        <v>30191675</v>
      </c>
      <c r="L34" s="3">
        <f>+Descubrimiento!L34*Descubrimiento!L$103+'Rentas SpA'!L34*'Rentas SpA'!L$102+'Pza Const'!L34*'Pza Const'!L$102+'Pza Arauc'!L34*'Pza Arauc'!L$102+RRetail!L34*RRetail!L$102+Bucarest!L34*Bucarest!L$102+Magdalena!L34*Magdalena!L$102+BFC!L34*BFC!L$102</f>
        <v>108607532</v>
      </c>
      <c r="M34" s="3">
        <f>+Descubrimiento!M34*Descubrimiento!M$103+'Rentas SpA'!M34*'Rentas SpA'!M$102+'Pza Const'!M34*'Pza Const'!M$102+'Pza Arauc'!M34*'Pza Arauc'!M$102+RRetail!M34*RRetail!M$102+Bucarest!M34*Bucarest!M$102+Magdalena!M34*Magdalena!M$102+BFC!M34*BFC!M$102</f>
        <v>108620557</v>
      </c>
      <c r="N34" s="3">
        <f>+Descubrimiento!N34*Descubrimiento!N$103+'Rentas SpA'!N34*'Rentas SpA'!N$102+'Pza Const'!N34*'Pza Const'!N$102+'Pza Arauc'!N34*'Pza Arauc'!N$102+RRetail!N34*RRetail!N$102+Bucarest!N34*Bucarest!N$102+Magdalena!N34*Magdalena!N$102+BFC!N34*BFC!N$102</f>
        <v>149822638.59999999</v>
      </c>
      <c r="O34" s="3">
        <f>+Descubrimiento!O34*Descubrimiento!O$103+'Rentas SpA'!O34*'Rentas SpA'!O$102+'Pza Const'!O34*'Pza Const'!O$102+'Pza Arauc'!O34*'Pza Arauc'!O$102+RRetail!O34*RRetail!O$102+Bucarest!O34*Bucarest!O$102+Magdalena!O34*Magdalena!O$102+BFC!O34*BFC!O$102</f>
        <v>126176676.59999999</v>
      </c>
      <c r="P34" s="3">
        <f>+Descubrimiento!P34*Descubrimiento!P$103+'Rentas SpA'!P34*'Rentas SpA'!P$102+'Pza Const'!P34*'Pza Const'!P$102+'Pza Arauc'!P34*'Pza Arauc'!P$102+RRetail!P34*RRetail!P$102+Bucarest!P34*Bucarest!P$102+Magdalena!P34*Magdalena!P$102+BFC!P34*BFC!P$102</f>
        <v>160294439.59999999</v>
      </c>
      <c r="Q34" s="3">
        <f>+Descubrimiento!Q34*Descubrimiento!Q$103+'Rentas SpA'!Q34*'Rentas SpA'!Q$102+'Pza Const'!Q34*'Pza Const'!Q$102+'Pza Arauc'!Q34*'Pza Arauc'!Q$102+RRetail!Q34*RRetail!Q$102+Bucarest!Q34*Bucarest!Q$102+Magdalena!Q34*Magdalena!Q$102+BFC!Q34*BFC!Q$102</f>
        <v>160290092.59999999</v>
      </c>
      <c r="R34" s="3">
        <f>+Descubrimiento!R34*Descubrimiento!R$103+'Rentas SpA'!R34*'Rentas SpA'!R$102+'Pza Const'!R34*'Pza Const'!R$102+'Pza Arauc'!R34*'Pza Arauc'!R$102+RRetail!R34*RRetail!R$102+Bucarest!R34*Bucarest!R$102+Magdalena!R34*Magdalena!R$102+BFC!R34*BFC!R$102</f>
        <v>178577256.69999999</v>
      </c>
      <c r="S34" s="3">
        <f>+Descubrimiento!S34*Descubrimiento!S$103+'Rentas SpA'!S34*'Rentas SpA'!S$102+'Pza Const'!S34*'Pza Const'!S$102+'Pza Arauc'!S34*'Pza Arauc'!S$102+RRetail!S34*RRetail!S$102+Bucarest!S34*Bucarest!S$102+Magdalena!S34*Magdalena!S$102+BFC!S34*BFC!S$102</f>
        <v>201048382.30000001</v>
      </c>
      <c r="T34" s="3">
        <f>+Descubrimiento!T34*Descubrimiento!T$103+'Rentas SpA'!T34*'Rentas SpA'!T$102+'Pza Const'!T34*'Pza Const'!T$102+'Pza Arauc'!T34*'Pza Arauc'!T$102+RRetail!T34*RRetail!T$102+Bucarest!T34*Bucarest!T$102+Magdalena!T34*Magdalena!T$102+BFC!T34*BFC!T$102</f>
        <v>253994527.19999999</v>
      </c>
      <c r="U34" s="3">
        <f>+Descubrimiento!U34*Descubrimiento!U$103+'Rentas SpA'!U34*'Rentas SpA'!U$102+'Pza Const'!U34*'Pza Const'!U$102+'Pza Arauc'!U34*'Pza Arauc'!U$102+RRetail!U34*RRetail!U$102+Bucarest!U34*Bucarest!U$102+Magdalena!U34*Magdalena!U$102+BFC!U34*BFC!U$102</f>
        <v>259083701.80000001</v>
      </c>
      <c r="V34" s="3">
        <f>+Descubrimiento!V34*Descubrimiento!V$103+'Rentas SpA'!V34*'Rentas SpA'!V$102+'Pza Const'!V34*'Pza Const'!V$102+'Pza Arauc'!V34*'Pza Arauc'!V$102+RRetail!V34*RRetail!V$102+Bucarest!V34*Bucarest!V$102+Magdalena!V34*Magdalena!V$102+BFC!V34*BFC!V$102</f>
        <v>242691021.09999999</v>
      </c>
      <c r="W34" s="3">
        <f>+Descubrimiento!W34*Descubrimiento!W$103+'Rentas SpA'!W34*'Rentas SpA'!W$102+'Pza Const'!W34*'Pza Const'!W$102+'Pza Arauc'!W34*'Pza Arauc'!W$102+RRetail!W34*RRetail!W$102+Bucarest!W34*Bucarest!W$102+Magdalena!W34*Magdalena!W$102+BFC!W34*BFC!W$102</f>
        <v>242160136.19999999</v>
      </c>
      <c r="X34" s="3">
        <f>+Descubrimiento!X34*Descubrimiento!X$103+'Rentas SpA'!X34*'Rentas SpA'!X$102+'Pza Const'!X34*'Pza Const'!X$102+'Pza Arauc'!X34*'Pza Arauc'!X$102+RRetail!X34*RRetail!X$102+Bucarest!X34*Bucarest!X$102+Magdalena!X34*Magdalena!X$102+BFC!X34*BFC!X$102</f>
        <v>220502153.30000001</v>
      </c>
      <c r="Y34" s="3">
        <f>+Descubrimiento!Y34*Descubrimiento!Y$103+'Rentas SpA'!Y34*'Rentas SpA'!Y$102+'Pza Const'!Y34*'Pza Const'!Y$102+'Pza Arauc'!Y34*'Pza Arauc'!Y$102+RRetail!Y34*RRetail!Y$102+Bucarest!Y34*Bucarest!Y$102+Magdalena!Y34*Magdalena!Y$102+BFC!Y34*BFC!Y$102</f>
        <v>218540826.59999999</v>
      </c>
      <c r="Z34" s="3">
        <f>+Descubrimiento!Z34*Descubrimiento!Z$103+'Rentas SpA'!Z34*'Rentas SpA'!Z$102+'Pza Const'!Z34*'Pza Const'!Z$102+'Pza Arauc'!Z34*'Pza Arauc'!Z$102+RRetail!Z34*RRetail!Z$102+Bucarest!Z34*Bucarest!Z$102+Magdalena!Z34*Magdalena!Z$102+BFC!Z34*BFC!Z$102</f>
        <v>229088532.80000001</v>
      </c>
      <c r="AA34" s="3">
        <f>+Descubrimiento!AA34*Descubrimiento!AA$103+'Rentas SpA'!AA34*'Rentas SpA'!AA$102+'Pza Const'!AA34*'Pza Const'!AA$102+'Pza Arauc'!AA34*'Pza Arauc'!AA$102+RRetail!AA34*RRetail!AA$102+Bucarest!AA34*Bucarest!AA$102+Magdalena!AA34*Magdalena!AA$102+BFC!AA34*BFC!AA$102</f>
        <v>225938950.5</v>
      </c>
      <c r="AB34" s="3">
        <f>+Descubrimiento!AB34*Descubrimiento!AB$103+'Rentas SpA'!AB34*'Rentas SpA'!AB$102+'Pza Const'!AB34*'Pza Const'!AB$102+'Pza Arauc'!AB34*'Pza Arauc'!AB$102+RRetail!AB34*RRetail!AB$102+Bucarest!AB34*Bucarest!AB$102+Magdalena!AB34*Magdalena!AB$102+BFC!AB34*BFC!AB$102</f>
        <v>225075779.80000001</v>
      </c>
      <c r="AC34" s="3">
        <f>+Descubrimiento!AC34*Descubrimiento!AC$103+'Rentas SpA'!AC34*'Rentas SpA'!AC$102+'Pza Const'!AC34*'Pza Const'!AC$102+'Pza Arauc'!AC34*'Pza Arauc'!AC$102+RRetail!AC34*RRetail!AC$102+Bucarest!AC34*Bucarest!AC$102+Magdalena!AC34*Magdalena!AC$102+BFC!AC34*BFC!AC$102</f>
        <v>186526562.69999999</v>
      </c>
      <c r="AD34" s="3">
        <f>+Descubrimiento!AD34*Descubrimiento!AD$103+'Rentas SpA'!AD34*'Rentas SpA'!AD$102+'Pza Const'!AD34*'Pza Const'!AD$102+'Pza Arauc'!AD34*'Pza Arauc'!AD$102+RRetail!AD34*RRetail!AD$102+Bucarest!AD34*Bucarest!AD$102+Magdalena!AD34*Magdalena!AD$102+BFC!AD34*BFC!AD$102</f>
        <v>185723355.69999999</v>
      </c>
      <c r="AE34" s="3">
        <f>+Descubrimiento!AE34*Descubrimiento!AE$103+'Rentas SpA'!AE34*'Rentas SpA'!AE$102+'Pza Const'!AE34*'Pza Const'!AE$102+'Pza Arauc'!AE34*'Pza Arauc'!AE$102+RRetail!AE34*RRetail!AE$102+Bucarest!AE34*Bucarest!AE$102+Magdalena!AE34*Magdalena!AE$102+BFC!AE34*BFC!AE$102</f>
        <v>215944573.69999999</v>
      </c>
      <c r="AF34" s="3">
        <f>+Descubrimiento!AF34*Descubrimiento!AF$103+'Rentas SpA'!AF34*'Rentas SpA'!AF$102+'Pza Const'!AF34*'Pza Const'!AF$102+'Pza Arauc'!AF34*'Pza Arauc'!AF$102+RRetail!AF34*RRetail!AF$102+Bucarest!AF34*Bucarest!AF$102+Magdalena!AF34*Magdalena!AF$102+BFC!AF34*BFC!AF$102</f>
        <v>217532422.19999999</v>
      </c>
      <c r="AG34" s="3">
        <f>+Descubrimiento!AG34*Descubrimiento!AG$103+'Rentas SpA'!AG34*'Rentas SpA'!AG$102+'Pza Const'!AG34*'Pza Const'!AG$102+'Pza Arauc'!AG34*'Pza Arauc'!AG$102+RRetail!AG34*RRetail!AG$102+Bucarest!AG34*Bucarest!AG$102+Magdalena!AG34*Magdalena!AG$102+BFC!AG34*BFC!AG$102</f>
        <v>257948947.59999999</v>
      </c>
      <c r="AH34" s="3">
        <f>+Descubrimiento!AH34*Descubrimiento!AH$103+'Rentas SpA'!AH34*'Rentas SpA'!AH$102+'Pza Const'!AH34*'Pza Const'!AH$102+'Pza Arauc'!AH34*'Pza Arauc'!AH$102+RRetail!AH34*RRetail!AH$102+Bucarest!AH34*Bucarest!AH$102+Magdalena!AH34*Magdalena!AH$102+BFC!AH34*BFC!AH$102</f>
        <v>300934092.79999995</v>
      </c>
      <c r="AI34" s="3">
        <f>+Descubrimiento!AI34*Descubrimiento!AI$103+'Rentas SpA'!AI34*'Rentas SpA'!AI$102+'Pza Const'!AI34*'Pza Const'!AI$102+'Pza Arauc'!AI34*'Pza Arauc'!AI$102+RRetail!AI34*RRetail!AI$102+Bucarest!AI34*Bucarest!AI$102+Magdalena!AI34*Magdalena!AI$102+BFC!AI34*BFC!AI$102</f>
        <v>299244726.10000002</v>
      </c>
    </row>
    <row r="35" spans="1:35" x14ac:dyDescent="0.3">
      <c r="A35" s="1" t="s">
        <v>124</v>
      </c>
      <c r="B35" s="3">
        <f>+Descubrimiento!B35*Descubrimiento!B$103+'Rentas SpA'!B35*'Rentas SpA'!B$102+'Pza Const'!B35*'Pza Const'!B$102+'Pza Arauc'!B35*'Pza Arauc'!B$102+RRetail!B35*RRetail!B$102+Bucarest!B35*Bucarest!B$102+Magdalena!B35*Magdalena!B$102+BFC!B35*BFC!B$102</f>
        <v>269531268</v>
      </c>
      <c r="C35" s="3">
        <f>+Descubrimiento!C35*Descubrimiento!C$103+'Rentas SpA'!C35*'Rentas SpA'!C$102+'Pza Const'!C35*'Pza Const'!C$102+'Pza Arauc'!C35*'Pza Arauc'!C$102+RRetail!C35*RRetail!C$102+Bucarest!C35*Bucarest!C$102+Magdalena!C35*Magdalena!C$102+BFC!C35*BFC!C$102</f>
        <v>305191639.5</v>
      </c>
      <c r="D35" s="3">
        <f>+Descubrimiento!D35*Descubrimiento!D$103+'Rentas SpA'!D35*'Rentas SpA'!D$102+'Pza Const'!D35*'Pza Const'!D$102+'Pza Arauc'!D35*'Pza Arauc'!D$102+RRetail!D35*RRetail!D$102+Bucarest!D35*Bucarest!D$102+Magdalena!D35*Magdalena!D$102+BFC!D35*BFC!D$102</f>
        <v>343137456</v>
      </c>
      <c r="E35" s="3">
        <f>+Descubrimiento!E35*Descubrimiento!E$103+'Rentas SpA'!E35*'Rentas SpA'!E$102+'Pza Const'!E35*'Pza Const'!E$102+'Pza Arauc'!E35*'Pza Arauc'!E$102+RRetail!E35*RRetail!E$102+Bucarest!E35*Bucarest!E$102+Magdalena!E35*Magdalena!E$102+BFC!E35*BFC!E$102</f>
        <v>346486292</v>
      </c>
      <c r="F35" s="3">
        <f>+Descubrimiento!F35*Descubrimiento!F$103+'Rentas SpA'!F35*'Rentas SpA'!F$102+'Pza Const'!F35*'Pza Const'!F$102+'Pza Arauc'!F35*'Pza Arauc'!F$102+RRetail!F35*RRetail!F$102+Bucarest!F35*Bucarest!F$102+Magdalena!F35*Magdalena!F$102+BFC!F35*BFC!F$102</f>
        <v>371074880</v>
      </c>
      <c r="G35" s="3">
        <f>+Descubrimiento!G35*Descubrimiento!G$103+'Rentas SpA'!G35*'Rentas SpA'!G$102+'Pza Const'!G35*'Pza Const'!G$102+'Pza Arauc'!G35*'Pza Arauc'!G$102+RRetail!G35*RRetail!G$102+Bucarest!G35*Bucarest!G$102+Magdalena!G35*Magdalena!G$102+BFC!G35*BFC!G$102</f>
        <v>360399757</v>
      </c>
      <c r="H35" s="3">
        <f>+Descubrimiento!H35*Descubrimiento!H$103+'Rentas SpA'!H35*'Rentas SpA'!H$102+'Pza Const'!H35*'Pza Const'!H$102+'Pza Arauc'!H35*'Pza Arauc'!H$102+RRetail!H35*RRetail!H$102+Bucarest!H35*Bucarest!H$102+Magdalena!H35*Magdalena!H$102+BFC!H35*BFC!H$102</f>
        <v>366207980</v>
      </c>
      <c r="I35" s="3">
        <f>+Descubrimiento!I35*Descubrimiento!I$103+'Rentas SpA'!I35*'Rentas SpA'!I$102+'Pza Const'!I35*'Pza Const'!I$102+'Pza Arauc'!I35*'Pza Arauc'!I$102+RRetail!I35*RRetail!I$102+Bucarest!I35*Bucarest!I$102+Magdalena!I35*Magdalena!I$102+BFC!I35*BFC!I$102</f>
        <v>375613256</v>
      </c>
      <c r="J35" s="3">
        <f>+Descubrimiento!J35*Descubrimiento!J$103+'Rentas SpA'!J35*'Rentas SpA'!J$102+'Pza Const'!J35*'Pza Const'!J$102+'Pza Arauc'!J35*'Pza Arauc'!J$102+RRetail!J35*RRetail!J$102+Bucarest!J35*Bucarest!J$102+Magdalena!J35*Magdalena!J$102+BFC!J35*BFC!J$102</f>
        <v>372960296</v>
      </c>
      <c r="K35" s="3">
        <f>+Descubrimiento!K35*Descubrimiento!K$103+'Rentas SpA'!K35*'Rentas SpA'!K$102+'Pza Const'!K35*'Pza Const'!K$102+'Pza Arauc'!K35*'Pza Arauc'!K$102+RRetail!K35*RRetail!K$102+Bucarest!K35*Bucarest!K$102+Magdalena!K35*Magdalena!K$102+BFC!K35*BFC!K$102</f>
        <v>378035022</v>
      </c>
      <c r="L35" s="3">
        <f>+Descubrimiento!L35*Descubrimiento!L$103+'Rentas SpA'!L35*'Rentas SpA'!L$102+'Pza Const'!L35*'Pza Const'!L$102+'Pza Arauc'!L35*'Pza Arauc'!L$102+RRetail!L35*RRetail!L$102+Bucarest!L35*Bucarest!L$102+Magdalena!L35*Magdalena!L$102+BFC!L35*BFC!L$102</f>
        <v>303524164</v>
      </c>
      <c r="M35" s="3">
        <f>+Descubrimiento!M35*Descubrimiento!M$103+'Rentas SpA'!M35*'Rentas SpA'!M$102+'Pza Const'!M35*'Pza Const'!M$102+'Pza Arauc'!M35*'Pza Arauc'!M$102+RRetail!M35*RRetail!M$102+Bucarest!M35*Bucarest!M$102+Magdalena!M35*Magdalena!M$102+BFC!M35*BFC!M$102</f>
        <v>308755782</v>
      </c>
      <c r="N35" s="3">
        <f>+Descubrimiento!N35*Descubrimiento!N$103+'Rentas SpA'!N35*'Rentas SpA'!N$102+'Pza Const'!N35*'Pza Const'!N$102+'Pza Arauc'!N35*'Pza Arauc'!N$102+RRetail!N35*RRetail!N$102+Bucarest!N35*Bucarest!N$102+Magdalena!N35*Magdalena!N$102+BFC!N35*BFC!N$102</f>
        <v>328542862.19999999</v>
      </c>
      <c r="O35" s="3">
        <f>+Descubrimiento!O35*Descubrimiento!O$103+'Rentas SpA'!O35*'Rentas SpA'!O$102+'Pza Const'!O35*'Pza Const'!O$102+'Pza Arauc'!O35*'Pza Arauc'!O$102+RRetail!O35*RRetail!O$102+Bucarest!O35*Bucarest!O$102+Magdalena!O35*Magdalena!O$102+BFC!O35*BFC!O$102</f>
        <v>323354581</v>
      </c>
      <c r="P35" s="3">
        <f>+Descubrimiento!P35*Descubrimiento!P$103+'Rentas SpA'!P35*'Rentas SpA'!P$102+'Pza Const'!P35*'Pza Const'!P$102+'Pza Arauc'!P35*'Pza Arauc'!P$102+RRetail!P35*RRetail!P$102+Bucarest!P35*Bucarest!P$102+Magdalena!P35*Magdalena!P$102+BFC!P35*BFC!P$102</f>
        <v>326820371</v>
      </c>
      <c r="Q35" s="3">
        <f>+Descubrimiento!Q35*Descubrimiento!Q$103+'Rentas SpA'!Q35*'Rentas SpA'!Q$102+'Pza Const'!Q35*'Pza Const'!Q$102+'Pza Arauc'!Q35*'Pza Arauc'!Q$102+RRetail!Q35*RRetail!Q$102+Bucarest!Q35*Bucarest!Q$102+Magdalena!Q35*Magdalena!Q$102+BFC!Q35*BFC!Q$102</f>
        <v>330984466</v>
      </c>
      <c r="R35" s="3">
        <f>+Descubrimiento!R35*Descubrimiento!R$103+'Rentas SpA'!R35*'Rentas SpA'!R$102+'Pza Const'!R35*'Pza Const'!R$102+'Pza Arauc'!R35*'Pza Arauc'!R$102+RRetail!R35*RRetail!R$102+Bucarest!R35*Bucarest!R$102+Magdalena!R35*Magdalena!R$102+BFC!R35*BFC!R$102</f>
        <v>340644271</v>
      </c>
      <c r="S35" s="3">
        <f>+Descubrimiento!S35*Descubrimiento!S$103+'Rentas SpA'!S35*'Rentas SpA'!S$102+'Pza Const'!S35*'Pza Const'!S$102+'Pza Arauc'!S35*'Pza Arauc'!S$102+RRetail!S35*RRetail!S$102+Bucarest!S35*Bucarest!S$102+Magdalena!S35*Magdalena!S$102+BFC!S35*BFC!S$102</f>
        <v>351640051</v>
      </c>
      <c r="T35" s="3">
        <f>+Descubrimiento!T35*Descubrimiento!T$103+'Rentas SpA'!T35*'Rentas SpA'!T$102+'Pza Const'!T35*'Pza Const'!T$102+'Pza Arauc'!T35*'Pza Arauc'!T$102+RRetail!T35*RRetail!T$102+Bucarest!T35*Bucarest!T$102+Magdalena!T35*Magdalena!T$102+BFC!T35*BFC!T$102</f>
        <v>366702910</v>
      </c>
      <c r="U35" s="3">
        <f>+Descubrimiento!U35*Descubrimiento!U$103+'Rentas SpA'!U35*'Rentas SpA'!U$102+'Pza Const'!U35*'Pza Const'!U$102+'Pza Arauc'!U35*'Pza Arauc'!U$102+RRetail!U35*RRetail!U$102+Bucarest!U35*Bucarest!U$102+Magdalena!U35*Magdalena!U$102+BFC!U35*BFC!U$102</f>
        <v>381320861</v>
      </c>
      <c r="V35" s="3">
        <f>+Descubrimiento!V35*Descubrimiento!V$103+'Rentas SpA'!V35*'Rentas SpA'!V$102+'Pza Const'!V35*'Pza Const'!V$102+'Pza Arauc'!V35*'Pza Arauc'!V$102+RRetail!V35*RRetail!V$102+Bucarest!V35*Bucarest!V$102+Magdalena!V35*Magdalena!V$102+BFC!V35*BFC!V$102</f>
        <v>386245478</v>
      </c>
      <c r="W35" s="3">
        <f>+Descubrimiento!W35*Descubrimiento!W$103+'Rentas SpA'!W35*'Rentas SpA'!W$102+'Pza Const'!W35*'Pza Const'!W$102+'Pza Arauc'!W35*'Pza Arauc'!W$102+RRetail!W35*RRetail!W$102+Bucarest!W35*Bucarest!W$102+Magdalena!W35*Magdalena!W$102+BFC!W35*BFC!W$102</f>
        <v>392924584</v>
      </c>
      <c r="X35" s="3">
        <f>+Descubrimiento!X35*Descubrimiento!X$103+'Rentas SpA'!X35*'Rentas SpA'!X$102+'Pza Const'!X35*'Pza Const'!X$102+'Pza Arauc'!X35*'Pza Arauc'!X$102+RRetail!X35*RRetail!X$102+Bucarest!X35*Bucarest!X$102+Magdalena!X35*Magdalena!X$102+BFC!X35*BFC!X$102</f>
        <v>398644927</v>
      </c>
      <c r="Y35" s="3">
        <f>+Descubrimiento!Y35*Descubrimiento!Y$103+'Rentas SpA'!Y35*'Rentas SpA'!Y$102+'Pza Const'!Y35*'Pza Const'!Y$102+'Pza Arauc'!Y35*'Pza Arauc'!Y$102+RRetail!Y35*RRetail!Y$102+Bucarest!Y35*Bucarest!Y$102+Magdalena!Y35*Magdalena!Y$102+BFC!Y35*BFC!Y$102</f>
        <v>401589026</v>
      </c>
      <c r="Z35" s="3">
        <f>+Descubrimiento!Z35*Descubrimiento!Z$103+'Rentas SpA'!Z35*'Rentas SpA'!Z$102+'Pza Const'!Z35*'Pza Const'!Z$102+'Pza Arauc'!Z35*'Pza Arauc'!Z$102+RRetail!Z35*RRetail!Z$102+Bucarest!Z35*Bucarest!Z$102+Magdalena!Z35*Magdalena!Z$102+BFC!Z35*BFC!Z$102</f>
        <v>407950066</v>
      </c>
      <c r="AA35" s="3">
        <f>+Descubrimiento!AA35*Descubrimiento!AA$103+'Rentas SpA'!AA35*'Rentas SpA'!AA$102+'Pza Const'!AA35*'Pza Const'!AA$102+'Pza Arauc'!AA35*'Pza Arauc'!AA$102+RRetail!AA35*RRetail!AA$102+Bucarest!AA35*Bucarest!AA$102+Magdalena!AA35*Magdalena!AA$102+BFC!AA35*BFC!AA$102</f>
        <v>413583386</v>
      </c>
      <c r="AB35" s="3">
        <f>+Descubrimiento!AB35*Descubrimiento!AB$103+'Rentas SpA'!AB35*'Rentas SpA'!AB$102+'Pza Const'!AB35*'Pza Const'!AB$102+'Pza Arauc'!AB35*'Pza Arauc'!AB$102+RRetail!AB35*RRetail!AB$102+Bucarest!AB35*Bucarest!AB$102+Magdalena!AB35*Magdalena!AB$102+BFC!AB35*BFC!AB$102</f>
        <v>420491831</v>
      </c>
      <c r="AC35" s="3">
        <f>+Descubrimiento!AC35*Descubrimiento!AC$103+'Rentas SpA'!AC35*'Rentas SpA'!AC$102+'Pza Const'!AC35*'Pza Const'!AC$102+'Pza Arauc'!AC35*'Pza Arauc'!AC$102+RRetail!AC35*RRetail!AC$102+Bucarest!AC35*Bucarest!AC$102+Magdalena!AC35*Magdalena!AC$102+BFC!AC35*BFC!AC$102</f>
        <v>417172803</v>
      </c>
      <c r="AD35" s="3">
        <f>+Descubrimiento!AD35*Descubrimiento!AD$103+'Rentas SpA'!AD35*'Rentas SpA'!AD$102+'Pza Const'!AD35*'Pza Const'!AD$102+'Pza Arauc'!AD35*'Pza Arauc'!AD$102+RRetail!AD35*RRetail!AD$102+Bucarest!AD35*Bucarest!AD$102+Magdalena!AD35*Magdalena!AD$102+BFC!AD35*BFC!AD$102</f>
        <v>422983094</v>
      </c>
      <c r="AE35" s="3">
        <f>+Descubrimiento!AE35*Descubrimiento!AE$103+'Rentas SpA'!AE35*'Rentas SpA'!AE$102+'Pza Const'!AE35*'Pza Const'!AE$102+'Pza Arauc'!AE35*'Pza Arauc'!AE$102+RRetail!AE35*RRetail!AE$102+Bucarest!AE35*Bucarest!AE$102+Magdalena!AE35*Magdalena!AE$102+BFC!AE35*BFC!AE$102</f>
        <v>430762189</v>
      </c>
      <c r="AF35" s="3">
        <f>+Descubrimiento!AF35*Descubrimiento!AF$103+'Rentas SpA'!AF35*'Rentas SpA'!AF$102+'Pza Const'!AF35*'Pza Const'!AF$102+'Pza Arauc'!AF35*'Pza Arauc'!AF$102+RRetail!AF35*RRetail!AF$102+Bucarest!AF35*Bucarest!AF$102+Magdalena!AF35*Magdalena!AF$102+BFC!AF35*BFC!AF$102</f>
        <v>374320658</v>
      </c>
      <c r="AG35" s="3">
        <f>+Descubrimiento!AG35*Descubrimiento!AG$103+'Rentas SpA'!AG35*'Rentas SpA'!AG$102+'Pza Const'!AG35*'Pza Const'!AG$102+'Pza Arauc'!AG35*'Pza Arauc'!AG$102+RRetail!AG35*RRetail!AG$102+Bucarest!AG35*Bucarest!AG$102+Magdalena!AG35*Magdalena!AG$102+BFC!AG35*BFC!AG$102</f>
        <v>364452006</v>
      </c>
      <c r="AH35" s="3">
        <f>+Descubrimiento!AH35*Descubrimiento!AH$103+'Rentas SpA'!AH35*'Rentas SpA'!AH$102+'Pza Const'!AH35*'Pza Const'!AH$102+'Pza Arauc'!AH35*'Pza Arauc'!AH$102+RRetail!AH35*RRetail!AH$102+Bucarest!AH35*Bucarest!AH$102+Magdalena!AH35*Magdalena!AH$102+BFC!AH35*BFC!AH$102</f>
        <v>365300046</v>
      </c>
      <c r="AI35" s="3">
        <f>+Descubrimiento!AI35*Descubrimiento!AI$103+'Rentas SpA'!AI35*'Rentas SpA'!AI$102+'Pza Const'!AI35*'Pza Const'!AI$102+'Pza Arauc'!AI35*'Pza Arauc'!AI$102+RRetail!AI35*RRetail!AI$102+Bucarest!AI35*Bucarest!AI$102+Magdalena!AI35*Magdalena!AI$102+BFC!AI35*BFC!AI$102</f>
        <v>364126651</v>
      </c>
    </row>
    <row r="36" spans="1:35" x14ac:dyDescent="0.3">
      <c r="A36" s="1" t="s">
        <v>125</v>
      </c>
      <c r="B36" s="3">
        <f>+Descubrimiento!B36*Descubrimiento!B$103+'Rentas SpA'!B36*'Rentas SpA'!B$102+'Pza Const'!B36*'Pza Const'!B$102+'Pza Arauc'!B36*'Pza Arauc'!B$102+RRetail!B36*RRetail!B$102+Bucarest!B36*Bucarest!B$102+Magdalena!B36*Magdalena!B$102+BFC!B36*BFC!B$102</f>
        <v>10430178.5</v>
      </c>
      <c r="C36" s="3">
        <f>+Descubrimiento!C36*Descubrimiento!C$103+'Rentas SpA'!C36*'Rentas SpA'!C$102+'Pza Const'!C36*'Pza Const'!C$102+'Pza Arauc'!C36*'Pza Arauc'!C$102+RRetail!C36*RRetail!C$102+Bucarest!C36*Bucarest!C$102+Magdalena!C36*Magdalena!C$102+BFC!C36*BFC!C$102</f>
        <v>12612634.5</v>
      </c>
      <c r="D36" s="3">
        <f>+Descubrimiento!D36*Descubrimiento!D$103+'Rentas SpA'!D36*'Rentas SpA'!D$102+'Pza Const'!D36*'Pza Const'!D$102+'Pza Arauc'!D36*'Pza Arauc'!D$102+RRetail!D36*RRetail!D$102+Bucarest!D36*Bucarest!D$102+Magdalena!D36*Magdalena!D$102+BFC!D36*BFC!D$102</f>
        <v>21986163</v>
      </c>
      <c r="E36" s="3">
        <f>+Descubrimiento!E36*Descubrimiento!E$103+'Rentas SpA'!E36*'Rentas SpA'!E$102+'Pza Const'!E36*'Pza Const'!E$102+'Pza Arauc'!E36*'Pza Arauc'!E$102+RRetail!E36*RRetail!E$102+Bucarest!E36*Bucarest!E$102+Magdalena!E36*Magdalena!E$102+BFC!E36*BFC!E$102</f>
        <v>28907726</v>
      </c>
      <c r="F36" s="3">
        <f>+Descubrimiento!F36*Descubrimiento!F$103+'Rentas SpA'!F36*'Rentas SpA'!F$102+'Pza Const'!F36*'Pza Const'!F$102+'Pza Arauc'!F36*'Pza Arauc'!F$102+RRetail!F36*RRetail!F$102+Bucarest!F36*Bucarest!F$102+Magdalena!F36*Magdalena!F$102+BFC!F36*BFC!F$102</f>
        <v>35940118</v>
      </c>
      <c r="G36" s="3">
        <f>+Descubrimiento!G36*Descubrimiento!G$103+'Rentas SpA'!G36*'Rentas SpA'!G$102+'Pza Const'!G36*'Pza Const'!G$102+'Pza Arauc'!G36*'Pza Arauc'!G$102+RRetail!G36*RRetail!G$102+Bucarest!G36*Bucarest!G$102+Magdalena!G36*Magdalena!G$102+BFC!G36*BFC!G$102</f>
        <v>39248121</v>
      </c>
      <c r="H36" s="3">
        <f>+Descubrimiento!H36*Descubrimiento!H$103+'Rentas SpA'!H36*'Rentas SpA'!H$102+'Pza Const'!H36*'Pza Const'!H$102+'Pza Arauc'!H36*'Pza Arauc'!H$102+RRetail!H36*RRetail!H$102+Bucarest!H36*Bucarest!H$102+Magdalena!H36*Magdalena!H$102+BFC!H36*BFC!H$102</f>
        <v>39633793</v>
      </c>
      <c r="I36" s="3">
        <f>+Descubrimiento!I36*Descubrimiento!I$103+'Rentas SpA'!I36*'Rentas SpA'!I$102+'Pza Const'!I36*'Pza Const'!I$102+'Pza Arauc'!I36*'Pza Arauc'!I$102+RRetail!I36*RRetail!I$102+Bucarest!I36*Bucarest!I$102+Magdalena!I36*Magdalena!I$102+BFC!I36*BFC!I$102</f>
        <v>45120064</v>
      </c>
      <c r="J36" s="3">
        <f>+Descubrimiento!J36*Descubrimiento!J$103+'Rentas SpA'!J36*'Rentas SpA'!J$102+'Pza Const'!J36*'Pza Const'!J$102+'Pza Arauc'!J36*'Pza Arauc'!J$102+RRetail!J36*RRetail!J$102+Bucarest!J36*Bucarest!J$102+Magdalena!J36*Magdalena!J$102+BFC!J36*BFC!J$102</f>
        <v>44409572</v>
      </c>
      <c r="K36" s="3">
        <f>+Descubrimiento!K36*Descubrimiento!K$103+'Rentas SpA'!K36*'Rentas SpA'!K$102+'Pza Const'!K36*'Pza Const'!K$102+'Pza Arauc'!K36*'Pza Arauc'!K$102+RRetail!K36*RRetail!K$102+Bucarest!K36*Bucarest!K$102+Magdalena!K36*Magdalena!K$102+BFC!K36*BFC!K$102</f>
        <v>45170779</v>
      </c>
      <c r="L36" s="3">
        <f>+Descubrimiento!L36*Descubrimiento!L$103+'Rentas SpA'!L36*'Rentas SpA'!L$102+'Pza Const'!L36*'Pza Const'!L$102+'Pza Arauc'!L36*'Pza Arauc'!L$102+RRetail!L36*RRetail!L$102+Bucarest!L36*Bucarest!L$102+Magdalena!L36*Magdalena!L$102+BFC!L36*BFC!L$102</f>
        <v>44404030</v>
      </c>
      <c r="M36" s="3">
        <f>+Descubrimiento!M36*Descubrimiento!M$103+'Rentas SpA'!M36*'Rentas SpA'!M$102+'Pza Const'!M36*'Pza Const'!M$102+'Pza Arauc'!M36*'Pza Arauc'!M$102+RRetail!M36*RRetail!M$102+Bucarest!M36*Bucarest!M$102+Magdalena!M36*Magdalena!M$102+BFC!M36*BFC!M$102</f>
        <v>44912751</v>
      </c>
      <c r="N36" s="3">
        <f>+Descubrimiento!N36*Descubrimiento!N$103+'Rentas SpA'!N36*'Rentas SpA'!N$102+'Pza Const'!N36*'Pza Const'!N$102+'Pza Arauc'!N36*'Pza Arauc'!N$102+RRetail!N36*RRetail!N$102+Bucarest!N36*Bucarest!N$102+Magdalena!N36*Magdalena!N$102+BFC!N36*BFC!N$102</f>
        <v>87286467.599999994</v>
      </c>
      <c r="O36" s="3">
        <f>+Descubrimiento!O36*Descubrimiento!O$103+'Rentas SpA'!O36*'Rentas SpA'!O$102+'Pza Const'!O36*'Pza Const'!O$102+'Pza Arauc'!O36*'Pza Arauc'!O$102+RRetail!O36*RRetail!O$102+Bucarest!O36*Bucarest!O$102+Magdalena!O36*Magdalena!O$102+BFC!O36*BFC!O$102</f>
        <v>47387924</v>
      </c>
      <c r="P36" s="3">
        <f>+Descubrimiento!P36*Descubrimiento!P$103+'Rentas SpA'!P36*'Rentas SpA'!P$102+'Pza Const'!P36*'Pza Const'!P$102+'Pza Arauc'!P36*'Pza Arauc'!P$102+RRetail!P36*RRetail!P$102+Bucarest!P36*Bucarest!P$102+Magdalena!P36*Magdalena!P$102+BFC!P36*BFC!P$102</f>
        <v>87237011</v>
      </c>
      <c r="Q36" s="3">
        <f>+Descubrimiento!Q36*Descubrimiento!Q$103+'Rentas SpA'!Q36*'Rentas SpA'!Q$102+'Pza Const'!Q36*'Pza Const'!Q$102+'Pza Arauc'!Q36*'Pza Arauc'!Q$102+RRetail!Q36*RRetail!Q$102+Bucarest!Q36*Bucarest!Q$102+Magdalena!Q36*Magdalena!Q$102+BFC!Q36*BFC!Q$102</f>
        <v>85769162.800000012</v>
      </c>
      <c r="R36" s="3">
        <f>+Descubrimiento!R36*Descubrimiento!R$103+'Rentas SpA'!R36*'Rentas SpA'!R$102+'Pza Const'!R36*'Pza Const'!R$102+'Pza Arauc'!R36*'Pza Arauc'!R$102+RRetail!R36*RRetail!R$102+Bucarest!R36*Bucarest!R$102+Magdalena!R36*Magdalena!R$102+BFC!R36*BFC!R$102</f>
        <v>138044866</v>
      </c>
      <c r="S36" s="3">
        <f>+Descubrimiento!S36*Descubrimiento!S$103+'Rentas SpA'!S36*'Rentas SpA'!S$102+'Pza Const'!S36*'Pza Const'!S$102+'Pza Arauc'!S36*'Pza Arauc'!S$102+RRetail!S36*RRetail!S$102+Bucarest!S36*Bucarest!S$102+Magdalena!S36*Magdalena!S$102+BFC!S36*BFC!S$102</f>
        <v>144543538.59999999</v>
      </c>
      <c r="T36" s="3">
        <f>+Descubrimiento!T36*Descubrimiento!T$103+'Rentas SpA'!T36*'Rentas SpA'!T$102+'Pza Const'!T36*'Pza Const'!T$102+'Pza Arauc'!T36*'Pza Arauc'!T$102+RRetail!T36*RRetail!T$102+Bucarest!T36*Bucarest!T$102+Magdalena!T36*Magdalena!T$102+BFC!T36*BFC!T$102</f>
        <v>141695870.39999998</v>
      </c>
      <c r="U36" s="3">
        <f>+Descubrimiento!U36*Descubrimiento!U$103+'Rentas SpA'!U36*'Rentas SpA'!U$102+'Pza Const'!U36*'Pza Const'!U$102+'Pza Arauc'!U36*'Pza Arauc'!U$102+RRetail!U36*RRetail!U$102+Bucarest!U36*Bucarest!U$102+Magdalena!U36*Magdalena!U$102+BFC!U36*BFC!U$102</f>
        <v>140732174.19999999</v>
      </c>
      <c r="V36" s="3">
        <f>+Descubrimiento!V36*Descubrimiento!V$103+'Rentas SpA'!V36*'Rentas SpA'!V$102+'Pza Const'!V36*'Pza Const'!V$102+'Pza Arauc'!V36*'Pza Arauc'!V$102+RRetail!V36*RRetail!V$102+Bucarest!V36*Bucarest!V$102+Magdalena!V36*Magdalena!V$102+BFC!V36*BFC!V$102</f>
        <v>147938232.69999999</v>
      </c>
      <c r="W36" s="3">
        <f>+Descubrimiento!W36*Descubrimiento!W$103+'Rentas SpA'!W36*'Rentas SpA'!W$102+'Pza Const'!W36*'Pza Const'!W$102+'Pza Arauc'!W36*'Pza Arauc'!W$102+RRetail!W36*RRetail!W$102+Bucarest!W36*Bucarest!W$102+Magdalena!W36*Magdalena!W$102+BFC!W36*BFC!W$102</f>
        <v>157014170.80000001</v>
      </c>
      <c r="X36" s="3">
        <f>+Descubrimiento!X36*Descubrimiento!X$103+'Rentas SpA'!X36*'Rentas SpA'!X$102+'Pza Const'!X36*'Pza Const'!X$102+'Pza Arauc'!X36*'Pza Arauc'!X$102+RRetail!X36*RRetail!X$102+Bucarest!X36*Bucarest!X$102+Magdalena!X36*Magdalena!X$102+BFC!X36*BFC!X$102</f>
        <v>159174637.19999999</v>
      </c>
      <c r="Y36" s="3">
        <f>+Descubrimiento!Y36*Descubrimiento!Y$103+'Rentas SpA'!Y36*'Rentas SpA'!Y$102+'Pza Const'!Y36*'Pza Const'!Y$102+'Pza Arauc'!Y36*'Pza Arauc'!Y$102+RRetail!Y36*RRetail!Y$102+Bucarest!Y36*Bucarest!Y$102+Magdalena!Y36*Magdalena!Y$102+BFC!Y36*BFC!Y$102</f>
        <v>165997382.59999999</v>
      </c>
      <c r="Z36" s="3">
        <f>+Descubrimiento!Z36*Descubrimiento!Z$103+'Rentas SpA'!Z36*'Rentas SpA'!Z$102+'Pza Const'!Z36*'Pza Const'!Z$102+'Pza Arauc'!Z36*'Pza Arauc'!Z$102+RRetail!Z36*RRetail!Z$102+Bucarest!Z36*Bucarest!Z$102+Magdalena!Z36*Magdalena!Z$102+BFC!Z36*BFC!Z$102</f>
        <v>166142005.80000001</v>
      </c>
      <c r="AA36" s="3">
        <f>+Descubrimiento!AA36*Descubrimiento!AA$103+'Rentas SpA'!AA36*'Rentas SpA'!AA$102+'Pza Const'!AA36*'Pza Const'!AA$102+'Pza Arauc'!AA36*'Pza Arauc'!AA$102+RRetail!AA36*RRetail!AA$102+Bucarest!AA36*Bucarest!AA$102+Magdalena!AA36*Magdalena!AA$102+BFC!AA36*BFC!AA$102</f>
        <v>170760280.80000001</v>
      </c>
      <c r="AB36" s="3">
        <f>+Descubrimiento!AB36*Descubrimiento!AB$103+'Rentas SpA'!AB36*'Rentas SpA'!AB$102+'Pza Const'!AB36*'Pza Const'!AB$102+'Pza Arauc'!AB36*'Pza Arauc'!AB$102+RRetail!AB36*RRetail!AB$102+Bucarest!AB36*Bucarest!AB$102+Magdalena!AB36*Magdalena!AB$102+BFC!AB36*BFC!AB$102</f>
        <v>172225711.39999998</v>
      </c>
      <c r="AC36" s="3">
        <f>+Descubrimiento!AC36*Descubrimiento!AC$103+'Rentas SpA'!AC36*'Rentas SpA'!AC$102+'Pza Const'!AC36*'Pza Const'!AC$102+'Pza Arauc'!AC36*'Pza Arauc'!AC$102+RRetail!AC36*RRetail!AC$102+Bucarest!AC36*Bucarest!AC$102+Magdalena!AC36*Magdalena!AC$102+BFC!AC36*BFC!AC$102</f>
        <v>177638803.09999999</v>
      </c>
      <c r="AD36" s="3">
        <f>+Descubrimiento!AD36*Descubrimiento!AD$103+'Rentas SpA'!AD36*'Rentas SpA'!AD$102+'Pza Const'!AD36*'Pza Const'!AD$102+'Pza Arauc'!AD36*'Pza Arauc'!AD$102+RRetail!AD36*RRetail!AD$102+Bucarest!AD36*Bucarest!AD$102+Magdalena!AD36*Magdalena!AD$102+BFC!AD36*BFC!AD$102</f>
        <v>178504336.69999999</v>
      </c>
      <c r="AE36" s="3">
        <f>+Descubrimiento!AE36*Descubrimiento!AE$103+'Rentas SpA'!AE36*'Rentas SpA'!AE$102+'Pza Const'!AE36*'Pza Const'!AE$102+'Pza Arauc'!AE36*'Pza Arauc'!AE$102+RRetail!AE36*RRetail!AE$102+Bucarest!AE36*Bucarest!AE$102+Magdalena!AE36*Magdalena!AE$102+BFC!AE36*BFC!AE$102</f>
        <v>190297469.69999999</v>
      </c>
      <c r="AF36" s="3">
        <f>+Descubrimiento!AF36*Descubrimiento!AF$103+'Rentas SpA'!AF36*'Rentas SpA'!AF$102+'Pza Const'!AF36*'Pza Const'!AF$102+'Pza Arauc'!AF36*'Pza Arauc'!AF$102+RRetail!AF36*RRetail!AF$102+Bucarest!AF36*Bucarest!AF$102+Magdalena!AF36*Magdalena!AF$102+BFC!AF36*BFC!AF$102</f>
        <v>191450422.39999998</v>
      </c>
      <c r="AG36" s="3">
        <f>+Descubrimiento!AG36*Descubrimiento!AG$103+'Rentas SpA'!AG36*'Rentas SpA'!AG$102+'Pza Const'!AG36*'Pza Const'!AG$102+'Pza Arauc'!AG36*'Pza Arauc'!AG$102+RRetail!AG36*RRetail!AG$102+Bucarest!AG36*Bucarest!AG$102+Magdalena!AG36*Magdalena!AG$102+BFC!AG36*BFC!AG$102</f>
        <v>199836749.89999998</v>
      </c>
      <c r="AH36" s="3">
        <f>+Descubrimiento!AH36*Descubrimiento!AH$103+'Rentas SpA'!AH36*'Rentas SpA'!AH$102+'Pza Const'!AH36*'Pza Const'!AH$102+'Pza Arauc'!AH36*'Pza Arauc'!AH$102+RRetail!AH36*RRetail!AH$102+Bucarest!AH36*Bucarest!AH$102+Magdalena!AH36*Magdalena!AH$102+BFC!AH36*BFC!AH$102</f>
        <v>201187245</v>
      </c>
      <c r="AI36" s="3">
        <f>+Descubrimiento!AI36*Descubrimiento!AI$103+'Rentas SpA'!AI36*'Rentas SpA'!AI$102+'Pza Const'!AI36*'Pza Const'!AI$102+'Pza Arauc'!AI36*'Pza Arauc'!AI$102+RRetail!AI36*RRetail!AI$102+Bucarest!AI36*Bucarest!AI$102+Magdalena!AI36*Magdalena!AI$102+BFC!AI36*BFC!AI$102</f>
        <v>202377870</v>
      </c>
    </row>
    <row r="37" spans="1:35" x14ac:dyDescent="0.3">
      <c r="A37" s="1" t="s">
        <v>126</v>
      </c>
      <c r="B37" s="3">
        <f>+Descubrimiento!B37*Descubrimiento!B$103+'Rentas SpA'!B37*'Rentas SpA'!B$102+'Pza Const'!B37*'Pza Const'!B$102+'Pza Arauc'!B37*'Pza Arauc'!B$102+RRetail!B37*RRetail!B$102+Bucarest!B37*Bucarest!B$102+Magdalena!B37*Magdalena!B$102+BFC!B37*BFC!B$102</f>
        <v>989413</v>
      </c>
      <c r="C37" s="3">
        <f>+Descubrimiento!C37*Descubrimiento!C$103+'Rentas SpA'!C37*'Rentas SpA'!C$102+'Pza Const'!C37*'Pza Const'!C$102+'Pza Arauc'!C37*'Pza Arauc'!C$102+RRetail!C37*RRetail!C$102+Bucarest!C37*Bucarest!C$102+Magdalena!C37*Magdalena!C$102+BFC!C37*BFC!C$102</f>
        <v>990426.5</v>
      </c>
      <c r="D37" s="3">
        <f>+Descubrimiento!D37*Descubrimiento!D$103+'Rentas SpA'!D37*'Rentas SpA'!D$102+'Pza Const'!D37*'Pza Const'!D$102+'Pza Arauc'!D37*'Pza Arauc'!D$102+RRetail!D37*RRetail!D$102+Bucarest!D37*Bucarest!D$102+Magdalena!D37*Magdalena!D$102+BFC!D37*BFC!D$102</f>
        <v>1286758</v>
      </c>
      <c r="E37" s="3">
        <f>+Descubrimiento!E37*Descubrimiento!E$103+'Rentas SpA'!E37*'Rentas SpA'!E$102+'Pza Const'!E37*'Pza Const'!E$102+'Pza Arauc'!E37*'Pza Arauc'!E$102+RRetail!E37*RRetail!E$102+Bucarest!E37*Bucarest!E$102+Magdalena!E37*Magdalena!E$102+BFC!E37*BFC!E$102</f>
        <v>1387319</v>
      </c>
      <c r="F37" s="3">
        <f>+Descubrimiento!F37*Descubrimiento!F$103+'Rentas SpA'!F37*'Rentas SpA'!F$102+'Pza Const'!F37*'Pza Const'!F$102+'Pza Arauc'!F37*'Pza Arauc'!F$102+RRetail!F37*RRetail!F$102+Bucarest!F37*Bucarest!F$102+Magdalena!F37*Magdalena!F$102+BFC!F37*BFC!F$102</f>
        <v>1351450</v>
      </c>
      <c r="G37" s="3">
        <f>+Descubrimiento!G37*Descubrimiento!G$103+'Rentas SpA'!G37*'Rentas SpA'!G$102+'Pza Const'!G37*'Pza Const'!G$102+'Pza Arauc'!G37*'Pza Arauc'!G$102+RRetail!G37*RRetail!G$102+Bucarest!G37*Bucarest!G$102+Magdalena!G37*Magdalena!G$102+BFC!G37*BFC!G$102</f>
        <v>1949602</v>
      </c>
      <c r="H37" s="3">
        <f>+Descubrimiento!H37*Descubrimiento!H$103+'Rentas SpA'!H37*'Rentas SpA'!H$102+'Pza Const'!H37*'Pza Const'!H$102+'Pza Arauc'!H37*'Pza Arauc'!H$102+RRetail!H37*RRetail!H$102+Bucarest!H37*Bucarest!H$102+Magdalena!H37*Magdalena!H$102+BFC!H37*BFC!H$102</f>
        <v>2050350</v>
      </c>
      <c r="I37" s="3">
        <f>+Descubrimiento!I37*Descubrimiento!I$103+'Rentas SpA'!I37*'Rentas SpA'!I$102+'Pza Const'!I37*'Pza Const'!I$102+'Pza Arauc'!I37*'Pza Arauc'!I$102+RRetail!I37*RRetail!I$102+Bucarest!I37*Bucarest!I$102+Magdalena!I37*Magdalena!I$102+BFC!I37*BFC!I$102</f>
        <v>2051115</v>
      </c>
      <c r="J37" s="3">
        <f>+Descubrimiento!J37*Descubrimiento!J$103+'Rentas SpA'!J37*'Rentas SpA'!J$102+'Pza Const'!J37*'Pza Const'!J$102+'Pza Arauc'!J37*'Pza Arauc'!J$102+RRetail!J37*RRetail!J$102+Bucarest!J37*Bucarest!J$102+Magdalena!J37*Magdalena!J$102+BFC!J37*BFC!J$102</f>
        <v>1307580</v>
      </c>
      <c r="K37" s="3">
        <f>+Descubrimiento!K37*Descubrimiento!K$103+'Rentas SpA'!K37*'Rentas SpA'!K$102+'Pza Const'!K37*'Pza Const'!K$102+'Pza Arauc'!K37*'Pza Arauc'!K$102+RRetail!K37*RRetail!K$102+Bucarest!K37*Bucarest!K$102+Magdalena!K37*Magdalena!K$102+BFC!K37*BFC!K$102</f>
        <v>2080632</v>
      </c>
      <c r="L37" s="3">
        <f>+Descubrimiento!L37*Descubrimiento!L$103+'Rentas SpA'!L37*'Rentas SpA'!L$102+'Pza Const'!L37*'Pza Const'!L$102+'Pza Arauc'!L37*'Pza Arauc'!L$102+RRetail!L37*RRetail!L$102+Bucarest!L37*Bucarest!L$102+Magdalena!L37*Magdalena!L$102+BFC!L37*BFC!L$102</f>
        <v>2069879</v>
      </c>
      <c r="M37" s="3">
        <f>+Descubrimiento!M37*Descubrimiento!M$103+'Rentas SpA'!M37*'Rentas SpA'!M$102+'Pza Const'!M37*'Pza Const'!M$102+'Pza Arauc'!M37*'Pza Arauc'!M$102+RRetail!M37*RRetail!M$102+Bucarest!M37*Bucarest!M$102+Magdalena!M37*Magdalena!M$102+BFC!M37*BFC!M$102</f>
        <v>2052891</v>
      </c>
      <c r="N37" s="3">
        <f>+Descubrimiento!N37*Descubrimiento!N$103+'Rentas SpA'!N37*'Rentas SpA'!N$102+'Pza Const'!N37*'Pza Const'!N$102+'Pza Arauc'!N37*'Pza Arauc'!N$102+RRetail!N37*RRetail!N$102+Bucarest!N37*Bucarest!N$102+Magdalena!N37*Magdalena!N$102+BFC!N37*BFC!N$102</f>
        <v>10019620.800000001</v>
      </c>
      <c r="O37" s="3">
        <f>+Descubrimiento!O37*Descubrimiento!O$103+'Rentas SpA'!O37*'Rentas SpA'!O$102+'Pza Const'!O37*'Pza Const'!O$102+'Pza Arauc'!O37*'Pza Arauc'!O$102+RRetail!O37*RRetail!O$102+Bucarest!O37*Bucarest!O$102+Magdalena!O37*Magdalena!O$102+BFC!O37*BFC!O$102</f>
        <v>2810000</v>
      </c>
      <c r="P37" s="3">
        <f>+Descubrimiento!P37*Descubrimiento!P$103+'Rentas SpA'!P37*'Rentas SpA'!P$102+'Pza Const'!P37*'Pza Const'!P$102+'Pza Arauc'!P37*'Pza Arauc'!P$102+RRetail!P37*RRetail!P$102+Bucarest!P37*Bucarest!P$102+Magdalena!P37*Magdalena!P$102+BFC!P37*BFC!P$102</f>
        <v>2852902.2</v>
      </c>
      <c r="Q37" s="3">
        <f>+Descubrimiento!Q37*Descubrimiento!Q$103+'Rentas SpA'!Q37*'Rentas SpA'!Q$102+'Pza Const'!Q37*'Pza Const'!Q$102+'Pza Arauc'!Q37*'Pza Arauc'!Q$102+RRetail!Q37*RRetail!Q$102+Bucarest!Q37*Bucarest!Q$102+Magdalena!Q37*Magdalena!Q$102+BFC!Q37*BFC!Q$102</f>
        <v>3089475</v>
      </c>
      <c r="R37" s="3">
        <f>+Descubrimiento!R37*Descubrimiento!R$103+'Rentas SpA'!R37*'Rentas SpA'!R$102+'Pza Const'!R37*'Pza Const'!R$102+'Pza Arauc'!R37*'Pza Arauc'!R$102+RRetail!R37*RRetail!R$102+Bucarest!R37*Bucarest!R$102+Magdalena!R37*Magdalena!R$102+BFC!R37*BFC!R$102</f>
        <v>3637400.3</v>
      </c>
      <c r="S37" s="3">
        <f>+Descubrimiento!S37*Descubrimiento!S$103+'Rentas SpA'!S37*'Rentas SpA'!S$102+'Pza Const'!S37*'Pza Const'!S$102+'Pza Arauc'!S37*'Pza Arauc'!S$102+RRetail!S37*RRetail!S$102+Bucarest!S37*Bucarest!S$102+Magdalena!S37*Magdalena!S$102+BFC!S37*BFC!S$102</f>
        <v>4179723</v>
      </c>
      <c r="T37" s="3">
        <f>+Descubrimiento!T37*Descubrimiento!T$103+'Rentas SpA'!T37*'Rentas SpA'!T$102+'Pza Const'!T37*'Pza Const'!T$102+'Pza Arauc'!T37*'Pza Arauc'!T$102+RRetail!T37*RRetail!T$102+Bucarest!T37*Bucarest!T$102+Magdalena!T37*Magdalena!T$102+BFC!T37*BFC!T$102</f>
        <v>4490488.5999999996</v>
      </c>
      <c r="U37" s="3">
        <f>+Descubrimiento!U37*Descubrimiento!U$103+'Rentas SpA'!U37*'Rentas SpA'!U$102+'Pza Const'!U37*'Pza Const'!U$102+'Pza Arauc'!U37*'Pza Arauc'!U$102+RRetail!U37*RRetail!U$102+Bucarest!U37*Bucarest!U$102+Magdalena!U37*Magdalena!U$102+BFC!U37*BFC!U$102</f>
        <v>13999840.299999999</v>
      </c>
      <c r="V37" s="3">
        <f>+Descubrimiento!V37*Descubrimiento!V$103+'Rentas SpA'!V37*'Rentas SpA'!V$102+'Pza Const'!V37*'Pza Const'!V$102+'Pza Arauc'!V37*'Pza Arauc'!V$102+RRetail!V37*RRetail!V$102+Bucarest!V37*Bucarest!V$102+Magdalena!V37*Magdalena!V$102+BFC!V37*BFC!V$102</f>
        <v>19199362.5</v>
      </c>
      <c r="W37" s="3">
        <f>+Descubrimiento!W37*Descubrimiento!W$103+'Rentas SpA'!W37*'Rentas SpA'!W$102+'Pza Const'!W37*'Pza Const'!W$102+'Pza Arauc'!W37*'Pza Arauc'!W$102+RRetail!W37*RRetail!W$102+Bucarest!W37*Bucarest!W$102+Magdalena!W37*Magdalena!W$102+BFC!W37*BFC!W$102</f>
        <v>9877347.0999999996</v>
      </c>
      <c r="X37" s="3">
        <f>+Descubrimiento!X37*Descubrimiento!X$103+'Rentas SpA'!X37*'Rentas SpA'!X$102+'Pza Const'!X37*'Pza Const'!X$102+'Pza Arauc'!X37*'Pza Arauc'!X$102+RRetail!X37*RRetail!X$102+Bucarest!X37*Bucarest!X$102+Magdalena!X37*Magdalena!X$102+BFC!X37*BFC!X$102</f>
        <v>10044264.199999999</v>
      </c>
      <c r="Y37" s="3">
        <f>+Descubrimiento!Y37*Descubrimiento!Y$103+'Rentas SpA'!Y37*'Rentas SpA'!Y$102+'Pza Const'!Y37*'Pza Const'!Y$102+'Pza Arauc'!Y37*'Pza Arauc'!Y$102+RRetail!Y37*RRetail!Y$102+Bucarest!Y37*Bucarest!Y$102+Magdalena!Y37*Magdalena!Y$102+BFC!Y37*BFC!Y$102</f>
        <v>12469784.699999999</v>
      </c>
      <c r="Z37" s="3">
        <f>+Descubrimiento!Z37*Descubrimiento!Z$103+'Rentas SpA'!Z37*'Rentas SpA'!Z$102+'Pza Const'!Z37*'Pza Const'!Z$102+'Pza Arauc'!Z37*'Pza Arauc'!Z$102+RRetail!Z37*RRetail!Z$102+Bucarest!Z37*Bucarest!Z$102+Magdalena!Z37*Magdalena!Z$102+BFC!Z37*BFC!Z$102</f>
        <v>11882136</v>
      </c>
      <c r="AA37" s="3">
        <f>+Descubrimiento!AA37*Descubrimiento!AA$103+'Rentas SpA'!AA37*'Rentas SpA'!AA$102+'Pza Const'!AA37*'Pza Const'!AA$102+'Pza Arauc'!AA37*'Pza Arauc'!AA$102+RRetail!AA37*RRetail!AA$102+Bucarest!AA37*Bucarest!AA$102+Magdalena!AA37*Magdalena!AA$102+BFC!AA37*BFC!AA$102</f>
        <v>12871886.899999999</v>
      </c>
      <c r="AB37" s="3">
        <f>+Descubrimiento!AB37*Descubrimiento!AB$103+'Rentas SpA'!AB37*'Rentas SpA'!AB$102+'Pza Const'!AB37*'Pza Const'!AB$102+'Pza Arauc'!AB37*'Pza Arauc'!AB$102+RRetail!AB37*RRetail!AB$102+Bucarest!AB37*Bucarest!AB$102+Magdalena!AB37*Magdalena!AB$102+BFC!AB37*BFC!AB$102</f>
        <v>13390243.6</v>
      </c>
      <c r="AC37" s="3">
        <f>+Descubrimiento!AC37*Descubrimiento!AC$103+'Rentas SpA'!AC37*'Rentas SpA'!AC$102+'Pza Const'!AC37*'Pza Const'!AC$102+'Pza Arauc'!AC37*'Pza Arauc'!AC$102+RRetail!AC37*RRetail!AC$102+Bucarest!AC37*Bucarest!AC$102+Magdalena!AC37*Magdalena!AC$102+BFC!AC37*BFC!AC$102</f>
        <v>13231161.399999999</v>
      </c>
      <c r="AD37" s="3">
        <f>+Descubrimiento!AD37*Descubrimiento!AD$103+'Rentas SpA'!AD37*'Rentas SpA'!AD$102+'Pza Const'!AD37*'Pza Const'!AD$102+'Pza Arauc'!AD37*'Pza Arauc'!AD$102+RRetail!AD37*RRetail!AD$102+Bucarest!AD37*Bucarest!AD$102+Magdalena!AD37*Magdalena!AD$102+BFC!AD37*BFC!AD$102</f>
        <v>13274694.899999999</v>
      </c>
      <c r="AE37" s="3">
        <f>+Descubrimiento!AE37*Descubrimiento!AE$103+'Rentas SpA'!AE37*'Rentas SpA'!AE$102+'Pza Const'!AE37*'Pza Const'!AE$102+'Pza Arauc'!AE37*'Pza Arauc'!AE$102+RRetail!AE37*RRetail!AE$102+Bucarest!AE37*Bucarest!AE$102+Magdalena!AE37*Magdalena!AE$102+BFC!AE37*BFC!AE$102</f>
        <v>14056545</v>
      </c>
      <c r="AF37" s="3">
        <f>+Descubrimiento!AF37*Descubrimiento!AF$103+'Rentas SpA'!AF37*'Rentas SpA'!AF$102+'Pza Const'!AF37*'Pza Const'!AF$102+'Pza Arauc'!AF37*'Pza Arauc'!AF$102+RRetail!AF37*RRetail!AF$102+Bucarest!AF37*Bucarest!AF$102+Magdalena!AF37*Magdalena!AF$102+BFC!AF37*BFC!AF$102</f>
        <v>14165385.6</v>
      </c>
      <c r="AG37" s="3">
        <f>+Descubrimiento!AG37*Descubrimiento!AG$103+'Rentas SpA'!AG37*'Rentas SpA'!AG$102+'Pza Const'!AG37*'Pza Const'!AG$102+'Pza Arauc'!AG37*'Pza Arauc'!AG$102+RRetail!AG37*RRetail!AG$102+Bucarest!AG37*Bucarest!AG$102+Magdalena!AG37*Magdalena!AG$102+BFC!AG37*BFC!AG$102</f>
        <v>14262429.899999999</v>
      </c>
      <c r="AH37" s="3">
        <f>+Descubrimiento!AH37*Descubrimiento!AH$103+'Rentas SpA'!AH37*'Rentas SpA'!AH$102+'Pza Const'!AH37*'Pza Const'!AH$102+'Pza Arauc'!AH37*'Pza Arauc'!AH$102+RRetail!AH37*RRetail!AH$102+Bucarest!AH37*Bucarest!AH$102+Magdalena!AH37*Magdalena!AH$102+BFC!AH37*BFC!AH$102</f>
        <v>13687515.799999999</v>
      </c>
      <c r="AI37" s="3">
        <f>+Descubrimiento!AI37*Descubrimiento!AI$103+'Rentas SpA'!AI37*'Rentas SpA'!AI$102+'Pza Const'!AI37*'Pza Const'!AI$102+'Pza Arauc'!AI37*'Pza Arauc'!AI$102+RRetail!AI37*RRetail!AI$102+Bucarest!AI37*Bucarest!AI$102+Magdalena!AI37*Magdalena!AI$102+BFC!AI37*BFC!AI$102</f>
        <v>14245459.5</v>
      </c>
    </row>
    <row r="38" spans="1:35" x14ac:dyDescent="0.3">
      <c r="A38" s="6" t="s">
        <v>28</v>
      </c>
      <c r="B38" s="7">
        <f>+SUM(B33:B37)</f>
        <v>292026374</v>
      </c>
      <c r="C38" s="7">
        <f t="shared" ref="C38:R38" si="45">+SUM(C33:C37)</f>
        <v>328640802.5</v>
      </c>
      <c r="D38" s="7">
        <f t="shared" si="45"/>
        <v>369376295</v>
      </c>
      <c r="E38" s="7">
        <f t="shared" si="45"/>
        <v>378512529</v>
      </c>
      <c r="F38" s="7">
        <f t="shared" si="45"/>
        <v>410258986</v>
      </c>
      <c r="G38" s="7">
        <f t="shared" ref="G38:I38" si="46">+SUM(G33:G37)</f>
        <v>403243483</v>
      </c>
      <c r="H38" s="7">
        <f t="shared" si="46"/>
        <v>409530674</v>
      </c>
      <c r="I38" s="7">
        <f t="shared" si="46"/>
        <v>424403416</v>
      </c>
      <c r="J38" s="7">
        <f t="shared" si="45"/>
        <v>448941464</v>
      </c>
      <c r="K38" s="7">
        <f t="shared" ref="K38:M38" si="47">+SUM(K33:K37)</f>
        <v>455478108</v>
      </c>
      <c r="L38" s="7">
        <f t="shared" si="47"/>
        <v>458605605</v>
      </c>
      <c r="M38" s="7">
        <f t="shared" si="47"/>
        <v>464341981</v>
      </c>
      <c r="N38" s="7">
        <f t="shared" si="45"/>
        <v>575671589.19999993</v>
      </c>
      <c r="O38" s="7">
        <f t="shared" ref="O38:Q38" si="48">+SUM(O33:O37)</f>
        <v>499729181.60000002</v>
      </c>
      <c r="P38" s="7">
        <f t="shared" si="48"/>
        <v>577204723.80000007</v>
      </c>
      <c r="Q38" s="7">
        <f t="shared" si="48"/>
        <v>580133196.4000001</v>
      </c>
      <c r="R38" s="7">
        <f t="shared" si="45"/>
        <v>660903794</v>
      </c>
      <c r="S38" s="7">
        <f t="shared" ref="S38:U38" si="49">+SUM(S33:S37)</f>
        <v>701411694.89999998</v>
      </c>
      <c r="T38" s="7">
        <f t="shared" si="49"/>
        <v>766883796.20000005</v>
      </c>
      <c r="U38" s="7">
        <f t="shared" si="49"/>
        <v>795136577.29999995</v>
      </c>
      <c r="V38" s="7">
        <f t="shared" ref="V38:Y38" si="50">+SUM(V33:V37)</f>
        <v>796074094.29999995</v>
      </c>
      <c r="W38" s="7">
        <f t="shared" si="50"/>
        <v>801976238.10000002</v>
      </c>
      <c r="X38" s="7">
        <f t="shared" si="50"/>
        <v>788365981.70000005</v>
      </c>
      <c r="Y38" s="7">
        <f t="shared" si="50"/>
        <v>798597019.9000001</v>
      </c>
      <c r="Z38" s="7">
        <f t="shared" ref="Z38:AA38" si="51">+SUM(Z33:Z37)</f>
        <v>815062740.5999999</v>
      </c>
      <c r="AA38" s="7">
        <f t="shared" si="51"/>
        <v>823154504.19999993</v>
      </c>
      <c r="AB38" s="7">
        <f t="shared" ref="AB38:AC38" si="52">+SUM(AB33:AB37)</f>
        <v>831183565.79999995</v>
      </c>
      <c r="AC38" s="7">
        <f t="shared" si="52"/>
        <v>794569330.20000005</v>
      </c>
      <c r="AD38" s="7">
        <f t="shared" ref="AD38:AE38" si="53">+SUM(AD33:AD37)</f>
        <v>800485481.30000007</v>
      </c>
      <c r="AE38" s="7">
        <f t="shared" si="53"/>
        <v>851060777.4000001</v>
      </c>
      <c r="AF38" s="7">
        <f t="shared" ref="AF38:AG38" si="54">+SUM(AF33:AF37)</f>
        <v>797468888.20000005</v>
      </c>
      <c r="AG38" s="7">
        <f t="shared" si="54"/>
        <v>836500133.39999998</v>
      </c>
      <c r="AH38" s="7">
        <f t="shared" ref="AH38:AI38" si="55">+SUM(AH33:AH37)</f>
        <v>881108899.5999999</v>
      </c>
      <c r="AI38" s="7">
        <f t="shared" si="55"/>
        <v>879994706.60000002</v>
      </c>
    </row>
    <row r="39" spans="1:35" x14ac:dyDescent="0.3">
      <c r="A39" s="6" t="s">
        <v>29</v>
      </c>
      <c r="B39" s="7">
        <f>+B38+B32</f>
        <v>298630604</v>
      </c>
      <c r="C39" s="7">
        <f t="shared" ref="C39:R39" si="56">+C38+C32</f>
        <v>336665719.5</v>
      </c>
      <c r="D39" s="7">
        <f t="shared" si="56"/>
        <v>383085796</v>
      </c>
      <c r="E39" s="7">
        <f t="shared" si="56"/>
        <v>413173116</v>
      </c>
      <c r="F39" s="7">
        <f t="shared" si="56"/>
        <v>442892023</v>
      </c>
      <c r="G39" s="7">
        <f t="shared" ref="G39:I39" si="57">+G38+G32</f>
        <v>433692257</v>
      </c>
      <c r="H39" s="7">
        <f t="shared" si="57"/>
        <v>440036931</v>
      </c>
      <c r="I39" s="7">
        <f t="shared" si="57"/>
        <v>456981876</v>
      </c>
      <c r="J39" s="7">
        <f t="shared" si="56"/>
        <v>453147172</v>
      </c>
      <c r="K39" s="7">
        <f t="shared" ref="K39:M39" si="58">+K38+K32</f>
        <v>459480837</v>
      </c>
      <c r="L39" s="7">
        <f t="shared" si="58"/>
        <v>463503055</v>
      </c>
      <c r="M39" s="7">
        <f t="shared" si="58"/>
        <v>469578950</v>
      </c>
      <c r="N39" s="7">
        <f t="shared" si="56"/>
        <v>603127144.99999988</v>
      </c>
      <c r="O39" s="7">
        <f t="shared" ref="O39:Q39" si="59">+O38+O32</f>
        <v>587296133.60000002</v>
      </c>
      <c r="P39" s="7">
        <f t="shared" si="59"/>
        <v>590740404.20000005</v>
      </c>
      <c r="Q39" s="7">
        <f t="shared" si="59"/>
        <v>596893082.80000007</v>
      </c>
      <c r="R39" s="7">
        <f t="shared" si="56"/>
        <v>699640383.29999995</v>
      </c>
      <c r="S39" s="7">
        <f t="shared" ref="S39:U39" si="60">+S38+S32</f>
        <v>739983982.29999995</v>
      </c>
      <c r="T39" s="7">
        <f t="shared" si="60"/>
        <v>787279054.5</v>
      </c>
      <c r="U39" s="7">
        <f t="shared" si="60"/>
        <v>822195209.0999999</v>
      </c>
      <c r="V39" s="7">
        <f t="shared" ref="V39:Y39" si="61">+V38+V32</f>
        <v>825355815.69999993</v>
      </c>
      <c r="W39" s="7">
        <f t="shared" si="61"/>
        <v>842794670.39999998</v>
      </c>
      <c r="X39" s="7">
        <f t="shared" si="61"/>
        <v>816417103.4000001</v>
      </c>
      <c r="Y39" s="7">
        <f t="shared" si="61"/>
        <v>825318531.00000012</v>
      </c>
      <c r="Z39" s="7">
        <f t="shared" ref="Z39:AA39" si="62">+Z38+Z32</f>
        <v>839718340.69999993</v>
      </c>
      <c r="AA39" s="7">
        <f t="shared" si="62"/>
        <v>889639263.19999993</v>
      </c>
      <c r="AB39" s="7">
        <f t="shared" ref="AB39:AC39" si="63">+AB38+AB32</f>
        <v>898056502</v>
      </c>
      <c r="AC39" s="7">
        <f t="shared" si="63"/>
        <v>910812839.30000007</v>
      </c>
      <c r="AD39" s="7">
        <f t="shared" ref="AD39:AE39" si="64">+AD38+AD32</f>
        <v>915253624.5</v>
      </c>
      <c r="AE39" s="7">
        <f t="shared" si="64"/>
        <v>943245111.20000005</v>
      </c>
      <c r="AF39" s="7">
        <f t="shared" ref="AF39:AG39" si="65">+AF38+AF32</f>
        <v>906640448.4000001</v>
      </c>
      <c r="AG39" s="7">
        <f t="shared" si="65"/>
        <v>918036107.19999993</v>
      </c>
      <c r="AH39" s="7">
        <f t="shared" ref="AH39:AI39" si="66">+AH38+AH32</f>
        <v>921799249.29999995</v>
      </c>
      <c r="AI39" s="7">
        <f t="shared" si="66"/>
        <v>922573404.79999995</v>
      </c>
    </row>
    <row r="40" spans="1:35"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
      <c r="A41" s="1" t="s">
        <v>128</v>
      </c>
      <c r="B41" s="3">
        <f>+Descubrimiento!B41*Descubrimiento!B$103+'Rentas SpA'!B41*'Rentas SpA'!B$102+'Pza Const'!B41*'Pza Const'!B$102+'Pza Arauc'!B41*'Pza Arauc'!B$102+RRetail!B41*RRetail!B$102+Bucarest!B41*Bucarest!B$102+Magdalena!B41*Magdalena!B$102+BFC!B41*BFC!B$102</f>
        <v>27184663</v>
      </c>
      <c r="C41" s="3">
        <f>+Descubrimiento!C41*Descubrimiento!C$103+'Rentas SpA'!C41*'Rentas SpA'!C$102+'Pza Const'!C41*'Pza Const'!C$102+'Pza Arauc'!C41*'Pza Arauc'!C$102+RRetail!C41*RRetail!C$102+Bucarest!C41*Bucarest!C$102+Magdalena!C41*Magdalena!C$102+BFC!C41*BFC!C$102</f>
        <v>27188663</v>
      </c>
      <c r="D41" s="3">
        <f>+Descubrimiento!D41*Descubrimiento!D$103+'Rentas SpA'!D41*'Rentas SpA'!D$102+'Pza Const'!D41*'Pza Const'!D$102+'Pza Arauc'!D41*'Pza Arauc'!D$102+RRetail!D41*RRetail!D$102+Bucarest!D41*Bucarest!D$102+Magdalena!D41*Magdalena!D$102+BFC!D41*BFC!D$102</f>
        <v>28405537</v>
      </c>
      <c r="E41" s="3">
        <f>+Descubrimiento!E41*Descubrimiento!E$103+'Rentas SpA'!E41*'Rentas SpA'!E$102+'Pza Const'!E41*'Pza Const'!E$102+'Pza Arauc'!E41*'Pza Arauc'!E$102+RRetail!E41*RRetail!E$102+Bucarest!E41*Bucarest!E$102+Magdalena!E41*Magdalena!E$102+BFC!E41*BFC!E$102</f>
        <v>30240537</v>
      </c>
      <c r="F41" s="3">
        <f>+Descubrimiento!F41*Descubrimiento!F$103+'Rentas SpA'!F41*'Rentas SpA'!F$102+'Pza Const'!F41*'Pza Const'!F$102+'Pza Arauc'!F41*'Pza Arauc'!F$102+RRetail!F41*RRetail!F$102+Bucarest!F41*Bucarest!F$102+Magdalena!F41*Magdalena!F$102+BFC!F41*BFC!F$102</f>
        <v>21749299</v>
      </c>
      <c r="G41" s="3">
        <f>+Descubrimiento!G41*Descubrimiento!G$103+'Rentas SpA'!G41*'Rentas SpA'!G$102+'Pza Const'!G41*'Pza Const'!G$102+'Pza Arauc'!G41*'Pza Arauc'!G$102+RRetail!G41*RRetail!G$102+Bucarest!G41*Bucarest!G$102+Magdalena!G41*Magdalena!G$102+BFC!G41*BFC!G$102</f>
        <v>21749299</v>
      </c>
      <c r="H41" s="3">
        <f>+Descubrimiento!H41*Descubrimiento!H$103+'Rentas SpA'!H41*'Rentas SpA'!H$102+'Pza Const'!H41*'Pza Const'!H$102+'Pza Arauc'!H41*'Pza Arauc'!H$102+RRetail!H41*RRetail!H$102+Bucarest!H41*Bucarest!H$102+Magdalena!H41*Magdalena!H$102+BFC!H41*BFC!H$102</f>
        <v>21749299</v>
      </c>
      <c r="I41" s="3">
        <f>+Descubrimiento!I41*Descubrimiento!I$103+'Rentas SpA'!I41*'Rentas SpA'!I$102+'Pza Const'!I41*'Pza Const'!I$102+'Pza Arauc'!I41*'Pza Arauc'!I$102+RRetail!I41*RRetail!I$102+Bucarest!I41*Bucarest!I$102+Magdalena!I41*Magdalena!I$102+BFC!I41*BFC!I$102</f>
        <v>21749299</v>
      </c>
      <c r="J41" s="3">
        <f>+Descubrimiento!J41*Descubrimiento!J$103+'Rentas SpA'!J41*'Rentas SpA'!J$102+'Pza Const'!J41*'Pza Const'!J$102+'Pza Arauc'!J41*'Pza Arauc'!J$102+RRetail!J41*RRetail!J$102+Bucarest!J41*Bucarest!J$102+Magdalena!J41*Magdalena!J$102+BFC!J41*BFC!J$102</f>
        <v>21749299</v>
      </c>
      <c r="K41" s="3">
        <f>+Descubrimiento!K41*Descubrimiento!K$103+'Rentas SpA'!K41*'Rentas SpA'!K$102+'Pza Const'!K41*'Pza Const'!K$102+'Pza Arauc'!K41*'Pza Arauc'!K$102+RRetail!K41*RRetail!K$102+Bucarest!K41*Bucarest!K$102+Magdalena!K41*Magdalena!K$102+BFC!K41*BFC!K$102</f>
        <v>21749299</v>
      </c>
      <c r="L41" s="3">
        <f>+Descubrimiento!L41*Descubrimiento!L$103+'Rentas SpA'!L41*'Rentas SpA'!L$102+'Pza Const'!L41*'Pza Const'!L$102+'Pza Arauc'!L41*'Pza Arauc'!L$102+RRetail!L41*RRetail!L$102+Bucarest!L41*Bucarest!L$102+Magdalena!L41*Magdalena!L$102+BFC!L41*BFC!L$102</f>
        <v>21749299</v>
      </c>
      <c r="M41" s="3">
        <f>+Descubrimiento!M41*Descubrimiento!M$103+'Rentas SpA'!M41*'Rentas SpA'!M$102+'Pza Const'!M41*'Pza Const'!M$102+'Pza Arauc'!M41*'Pza Arauc'!M$102+RRetail!M41*RRetail!M$102+Bucarest!M41*Bucarest!M$102+Magdalena!M41*Magdalena!M$102+BFC!M41*BFC!M$102</f>
        <v>21749299</v>
      </c>
      <c r="N41" s="3">
        <f>+Descubrimiento!N41*Descubrimiento!N$103+'Rentas SpA'!N41*'Rentas SpA'!N$102+'Pza Const'!N41*'Pza Const'!N$102+'Pza Arauc'!N41*'Pza Arauc'!N$102+RRetail!N41*RRetail!N$102+Bucarest!N41*Bucarest!N$102+Magdalena!N41*Magdalena!N$102+BFC!N41*BFC!N$102</f>
        <v>43749299</v>
      </c>
      <c r="O41" s="3">
        <f>+Descubrimiento!O41*Descubrimiento!O$103+'Rentas SpA'!O41*'Rentas SpA'!O$102+'Pza Const'!O41*'Pza Const'!O$102+'Pza Arauc'!O41*'Pza Arauc'!O$102+RRetail!O41*RRetail!O$102+Bucarest!O41*Bucarest!O$102+Magdalena!O41*Magdalena!O$102+BFC!O41*BFC!O$102</f>
        <v>117493795</v>
      </c>
      <c r="P41" s="3">
        <f>+Descubrimiento!P41*Descubrimiento!P$103+'Rentas SpA'!P41*'Rentas SpA'!P$102+'Pza Const'!P41*'Pza Const'!P$102+'Pza Arauc'!P41*'Pza Arauc'!P$102+RRetail!P41*RRetail!P$102+Bucarest!P41*Bucarest!P$102+Magdalena!P41*Magdalena!P$102+BFC!P41*BFC!P$102</f>
        <v>117493795</v>
      </c>
      <c r="Q41" s="3">
        <f>+Descubrimiento!Q41*Descubrimiento!Q$103+'Rentas SpA'!Q41*'Rentas SpA'!Q$102+'Pza Const'!Q41*'Pza Const'!Q$102+'Pza Arauc'!Q41*'Pza Arauc'!Q$102+RRetail!Q41*RRetail!Q$102+Bucarest!Q41*Bucarest!Q$102+Magdalena!Q41*Magdalena!Q$102+BFC!Q41*BFC!Q$102</f>
        <v>117493795</v>
      </c>
      <c r="R41" s="3">
        <f>+Descubrimiento!R41*Descubrimiento!R$103+'Rentas SpA'!R41*'Rentas SpA'!R$102+'Pza Const'!R41*'Pza Const'!R$102+'Pza Arauc'!R41*'Pza Arauc'!R$102+RRetail!R41*RRetail!R$102+Bucarest!R41*Bucarest!R$102+Magdalena!R41*Magdalena!R$102+BFC!R41*BFC!R$102</f>
        <v>189302167</v>
      </c>
      <c r="S41" s="3">
        <f>+Descubrimiento!S41*Descubrimiento!S$103+'Rentas SpA'!S41*'Rentas SpA'!S$102+'Pza Const'!S41*'Pza Const'!S$102+'Pza Arauc'!S41*'Pza Arauc'!S$102+RRetail!S41*RRetail!S$102+Bucarest!S41*Bucarest!S$102+Magdalena!S41*Magdalena!S$102+BFC!S41*BFC!S$102</f>
        <v>189302167</v>
      </c>
      <c r="T41" s="3">
        <f>+Descubrimiento!T41*Descubrimiento!T$103+'Rentas SpA'!T41*'Rentas SpA'!T$102+'Pza Const'!T41*'Pza Const'!T$102+'Pza Arauc'!T41*'Pza Arauc'!T$102+RRetail!T41*RRetail!T$102+Bucarest!T41*Bucarest!T$102+Magdalena!T41*Magdalena!T$102+BFC!T41*BFC!T$102</f>
        <v>189302167</v>
      </c>
      <c r="U41" s="3">
        <f>+Descubrimiento!U41*Descubrimiento!U$103+'Rentas SpA'!U41*'Rentas SpA'!U$102+'Pza Const'!U41*'Pza Const'!U$102+'Pza Arauc'!U41*'Pza Arauc'!U$102+RRetail!U41*RRetail!U$102+Bucarest!U41*Bucarest!U$102+Magdalena!U41*Magdalena!U$102+BFC!U41*BFC!U$102</f>
        <v>189302167</v>
      </c>
      <c r="V41" s="3">
        <f>+Descubrimiento!V41*Descubrimiento!V$103+'Rentas SpA'!V41*'Rentas SpA'!V$102+'Pza Const'!V41*'Pza Const'!V$102+'Pza Arauc'!V41*'Pza Arauc'!V$102+RRetail!V41*RRetail!V$102+Bucarest!V41*Bucarest!V$102+Magdalena!V41*Magdalena!V$102+BFC!V41*BFC!V$102</f>
        <v>195421180</v>
      </c>
      <c r="W41" s="3">
        <f>+Descubrimiento!W41*Descubrimiento!W$103+'Rentas SpA'!W41*'Rentas SpA'!W$102+'Pza Const'!W41*'Pza Const'!W$102+'Pza Arauc'!W41*'Pza Arauc'!W$102+RRetail!W41*RRetail!W$102+Bucarest!W41*Bucarest!W$102+Magdalena!W41*Magdalena!W$102+BFC!W41*BFC!W$102</f>
        <v>195421180</v>
      </c>
      <c r="X41" s="3">
        <f>+Descubrimiento!X41*Descubrimiento!X$103+'Rentas SpA'!X41*'Rentas SpA'!X$102+'Pza Const'!X41*'Pza Const'!X$102+'Pza Arauc'!X41*'Pza Arauc'!X$102+RRetail!X41*RRetail!X$102+Bucarest!X41*Bucarest!X$102+Magdalena!X41*Magdalena!X$102+BFC!X41*BFC!X$102</f>
        <v>196124925</v>
      </c>
      <c r="Y41" s="3">
        <f>+Descubrimiento!Y41*Descubrimiento!Y$103+'Rentas SpA'!Y41*'Rentas SpA'!Y$102+'Pza Const'!Y41*'Pza Const'!Y$102+'Pza Arauc'!Y41*'Pza Arauc'!Y$102+RRetail!Y41*RRetail!Y$102+Bucarest!Y41*Bucarest!Y$102+Magdalena!Y41*Magdalena!Y$102+BFC!Y41*BFC!Y$102</f>
        <v>196124930</v>
      </c>
      <c r="Z41" s="3">
        <f>+Descubrimiento!Z41*Descubrimiento!Z$103+'Rentas SpA'!Z41*'Rentas SpA'!Z$102+'Pza Const'!Z41*'Pza Const'!Z$102+'Pza Arauc'!Z41*'Pza Arauc'!Z$102+RRetail!Z41*RRetail!Z$102+Bucarest!Z41*Bucarest!Z$102+Magdalena!Z41*Magdalena!Z$102+BFC!Z41*BFC!Z$102</f>
        <v>196124930</v>
      </c>
      <c r="AA41" s="3">
        <f>+Descubrimiento!AA41*Descubrimiento!AA$103+'Rentas SpA'!AA41*'Rentas SpA'!AA$102+'Pza Const'!AA41*'Pza Const'!AA$102+'Pza Arauc'!AA41*'Pza Arauc'!AA$102+RRetail!AA41*RRetail!AA$102+Bucarest!AA41*Bucarest!AA$102+Magdalena!AA41*Magdalena!AA$102+BFC!AA41*BFC!AA$102</f>
        <v>208994560</v>
      </c>
      <c r="AB41" s="3">
        <f>+Descubrimiento!AB41*Descubrimiento!AB$103+'Rentas SpA'!AB41*'Rentas SpA'!AB$102+'Pza Const'!AB41*'Pza Const'!AB$102+'Pza Arauc'!AB41*'Pza Arauc'!AB$102+RRetail!AB41*RRetail!AB$102+Bucarest!AB41*Bucarest!AB$102+Magdalena!AB41*Magdalena!AB$102+BFC!AB41*BFC!AB$102</f>
        <v>215173810</v>
      </c>
      <c r="AC41" s="3">
        <f>+Descubrimiento!AC41*Descubrimiento!AC$103+'Rentas SpA'!AC41*'Rentas SpA'!AC$102+'Pza Const'!AC41*'Pza Const'!AC$102+'Pza Arauc'!AC41*'Pza Arauc'!AC$102+RRetail!AC41*RRetail!AC$102+Bucarest!AC41*Bucarest!AC$102+Magdalena!AC41*Magdalena!AC$102+BFC!AC41*BFC!AC$102</f>
        <v>223513810</v>
      </c>
      <c r="AD41" s="3">
        <f>+Descubrimiento!AD41*Descubrimiento!AD$103+'Rentas SpA'!AD41*'Rentas SpA'!AD$102+'Pza Const'!AD41*'Pza Const'!AD$102+'Pza Arauc'!AD41*'Pza Arauc'!AD$102+RRetail!AD41*RRetail!AD$102+Bucarest!AD41*Bucarest!AD$102+Magdalena!AD41*Magdalena!AD$102+BFC!AD41*BFC!AD$102</f>
        <v>224512251</v>
      </c>
      <c r="AE41" s="3">
        <f>+Descubrimiento!AE41*Descubrimiento!AE$103+'Rentas SpA'!AE41*'Rentas SpA'!AE$102+'Pza Const'!AE41*'Pza Const'!AE$102+'Pza Arauc'!AE41*'Pza Arauc'!AE$102+RRetail!AE41*RRetail!AE$102+Bucarest!AE41*Bucarest!AE$102+Magdalena!AE41*Magdalena!AE$102+BFC!AE41*BFC!AE$102</f>
        <v>224512251</v>
      </c>
      <c r="AF41" s="3">
        <f>+Descubrimiento!AF41*Descubrimiento!AF$103+'Rentas SpA'!AF41*'Rentas SpA'!AF$102+'Pza Const'!AF41*'Pza Const'!AF$102+'Pza Arauc'!AF41*'Pza Arauc'!AF$102+RRetail!AF41*RRetail!AF$102+Bucarest!AF41*Bucarest!AF$102+Magdalena!AF41*Magdalena!AF$102+BFC!AF41*BFC!AF$102</f>
        <v>285463429</v>
      </c>
      <c r="AG41" s="3">
        <f>+Descubrimiento!AG41*Descubrimiento!AG$103+'Rentas SpA'!AG41*'Rentas SpA'!AG$102+'Pza Const'!AG41*'Pza Const'!AG$102+'Pza Arauc'!AG41*'Pza Arauc'!AG$102+RRetail!AG41*RRetail!AG$102+Bucarest!AG41*Bucarest!AG$102+Magdalena!AG41*Magdalena!AG$102+BFC!AG41*BFC!AG$102</f>
        <v>297522915</v>
      </c>
      <c r="AH41" s="3">
        <f>+Descubrimiento!AH41*Descubrimiento!AH$103+'Rentas SpA'!AH41*'Rentas SpA'!AH$102+'Pza Const'!AH41*'Pza Const'!AH$102+'Pza Arauc'!AH41*'Pza Arauc'!AH$102+RRetail!AH41*RRetail!AH$102+Bucarest!AH41*Bucarest!AH$102+Magdalena!AH41*Magdalena!AH$102+BFC!AH41*BFC!AH$102</f>
        <v>300304595</v>
      </c>
      <c r="AI41" s="3">
        <f>+Descubrimiento!AI41*Descubrimiento!AI$103+'Rentas SpA'!AI41*'Rentas SpA'!AI$102+'Pza Const'!AI41*'Pza Const'!AI$102+'Pza Arauc'!AI41*'Pza Arauc'!AI$102+RRetail!AI41*RRetail!AI$102+Bucarest!AI41*Bucarest!AI$102+Magdalena!AI41*Magdalena!AI$102+BFC!AI41*BFC!AI$102</f>
        <v>300304595</v>
      </c>
    </row>
    <row r="42" spans="1:35" x14ac:dyDescent="0.3">
      <c r="A42" s="1" t="s">
        <v>32</v>
      </c>
      <c r="B42" s="3">
        <f>+Descubrimiento!B42*Descubrimiento!B$103+'Rentas SpA'!B42*'Rentas SpA'!B$102+'Pza Const'!B42*'Pza Const'!B$102+'Pza Arauc'!B42*'Pza Arauc'!B$102+RRetail!B42*RRetail!B$102+Bucarest!B42*Bucarest!B$102+Magdalena!B42*Magdalena!B$102+BFC!B42*BFC!B$102</f>
        <v>-604735</v>
      </c>
      <c r="C42" s="3">
        <f>+Descubrimiento!C42*Descubrimiento!C$103+'Rentas SpA'!C42*'Rentas SpA'!C$102+'Pza Const'!C42*'Pza Const'!C$102+'Pza Arauc'!C42*'Pza Arauc'!C$102+RRetail!C42*RRetail!C$102+Bucarest!C42*Bucarest!C$102+Magdalena!C42*Magdalena!C$102+BFC!C42*BFC!C$102</f>
        <v>-648581</v>
      </c>
      <c r="D42" s="3">
        <f>+Descubrimiento!D42*Descubrimiento!D$103+'Rentas SpA'!D42*'Rentas SpA'!D$102+'Pza Const'!D42*'Pza Const'!D$102+'Pza Arauc'!D42*'Pza Arauc'!D$102+RRetail!D42*RRetail!D$102+Bucarest!D42*Bucarest!D$102+Magdalena!D42*Magdalena!D$102+BFC!D42*BFC!D$102</f>
        <v>-629103</v>
      </c>
      <c r="E42" s="3">
        <f>+Descubrimiento!E42*Descubrimiento!E$103+'Rentas SpA'!E42*'Rentas SpA'!E$102+'Pza Const'!E42*'Pza Const'!E$102+'Pza Arauc'!E42*'Pza Arauc'!E$102+RRetail!E42*RRetail!E$102+Bucarest!E42*Bucarest!E$102+Magdalena!E42*Magdalena!E$102+BFC!E42*BFC!E$102</f>
        <v>-602784</v>
      </c>
      <c r="F42" s="3">
        <f>+Descubrimiento!F42*Descubrimiento!F$103+'Rentas SpA'!F42*'Rentas SpA'!F$102+'Pza Const'!F42*'Pza Const'!F$102+'Pza Arauc'!F42*'Pza Arauc'!F$102+RRetail!F42*RRetail!F$102+Bucarest!F42*Bucarest!F$102+Magdalena!F42*Magdalena!F$102+BFC!F42*BFC!F$102</f>
        <v>-446022</v>
      </c>
      <c r="G42" s="3">
        <f>+Descubrimiento!G42*Descubrimiento!G$103+'Rentas SpA'!G42*'Rentas SpA'!G$102+'Pza Const'!G42*'Pza Const'!G$102+'Pza Arauc'!G42*'Pza Arauc'!G$102+RRetail!G42*RRetail!G$102+Bucarest!G42*Bucarest!G$102+Magdalena!G42*Magdalena!G$102+BFC!G42*BFC!G$102</f>
        <v>17529371</v>
      </c>
      <c r="H42" s="3">
        <f>+Descubrimiento!H42*Descubrimiento!H$103+'Rentas SpA'!H42*'Rentas SpA'!H$102+'Pza Const'!H42*'Pza Const'!H$102+'Pza Arauc'!H42*'Pza Arauc'!H$102+RRetail!H42*RRetail!H$102+Bucarest!H42*Bucarest!H$102+Magdalena!H42*Magdalena!H$102+BFC!H42*BFC!H$102</f>
        <v>-437712</v>
      </c>
      <c r="I42" s="3">
        <f>+Descubrimiento!I42*Descubrimiento!I$103+'Rentas SpA'!I42*'Rentas SpA'!I$102+'Pza Const'!I42*'Pza Const'!I$102+'Pza Arauc'!I42*'Pza Arauc'!I$102+RRetail!I42*RRetail!I$102+Bucarest!I42*Bucarest!I$102+Magdalena!I42*Magdalena!I$102+BFC!I42*BFC!I$102</f>
        <v>-463811</v>
      </c>
      <c r="J42" s="3">
        <f>+Descubrimiento!J42*Descubrimiento!J$103+'Rentas SpA'!J42*'Rentas SpA'!J$102+'Pza Const'!J42*'Pza Const'!J$102+'Pza Arauc'!J42*'Pza Arauc'!J$102+RRetail!J42*RRetail!J$102+Bucarest!J42*Bucarest!J$102+Magdalena!J42*Magdalena!J$102+BFC!J42*BFC!J$102</f>
        <v>-474733</v>
      </c>
      <c r="K42" s="3">
        <f>+Descubrimiento!K42*Descubrimiento!K$103+'Rentas SpA'!K42*'Rentas SpA'!K$102+'Pza Const'!K42*'Pza Const'!K$102+'Pza Arauc'!K42*'Pza Arauc'!K$102+RRetail!K42*RRetail!K$102+Bucarest!K42*Bucarest!K$102+Magdalena!K42*Magdalena!K$102+BFC!K42*BFC!K$102</f>
        <v>-529681</v>
      </c>
      <c r="L42" s="3">
        <f>+Descubrimiento!L42*Descubrimiento!L$103+'Rentas SpA'!L42*'Rentas SpA'!L$102+'Pza Const'!L42*'Pza Const'!L$102+'Pza Arauc'!L42*'Pza Arauc'!L$102+RRetail!L42*RRetail!L$102+Bucarest!L42*Bucarest!L$102+Magdalena!L42*Magdalena!L$102+BFC!L42*BFC!L$102</f>
        <v>-513296</v>
      </c>
      <c r="M42" s="3">
        <f>+Descubrimiento!M42*Descubrimiento!M$103+'Rentas SpA'!M42*'Rentas SpA'!M$102+'Pza Const'!M42*'Pza Const'!M$102+'Pza Arauc'!M42*'Pza Arauc'!M$102+RRetail!M42*RRetail!M$102+Bucarest!M42*Bucarest!M$102+Magdalena!M42*Magdalena!M$102+BFC!M42*BFC!M$102</f>
        <v>-495697</v>
      </c>
      <c r="N42" s="3">
        <f>+Descubrimiento!N42*Descubrimiento!N$103+'Rentas SpA'!N42*'Rentas SpA'!N$102+'Pza Const'!N42*'Pza Const'!N$102+'Pza Arauc'!N42*'Pza Arauc'!N$102+RRetail!N42*RRetail!N$102+Bucarest!N42*Bucarest!N$102+Magdalena!N42*Magdalena!N$102+BFC!N42*BFC!N$102</f>
        <v>-454630</v>
      </c>
      <c r="O42" s="3">
        <f>+Descubrimiento!O42*Descubrimiento!O$103+'Rentas SpA'!O42*'Rentas SpA'!O$102+'Pza Const'!O42*'Pza Const'!O$102+'Pza Arauc'!O42*'Pza Arauc'!O$102+RRetail!O42*RRetail!O$102+Bucarest!O42*Bucarest!O$102+Magdalena!O42*Magdalena!O$102+BFC!O42*BFC!O$102</f>
        <v>-460413</v>
      </c>
      <c r="P42" s="3">
        <f>+Descubrimiento!P42*Descubrimiento!P$103+'Rentas SpA'!P42*'Rentas SpA'!P$102+'Pza Const'!P42*'Pza Const'!P$102+'Pza Arauc'!P42*'Pza Arauc'!P$102+RRetail!P42*RRetail!P$102+Bucarest!P42*Bucarest!P$102+Magdalena!P42*Magdalena!P$102+BFC!P42*BFC!P$102</f>
        <v>-463572</v>
      </c>
      <c r="Q42" s="3">
        <f>+Descubrimiento!Q42*Descubrimiento!Q$103+'Rentas SpA'!Q42*'Rentas SpA'!Q$102+'Pza Const'!Q42*'Pza Const'!Q$102+'Pza Arauc'!Q42*'Pza Arauc'!Q$102+RRetail!Q42*RRetail!Q$102+Bucarest!Q42*Bucarest!Q$102+Magdalena!Q42*Magdalena!Q$102+BFC!Q42*BFC!Q$102</f>
        <v>-508333</v>
      </c>
      <c r="R42" s="3">
        <f>+Descubrimiento!R42*Descubrimiento!R$103+'Rentas SpA'!R42*'Rentas SpA'!R$102+'Pza Const'!R42*'Pza Const'!R$102+'Pza Arauc'!R42*'Pza Arauc'!R$102+RRetail!R42*RRetail!R$102+Bucarest!R42*Bucarest!R$102+Magdalena!R42*Magdalena!R$102+BFC!R42*BFC!R$102</f>
        <v>-927010.39999999991</v>
      </c>
      <c r="S42" s="3">
        <f>+Descubrimiento!S42*Descubrimiento!S$103+'Rentas SpA'!S42*'Rentas SpA'!S$102+'Pza Const'!S42*'Pza Const'!S$102+'Pza Arauc'!S42*'Pza Arauc'!S$102+RRetail!S42*RRetail!S$102+Bucarest!S42*Bucarest!S$102+Magdalena!S42*Magdalena!S$102+BFC!S42*BFC!S$102</f>
        <v>-1058176.2999999998</v>
      </c>
      <c r="T42" s="3">
        <f>+Descubrimiento!T42*Descubrimiento!T$103+'Rentas SpA'!T42*'Rentas SpA'!T$102+'Pza Const'!T42*'Pza Const'!T$102+'Pza Arauc'!T42*'Pza Arauc'!T$102+RRetail!T42*RRetail!T$102+Bucarest!T42*Bucarest!T$102+Magdalena!T42*Magdalena!T$102+BFC!T42*BFC!T$102</f>
        <v>-572266</v>
      </c>
      <c r="U42" s="3">
        <f>+Descubrimiento!U42*Descubrimiento!U$103+'Rentas SpA'!U42*'Rentas SpA'!U$102+'Pza Const'!U42*'Pza Const'!U$102+'Pza Arauc'!U42*'Pza Arauc'!U$102+RRetail!U42*RRetail!U$102+Bucarest!U42*Bucarest!U$102+Magdalena!U42*Magdalena!U$102+BFC!U42*BFC!U$102</f>
        <v>31469045.399999999</v>
      </c>
      <c r="V42" s="3">
        <f>+Descubrimiento!V42*Descubrimiento!V$103+'Rentas SpA'!V42*'Rentas SpA'!V$102+'Pza Const'!V42*'Pza Const'!V$102+'Pza Arauc'!V42*'Pza Arauc'!V$102+RRetail!V42*RRetail!V$102+Bucarest!V42*Bucarest!V$102+Magdalena!V42*Magdalena!V$102+BFC!V42*BFC!V$102</f>
        <v>-1175642</v>
      </c>
      <c r="W42" s="3">
        <f>+Descubrimiento!W42*Descubrimiento!W$103+'Rentas SpA'!W42*'Rentas SpA'!W$102+'Pza Const'!W42*'Pza Const'!W$102+'Pza Arauc'!W42*'Pza Arauc'!W$102+RRetail!W42*RRetail!W$102+Bucarest!W42*Bucarest!W$102+Magdalena!W42*Magdalena!W$102+BFC!W42*BFC!W$102</f>
        <v>-1200846.8999999999</v>
      </c>
      <c r="X42" s="3">
        <f>+Descubrimiento!X42*Descubrimiento!X$103+'Rentas SpA'!X42*'Rentas SpA'!X$102+'Pza Const'!X42*'Pza Const'!X$102+'Pza Arauc'!X42*'Pza Arauc'!X$102+RRetail!X42*RRetail!X$102+Bucarest!X42*Bucarest!X$102+Magdalena!X42*Magdalena!X$102+BFC!X42*BFC!X$102</f>
        <v>-1141077.5</v>
      </c>
      <c r="Y42" s="3">
        <f>+Descubrimiento!Y42*Descubrimiento!Y$103+'Rentas SpA'!Y42*'Rentas SpA'!Y$102+'Pza Const'!Y42*'Pza Const'!Y$102+'Pza Arauc'!Y42*'Pza Arauc'!Y$102+RRetail!Y42*RRetail!Y$102+Bucarest!Y42*Bucarest!Y$102+Magdalena!Y42*Magdalena!Y$102+BFC!Y42*BFC!Y$102</f>
        <v>-1141352.8999999999</v>
      </c>
      <c r="Z42" s="3">
        <f>+Descubrimiento!Z42*Descubrimiento!Z$103+'Rentas SpA'!Z42*'Rentas SpA'!Z$102+'Pza Const'!Z42*'Pza Const'!Z$102+'Pza Arauc'!Z42*'Pza Arauc'!Z$102+RRetail!Z42*RRetail!Z$102+Bucarest!Z42*Bucarest!Z$102+Magdalena!Z42*Magdalena!Z$102+BFC!Z42*BFC!Z$102</f>
        <v>-1156376.7999999998</v>
      </c>
      <c r="AA42" s="3">
        <f>+Descubrimiento!AA42*Descubrimiento!AA$103+'Rentas SpA'!AA42*'Rentas SpA'!AA$102+'Pza Const'!AA42*'Pza Const'!AA$102+'Pza Arauc'!AA42*'Pza Arauc'!AA$102+RRetail!AA42*RRetail!AA$102+Bucarest!AA42*Bucarest!AA$102+Magdalena!AA42*Magdalena!AA$102+BFC!AA42*BFC!AA$102</f>
        <v>-978398.1</v>
      </c>
      <c r="AB42" s="3">
        <f>+Descubrimiento!AB42*Descubrimiento!AB$103+'Rentas SpA'!AB42*'Rentas SpA'!AB$102+'Pza Const'!AB42*'Pza Const'!AB$102+'Pza Arauc'!AB42*'Pza Arauc'!AB$102+RRetail!AB42*RRetail!AB$102+Bucarest!AB42*Bucarest!AB$102+Magdalena!AB42*Magdalena!AB$102+BFC!AB42*BFC!AB$102</f>
        <v>-1387402.2999999998</v>
      </c>
      <c r="AC42" s="3">
        <f>+Descubrimiento!AC42*Descubrimiento!AC$103+'Rentas SpA'!AC42*'Rentas SpA'!AC$102+'Pza Const'!AC42*'Pza Const'!AC$102+'Pza Arauc'!AC42*'Pza Arauc'!AC$102+RRetail!AC42*RRetail!AC$102+Bucarest!AC42*Bucarest!AC$102+Magdalena!AC42*Magdalena!AC$102+BFC!AC42*BFC!AC$102</f>
        <v>-1632428.4</v>
      </c>
      <c r="AD42" s="3">
        <f>+Descubrimiento!AD42*Descubrimiento!AD$103+'Rentas SpA'!AD42*'Rentas SpA'!AD$102+'Pza Const'!AD42*'Pza Const'!AD$102+'Pza Arauc'!AD42*'Pza Arauc'!AD$102+RRetail!AD42*RRetail!AD$102+Bucarest!AD42*Bucarest!AD$102+Magdalena!AD42*Magdalena!AD$102+BFC!AD42*BFC!AD$102</f>
        <v>-1765477.0999999999</v>
      </c>
      <c r="AE42" s="3">
        <f>+Descubrimiento!AE42*Descubrimiento!AE$103+'Rentas SpA'!AE42*'Rentas SpA'!AE$102+'Pza Const'!AE42*'Pza Const'!AE$102+'Pza Arauc'!AE42*'Pza Arauc'!AE$102+RRetail!AE42*RRetail!AE$102+Bucarest!AE42*Bucarest!AE$102+Magdalena!AE42*Magdalena!AE$102+BFC!AE42*BFC!AE$102</f>
        <v>-2189156.0999999996</v>
      </c>
      <c r="AF42" s="3">
        <f>+Descubrimiento!AF42*Descubrimiento!AF$103+'Rentas SpA'!AF42*'Rentas SpA'!AF$102+'Pza Const'!AF42*'Pza Const'!AF$102+'Pza Arauc'!AF42*'Pza Arauc'!AF$102+RRetail!AF42*RRetail!AF$102+Bucarest!AF42*Bucarest!AF$102+Magdalena!AF42*Magdalena!AF$102+BFC!AF42*BFC!AF$102</f>
        <v>-2366043.4</v>
      </c>
      <c r="AG42" s="3">
        <f>+Descubrimiento!AG42*Descubrimiento!AG$103+'Rentas SpA'!AG42*'Rentas SpA'!AG$102+'Pza Const'!AG42*'Pza Const'!AG$102+'Pza Arauc'!AG42*'Pza Arauc'!AG$102+RRetail!AG42*RRetail!AG$102+Bucarest!AG42*Bucarest!AG$102+Magdalena!AG42*Magdalena!AG$102+BFC!AG42*BFC!AG$102</f>
        <v>-1855513.5999999999</v>
      </c>
      <c r="AH42" s="3">
        <f>+Descubrimiento!AH42*Descubrimiento!AH$103+'Rentas SpA'!AH42*'Rentas SpA'!AH$102+'Pza Const'!AH42*'Pza Const'!AH$102+'Pza Arauc'!AH42*'Pza Arauc'!AH$102+RRetail!AH42*RRetail!AH$102+Bucarest!AH42*Bucarest!AH$102+Magdalena!AH42*Magdalena!AH$102+BFC!AH42*BFC!AH$102</f>
        <v>-1837507.7</v>
      </c>
      <c r="AI42" s="3">
        <f>+Descubrimiento!AI42*Descubrimiento!AI$103+'Rentas SpA'!AI42*'Rentas SpA'!AI$102+'Pza Const'!AI42*'Pza Const'!AI$102+'Pza Arauc'!AI42*'Pza Arauc'!AI$102+RRetail!AI42*RRetail!AI$102+Bucarest!AI42*Bucarest!AI$102+Magdalena!AI42*Magdalena!AI$102+BFC!AI42*BFC!AI$102</f>
        <v>-1914705.7999999998</v>
      </c>
    </row>
    <row r="43" spans="1:35" x14ac:dyDescent="0.3">
      <c r="A43" s="1" t="s">
        <v>33</v>
      </c>
      <c r="B43" s="3">
        <f>+Descubrimiento!B43*Descubrimiento!B$103+'Rentas SpA'!B43*'Rentas SpA'!B$102+'Pza Const'!B43*'Pza Const'!B$102+'Pza Arauc'!B43*'Pza Arauc'!B$102+RRetail!B43*RRetail!B$102+Bucarest!B43*Bucarest!B$102+Magdalena!B43*Magdalena!B$102+BFC!B43*BFC!B$102</f>
        <v>29675280</v>
      </c>
      <c r="C43" s="3">
        <f>+Descubrimiento!C43*Descubrimiento!C$103+'Rentas SpA'!C43*'Rentas SpA'!C$102+'Pza Const'!C43*'Pza Const'!C$102+'Pza Arauc'!C43*'Pza Arauc'!C$102+RRetail!C43*RRetail!C$102+Bucarest!C43*Bucarest!C$102+Magdalena!C43*Magdalena!C$102+BFC!C43*BFC!C$102</f>
        <v>27971389</v>
      </c>
      <c r="D43" s="3">
        <f>+Descubrimiento!D43*Descubrimiento!D$103+'Rentas SpA'!D43*'Rentas SpA'!D$102+'Pza Const'!D43*'Pza Const'!D$102+'Pza Arauc'!D43*'Pza Arauc'!D$102+RRetail!D43*RRetail!D$102+Bucarest!D43*Bucarest!D$102+Magdalena!D43*Magdalena!D$102+BFC!D43*BFC!D$102</f>
        <v>48949425</v>
      </c>
      <c r="E43" s="3">
        <f>+Descubrimiento!E43*Descubrimiento!E$103+'Rentas SpA'!E43*'Rentas SpA'!E$102+'Pza Const'!E43*'Pza Const'!E$102+'Pza Arauc'!E43*'Pza Arauc'!E$102+RRetail!E43*RRetail!E$102+Bucarest!E43*Bucarest!E$102+Magdalena!E43*Magdalena!E$102+BFC!E43*BFC!E$102</f>
        <v>64240740</v>
      </c>
      <c r="F43" s="3">
        <f>+Descubrimiento!F43*Descubrimiento!F$103+'Rentas SpA'!F43*'Rentas SpA'!F$102+'Pza Const'!F43*'Pza Const'!F$102+'Pza Arauc'!F43*'Pza Arauc'!F$102+RRetail!F43*RRetail!F$102+Bucarest!F43*Bucarest!F$102+Magdalena!F43*Magdalena!F$102+BFC!F43*BFC!F$102</f>
        <v>46407648</v>
      </c>
      <c r="G43" s="3">
        <f>+Descubrimiento!G43*Descubrimiento!G$103+'Rentas SpA'!G43*'Rentas SpA'!G$102+'Pza Const'!G43*'Pza Const'!G$102+'Pza Arauc'!G43*'Pza Arauc'!G$102+RRetail!G43*RRetail!G$102+Bucarest!G43*Bucarest!G$102+Magdalena!G43*Magdalena!G$102+BFC!G43*BFC!G$102</f>
        <v>36315382</v>
      </c>
      <c r="H43" s="3">
        <f>+Descubrimiento!H43*Descubrimiento!H$103+'Rentas SpA'!H43*'Rentas SpA'!H$102+'Pza Const'!H43*'Pza Const'!H$102+'Pza Arauc'!H43*'Pza Arauc'!H$102+RRetail!H43*RRetail!H$102+Bucarest!H43*Bucarest!H$102+Magdalena!H43*Magdalena!H$102+BFC!H43*BFC!H$102</f>
        <v>53954923</v>
      </c>
      <c r="I43" s="3">
        <f>+Descubrimiento!I43*Descubrimiento!I$103+'Rentas SpA'!I43*'Rentas SpA'!I$102+'Pza Const'!I43*'Pza Const'!I$102+'Pza Arauc'!I43*'Pza Arauc'!I$102+RRetail!I43*RRetail!I$102+Bucarest!I43*Bucarest!I$102+Magdalena!I43*Magdalena!I$102+BFC!I43*BFC!I$102</f>
        <v>69094837</v>
      </c>
      <c r="J43" s="3">
        <f>+Descubrimiento!J43*Descubrimiento!J$103+'Rentas SpA'!J43*'Rentas SpA'!J$102+'Pza Const'!J43*'Pza Const'!J$102+'Pza Arauc'!J43*'Pza Arauc'!J$102+RRetail!J43*RRetail!J$102+Bucarest!J43*Bucarest!J$102+Magdalena!J43*Magdalena!J$102+BFC!J43*BFC!J$102</f>
        <v>59446256</v>
      </c>
      <c r="K43" s="3">
        <f>+Descubrimiento!K43*Descubrimiento!K$103+'Rentas SpA'!K43*'Rentas SpA'!K$102+'Pza Const'!K43*'Pza Const'!K$102+'Pza Arauc'!K43*'Pza Arauc'!K$102+RRetail!K43*RRetail!K$102+Bucarest!K43*Bucarest!K$102+Magdalena!K43*Magdalena!K$102+BFC!K43*BFC!K$102</f>
        <v>60115703</v>
      </c>
      <c r="L43" s="3">
        <f>+Descubrimiento!L43*Descubrimiento!L$103+'Rentas SpA'!L43*'Rentas SpA'!L$102+'Pza Const'!L43*'Pza Const'!L$102+'Pza Arauc'!L43*'Pza Arauc'!L$102+RRetail!L43*RRetail!L$102+Bucarest!L43*Bucarest!L$102+Magdalena!L43*Magdalena!L$102+BFC!L43*BFC!L$102</f>
        <v>56161577</v>
      </c>
      <c r="M43" s="3">
        <f>+Descubrimiento!M43*Descubrimiento!M$103+'Rentas SpA'!M43*'Rentas SpA'!M$102+'Pza Const'!M43*'Pza Const'!M$102+'Pza Arauc'!M43*'Pza Arauc'!M$102+RRetail!M43*RRetail!M$102+Bucarest!M43*Bucarest!M$102+Magdalena!M43*Magdalena!M$102+BFC!M43*BFC!M$102</f>
        <v>56295050</v>
      </c>
      <c r="N43" s="3">
        <f>+Descubrimiento!N43*Descubrimiento!N$103+'Rentas SpA'!N43*'Rentas SpA'!N$102+'Pza Const'!N43*'Pza Const'!N$102+'Pza Arauc'!N43*'Pza Arauc'!N$102+RRetail!N43*RRetail!N$102+Bucarest!N43*Bucarest!N$102+Magdalena!N43*Magdalena!N$102+BFC!N43*BFC!N$102</f>
        <v>116117810</v>
      </c>
      <c r="O43" s="3">
        <f>+Descubrimiento!O43*Descubrimiento!O$103+'Rentas SpA'!O43*'Rentas SpA'!O$102+'Pza Const'!O43*'Pza Const'!O$102+'Pza Arauc'!O43*'Pza Arauc'!O$102+RRetail!O43*RRetail!O$102+Bucarest!O43*Bucarest!O$102+Magdalena!O43*Magdalena!O$102+BFC!O43*BFC!O$102</f>
        <v>69968495.799999997</v>
      </c>
      <c r="P43" s="3">
        <f>+Descubrimiento!P43*Descubrimiento!P$103+'Rentas SpA'!P43*'Rentas SpA'!P$102+'Pza Const'!P43*'Pza Const'!P$102+'Pza Arauc'!P43*'Pza Arauc'!P$102+RRetail!P43*RRetail!P$102+Bucarest!P43*Bucarest!P$102+Magdalena!P43*Magdalena!P$102+BFC!P43*BFC!P$102</f>
        <v>73180205.599999994</v>
      </c>
      <c r="Q43" s="3">
        <f>+Descubrimiento!Q43*Descubrimiento!Q$103+'Rentas SpA'!Q43*'Rentas SpA'!Q$102+'Pza Const'!Q43*'Pza Const'!Q$102+'Pza Arauc'!Q43*'Pza Arauc'!Q$102+RRetail!Q43*RRetail!Q$102+Bucarest!Q43*Bucarest!Q$102+Magdalena!Q43*Magdalena!Q$102+BFC!Q43*BFC!Q$102</f>
        <v>76279894.200000003</v>
      </c>
      <c r="R43" s="3">
        <f>+Descubrimiento!R43*Descubrimiento!R$103+'Rentas SpA'!R43*'Rentas SpA'!R$102+'Pza Const'!R43*'Pza Const'!R$102+'Pza Arauc'!R43*'Pza Arauc'!R$102+RRetail!R43*RRetail!R$102+Bucarest!R43*Bucarest!R$102+Magdalena!R43*Magdalena!R$102+BFC!R43*BFC!R$102</f>
        <v>88568210.599999994</v>
      </c>
      <c r="S43" s="3">
        <f>+Descubrimiento!S43*Descubrimiento!S$103+'Rentas SpA'!S43*'Rentas SpA'!S$102+'Pza Const'!S43*'Pza Const'!S$102+'Pza Arauc'!S43*'Pza Arauc'!S$102+RRetail!S43*RRetail!S$102+Bucarest!S43*Bucarest!S$102+Magdalena!S43*Magdalena!S$102+BFC!S43*BFC!S$102</f>
        <v>87559577.099999994</v>
      </c>
      <c r="T43" s="3">
        <f>+Descubrimiento!T43*Descubrimiento!T$103+'Rentas SpA'!T43*'Rentas SpA'!T$102+'Pza Const'!T43*'Pza Const'!T$102+'Pza Arauc'!T43*'Pza Arauc'!T$102+RRetail!T43*RRetail!T$102+Bucarest!T43*Bucarest!T$102+Magdalena!T43*Magdalena!T$102+BFC!T43*BFC!T$102</f>
        <v>99566581.900000006</v>
      </c>
      <c r="U43" s="3">
        <f>+Descubrimiento!U43*Descubrimiento!U$103+'Rentas SpA'!U43*'Rentas SpA'!U$102+'Pza Const'!U43*'Pza Const'!U$102+'Pza Arauc'!U43*'Pza Arauc'!U$102+RRetail!U43*RRetail!U$102+Bucarest!U43*Bucarest!U$102+Magdalena!U43*Magdalena!U$102+BFC!U43*BFC!U$102</f>
        <v>84865913.099999994</v>
      </c>
      <c r="V43" s="3">
        <f>+Descubrimiento!V43*Descubrimiento!V$103+'Rentas SpA'!V43*'Rentas SpA'!V$102+'Pza Const'!V43*'Pza Const'!V$102+'Pza Arauc'!V43*'Pza Arauc'!V$102+RRetail!V43*RRetail!V$102+Bucarest!V43*Bucarest!V$102+Magdalena!V43*Magdalena!V$102+BFC!V43*BFC!V$102</f>
        <v>111654747.09999999</v>
      </c>
      <c r="W43" s="3">
        <f>+Descubrimiento!W43*Descubrimiento!W$103+'Rentas SpA'!W43*'Rentas SpA'!W$102+'Pza Const'!W43*'Pza Const'!W$102+'Pza Arauc'!W43*'Pza Arauc'!W$102+RRetail!W43*RRetail!W$102+Bucarest!W43*Bucarest!W$102+Magdalena!W43*Magdalena!W$102+BFC!W43*BFC!W$102</f>
        <v>110820740</v>
      </c>
      <c r="X43" s="3">
        <f>+Descubrimiento!X43*Descubrimiento!X$103+'Rentas SpA'!X43*'Rentas SpA'!X$102+'Pza Const'!X43*'Pza Const'!X$102+'Pza Arauc'!X43*'Pza Arauc'!X$102+RRetail!X43*RRetail!X$102+Bucarest!X43*Bucarest!X$102+Magdalena!X43*Magdalena!X$102+BFC!X43*BFC!X$102</f>
        <v>108914071.3</v>
      </c>
      <c r="Y43" s="3">
        <f>+Descubrimiento!Y43*Descubrimiento!Y$103+'Rentas SpA'!Y43*'Rentas SpA'!Y$102+'Pza Const'!Y43*'Pza Const'!Y$102+'Pza Arauc'!Y43*'Pza Arauc'!Y$102+RRetail!Y43*RRetail!Y$102+Bucarest!Y43*Bucarest!Y$102+Magdalena!Y43*Magdalena!Y$102+BFC!Y43*BFC!Y$102</f>
        <v>113839358</v>
      </c>
      <c r="Z43" s="3">
        <f>+Descubrimiento!Z43*Descubrimiento!Z$103+'Rentas SpA'!Z43*'Rentas SpA'!Z$102+'Pza Const'!Z43*'Pza Const'!Z$102+'Pza Arauc'!Z43*'Pza Arauc'!Z$102+RRetail!Z43*RRetail!Z$102+Bucarest!Z43*Bucarest!Z$102+Magdalena!Z43*Magdalena!Z$102+BFC!Z43*BFC!Z$102</f>
        <v>119776854.3</v>
      </c>
      <c r="AA43" s="3">
        <f>+Descubrimiento!AA43*Descubrimiento!AA$103+'Rentas SpA'!AA43*'Rentas SpA'!AA$102+'Pza Const'!AA43*'Pza Const'!AA$102+'Pza Arauc'!AA43*'Pza Arauc'!AA$102+RRetail!AA43*RRetail!AA$102+Bucarest!AA43*Bucarest!AA$102+Magdalena!AA43*Magdalena!AA$102+BFC!AA43*BFC!AA$102</f>
        <v>126180453.39999999</v>
      </c>
      <c r="AB43" s="3">
        <f>+Descubrimiento!AB43*Descubrimiento!AB$103+'Rentas SpA'!AB43*'Rentas SpA'!AB$102+'Pza Const'!AB43*'Pza Const'!AB$102+'Pza Arauc'!AB43*'Pza Arauc'!AB$102+RRetail!AB43*RRetail!AB$102+Bucarest!AB43*Bucarest!AB$102+Magdalena!AB43*Magdalena!AB$102+BFC!AB43*BFC!AB$102</f>
        <v>120563757.39999999</v>
      </c>
      <c r="AC43" s="3">
        <f>+Descubrimiento!AC43*Descubrimiento!AC$103+'Rentas SpA'!AC43*'Rentas SpA'!AC$102+'Pza Const'!AC43*'Pza Const'!AC$102+'Pza Arauc'!AC43*'Pza Arauc'!AC$102+RRetail!AC43*RRetail!AC$102+Bucarest!AC43*Bucarest!AC$102+Magdalena!AC43*Magdalena!AC$102+BFC!AC43*BFC!AC$102</f>
        <v>131505135.8</v>
      </c>
      <c r="AD43" s="3">
        <f>+Descubrimiento!AD43*Descubrimiento!AD$103+'Rentas SpA'!AD43*'Rentas SpA'!AD$102+'Pza Const'!AD43*'Pza Const'!AD$102+'Pza Arauc'!AD43*'Pza Arauc'!AD$102+RRetail!AD43*RRetail!AD$102+Bucarest!AD43*Bucarest!AD$102+Magdalena!AD43*Magdalena!AD$102+BFC!AD43*BFC!AD$102</f>
        <v>131673418.49999999</v>
      </c>
      <c r="AE43" s="3">
        <f>+Descubrimiento!AE43*Descubrimiento!AE$103+'Rentas SpA'!AE43*'Rentas SpA'!AE$102+'Pza Const'!AE43*'Pza Const'!AE$102+'Pza Arauc'!AE43*'Pza Arauc'!AE$102+RRetail!AE43*RRetail!AE$102+Bucarest!AE43*Bucarest!AE$102+Magdalena!AE43*Magdalena!AE$102+BFC!AE43*BFC!AE$102</f>
        <v>137286031.39999998</v>
      </c>
      <c r="AF43" s="3">
        <f>+Descubrimiento!AF43*Descubrimiento!AF$103+'Rentas SpA'!AF43*'Rentas SpA'!AF$102+'Pza Const'!AF43*'Pza Const'!AF$102+'Pza Arauc'!AF43*'Pza Arauc'!AF$102+RRetail!AF43*RRetail!AF$102+Bucarest!AF43*Bucarest!AF$102+Magdalena!AF43*Magdalena!AF$102+BFC!AF43*BFC!AF$102</f>
        <v>135281259.39999998</v>
      </c>
      <c r="AG43" s="3">
        <f>+Descubrimiento!AG43*Descubrimiento!AG$103+'Rentas SpA'!AG43*'Rentas SpA'!AG$102+'Pza Const'!AG43*'Pza Const'!AG$102+'Pza Arauc'!AG43*'Pza Arauc'!AG$102+RRetail!AG43*RRetail!AG$102+Bucarest!AG43*Bucarest!AG$102+Magdalena!AG43*Magdalena!AG$102+BFC!AG43*BFC!AG$102</f>
        <v>158981785.89999998</v>
      </c>
      <c r="AH43" s="3">
        <f>+Descubrimiento!AH43*Descubrimiento!AH$103+'Rentas SpA'!AH43*'Rentas SpA'!AH$102+'Pza Const'!AH43*'Pza Const'!AH$102+'Pza Arauc'!AH43*'Pza Arauc'!AH$102+RRetail!AH43*RRetail!AH$102+Bucarest!AH43*Bucarest!AH$102+Magdalena!AH43*Magdalena!AH$102+BFC!AH43*BFC!AH$102</f>
        <v>164329051.29999998</v>
      </c>
      <c r="AI43" s="3">
        <f>+Descubrimiento!AI43*Descubrimiento!AI$103+'Rentas SpA'!AI43*'Rentas SpA'!AI$102+'Pza Const'!AI43*'Pza Const'!AI$102+'Pza Arauc'!AI43*'Pza Arauc'!AI$102+RRetail!AI43*RRetail!AI$102+Bucarest!AI43*Bucarest!AI$102+Magdalena!AI43*Magdalena!AI$102+BFC!AI43*BFC!AI$102</f>
        <v>167587104.39999998</v>
      </c>
    </row>
    <row r="44" spans="1:35" x14ac:dyDescent="0.3">
      <c r="A44" s="6" t="s">
        <v>129</v>
      </c>
      <c r="B44" s="7">
        <f t="shared" ref="B44:R44" si="67">+SUM(B40:B43)</f>
        <v>56255208</v>
      </c>
      <c r="C44" s="7">
        <f t="shared" si="67"/>
        <v>54511471</v>
      </c>
      <c r="D44" s="7">
        <f t="shared" si="67"/>
        <v>76725859</v>
      </c>
      <c r="E44" s="7">
        <f t="shared" si="67"/>
        <v>93878493</v>
      </c>
      <c r="F44" s="7">
        <f t="shared" si="67"/>
        <v>67710925</v>
      </c>
      <c r="G44" s="7">
        <f t="shared" ref="G44:I44" si="68">+SUM(G40:G43)</f>
        <v>75594052</v>
      </c>
      <c r="H44" s="7">
        <f t="shared" si="68"/>
        <v>75266510</v>
      </c>
      <c r="I44" s="7">
        <f t="shared" si="68"/>
        <v>90380325</v>
      </c>
      <c r="J44" s="7">
        <f t="shared" si="67"/>
        <v>80720822</v>
      </c>
      <c r="K44" s="7">
        <f t="shared" ref="K44:M44" si="69">+SUM(K40:K43)</f>
        <v>81335321</v>
      </c>
      <c r="L44" s="7">
        <f t="shared" si="69"/>
        <v>77397580</v>
      </c>
      <c r="M44" s="7">
        <f t="shared" si="69"/>
        <v>77548652</v>
      </c>
      <c r="N44" s="7">
        <f t="shared" si="67"/>
        <v>159412479</v>
      </c>
      <c r="O44" s="7">
        <f t="shared" ref="O44:Q44" si="70">+SUM(O40:O43)</f>
        <v>187001877.80000001</v>
      </c>
      <c r="P44" s="7">
        <f t="shared" si="70"/>
        <v>190210428.59999999</v>
      </c>
      <c r="Q44" s="7">
        <f t="shared" si="70"/>
        <v>193265356.19999999</v>
      </c>
      <c r="R44" s="7">
        <f t="shared" si="67"/>
        <v>276943367.19999999</v>
      </c>
      <c r="S44" s="7">
        <f t="shared" ref="S44:U44" si="71">+SUM(S40:S43)</f>
        <v>275803567.79999995</v>
      </c>
      <c r="T44" s="7">
        <f t="shared" si="71"/>
        <v>288296482.89999998</v>
      </c>
      <c r="U44" s="7">
        <f t="shared" si="71"/>
        <v>305637125.5</v>
      </c>
      <c r="V44" s="7">
        <f t="shared" ref="V44:Y44" si="72">+SUM(V40:V43)</f>
        <v>305900285.10000002</v>
      </c>
      <c r="W44" s="7">
        <f t="shared" si="72"/>
        <v>305041073.10000002</v>
      </c>
      <c r="X44" s="7">
        <f t="shared" si="72"/>
        <v>303897918.80000001</v>
      </c>
      <c r="Y44" s="7">
        <f t="shared" si="72"/>
        <v>308822935.10000002</v>
      </c>
      <c r="Z44" s="7">
        <f t="shared" ref="Z44:AA44" si="73">+SUM(Z40:Z43)</f>
        <v>314745407.5</v>
      </c>
      <c r="AA44" s="7">
        <f t="shared" si="73"/>
        <v>334196615.30000001</v>
      </c>
      <c r="AB44" s="7">
        <f t="shared" ref="AB44:AC44" si="74">+SUM(AB40:AB43)</f>
        <v>334350165.09999996</v>
      </c>
      <c r="AC44" s="7">
        <f t="shared" si="74"/>
        <v>353386517.39999998</v>
      </c>
      <c r="AD44" s="7">
        <f t="shared" ref="AD44:AE44" si="75">+SUM(AD40:AD43)</f>
        <v>354420192.39999998</v>
      </c>
      <c r="AE44" s="7">
        <f t="shared" si="75"/>
        <v>359609126.29999995</v>
      </c>
      <c r="AF44" s="7">
        <f t="shared" ref="AF44:AG44" si="76">+SUM(AF40:AF43)</f>
        <v>418378645</v>
      </c>
      <c r="AG44" s="7">
        <f t="shared" si="76"/>
        <v>454649187.29999995</v>
      </c>
      <c r="AH44" s="7">
        <f t="shared" ref="AH44:AI44" si="77">+SUM(AH40:AH43)</f>
        <v>462796138.60000002</v>
      </c>
      <c r="AI44" s="7">
        <f t="shared" si="77"/>
        <v>465976993.59999996</v>
      </c>
    </row>
    <row r="45" spans="1:35" x14ac:dyDescent="0.3">
      <c r="A45" s="8" t="s">
        <v>130</v>
      </c>
      <c r="B45" s="3">
        <f>+Descubrimiento!B45*Descubrimiento!B$103+'Rentas SpA'!B45*'Rentas SpA'!B$102+'Pza Const'!B45*'Pza Const'!B$102+'Pza Arauc'!B45*'Pza Arauc'!B$102+RRetail!B45*RRetail!B$102+Bucarest!B45*Bucarest!B$102+Magdalena!B45*Magdalena!B$102+BFC!B45*BFC!B$102</f>
        <v>824</v>
      </c>
      <c r="C45" s="3">
        <f>+Descubrimiento!C45*Descubrimiento!C$103+'Rentas SpA'!C45*'Rentas SpA'!C$102+'Pza Const'!C45*'Pza Const'!C$102+'Pza Arauc'!C45*'Pza Arauc'!C$102+RRetail!C45*RRetail!C$102+Bucarest!C45*Bucarest!C$102+Magdalena!C45*Magdalena!C$102+BFC!C45*BFC!C$102</f>
        <v>839</v>
      </c>
      <c r="D45" s="3">
        <f>+Descubrimiento!D45*Descubrimiento!D$103+'Rentas SpA'!D45*'Rentas SpA'!D$102+'Pza Const'!D45*'Pza Const'!D$102+'Pza Arauc'!D45*'Pza Arauc'!D$102+RRetail!D45*RRetail!D$102+Bucarest!D45*Bucarest!D$102+Magdalena!D45*Magdalena!D$102+BFC!D45*BFC!D$102</f>
        <v>-30</v>
      </c>
      <c r="E45" s="3">
        <f>+Descubrimiento!E45*Descubrimiento!E$103+'Rentas SpA'!E45*'Rentas SpA'!E$102+'Pza Const'!E45*'Pza Const'!E$102+'Pza Arauc'!E45*'Pza Arauc'!E$102+RRetail!E45*RRetail!E$102+Bucarest!E45*Bucarest!E$102+Magdalena!E45*Magdalena!E$102+BFC!E45*BFC!E$102</f>
        <v>-30</v>
      </c>
      <c r="F45" s="3">
        <f>+Descubrimiento!F45*Descubrimiento!F$103+'Rentas SpA'!F45*'Rentas SpA'!F$102+'Pza Const'!F45*'Pza Const'!F$102+'Pza Arauc'!F45*'Pza Arauc'!F$102+RRetail!F45*RRetail!F$102+Bucarest!F45*Bucarest!F$102+Magdalena!F45*Magdalena!F$102+BFC!F45*BFC!F$102</f>
        <v>-36</v>
      </c>
      <c r="G45" s="3">
        <f>+Descubrimiento!G45*Descubrimiento!G$103+'Rentas SpA'!G45*'Rentas SpA'!G$102+'Pza Const'!G45*'Pza Const'!G$102+'Pza Arauc'!G45*'Pza Arauc'!G$102+RRetail!G45*RRetail!G$102+Bucarest!G45*Bucarest!G$102+Magdalena!G45*Magdalena!G$102+BFC!G45*BFC!G$102</f>
        <v>0</v>
      </c>
      <c r="H45" s="3">
        <f>+Descubrimiento!H45*Descubrimiento!H$103+'Rentas SpA'!H45*'Rentas SpA'!H$102+'Pza Const'!H45*'Pza Const'!H$102+'Pza Arauc'!H45*'Pza Arauc'!H$102+RRetail!H45*RRetail!H$102+Bucarest!H45*Bucarest!H$102+Magdalena!H45*Magdalena!H$102+BFC!H45*BFC!H$102</f>
        <v>0</v>
      </c>
      <c r="I45" s="3">
        <f>+Descubrimiento!I45*Descubrimiento!I$103+'Rentas SpA'!I45*'Rentas SpA'!I$102+'Pza Const'!I45*'Pza Const'!I$102+'Pza Arauc'!I45*'Pza Arauc'!I$102+RRetail!I45*RRetail!I$102+Bucarest!I45*Bucarest!I$102+Magdalena!I45*Magdalena!I$102+BFC!I45*BFC!I$102</f>
        <v>0</v>
      </c>
      <c r="J45" s="3">
        <f>+Descubrimiento!J45*Descubrimiento!J$103+'Rentas SpA'!J45*'Rentas SpA'!J$102+'Pza Const'!J45*'Pza Const'!J$102+'Pza Arauc'!J45*'Pza Arauc'!J$102+RRetail!J45*RRetail!J$102+Bucarest!J45*Bucarest!J$102+Magdalena!J45*Magdalena!J$102+BFC!J45*BFC!J$102</f>
        <v>-40</v>
      </c>
      <c r="K45" s="3">
        <f>+Descubrimiento!K45*Descubrimiento!K$103+'Rentas SpA'!K45*'Rentas SpA'!K$102+'Pza Const'!K45*'Pza Const'!K$102+'Pza Arauc'!K45*'Pza Arauc'!K$102+RRetail!K45*RRetail!K$102+Bucarest!K45*Bucarest!K$102+Magdalena!K45*Magdalena!K$102+BFC!K45*BFC!K$102</f>
        <v>0</v>
      </c>
      <c r="L45" s="3">
        <f>+Descubrimiento!L45*Descubrimiento!L$103+'Rentas SpA'!L45*'Rentas SpA'!L$102+'Pza Const'!L45*'Pza Const'!L$102+'Pza Arauc'!L45*'Pza Arauc'!L$102+RRetail!L45*RRetail!L$102+Bucarest!L45*Bucarest!L$102+Magdalena!L45*Magdalena!L$102+BFC!L45*BFC!L$102</f>
        <v>0</v>
      </c>
      <c r="M45" s="3">
        <f>+Descubrimiento!M45*Descubrimiento!M$103+'Rentas SpA'!M45*'Rentas SpA'!M$102+'Pza Const'!M45*'Pza Const'!M$102+'Pza Arauc'!M45*'Pza Arauc'!M$102+RRetail!M45*RRetail!M$102+Bucarest!M45*Bucarest!M$102+Magdalena!M45*Magdalena!M$102+BFC!M45*BFC!M$102</f>
        <v>0</v>
      </c>
      <c r="N45" s="3">
        <f>+Descubrimiento!N45*Descubrimiento!N$103+'Rentas SpA'!N45*'Rentas SpA'!N$102+'Pza Const'!N45*'Pza Const'!N$102+'Pza Arauc'!N45*'Pza Arauc'!N$102+RRetail!N45*RRetail!N$102+Bucarest!N45*Bucarest!N$102+Magdalena!N45*Magdalena!N$102+BFC!N45*BFC!N$102</f>
        <v>-38</v>
      </c>
      <c r="O45" s="3">
        <f>+Descubrimiento!O45*Descubrimiento!O$103+'Rentas SpA'!O45*'Rentas SpA'!O$102+'Pza Const'!O45*'Pza Const'!O$102+'Pza Arauc'!O45*'Pza Arauc'!O$102+RRetail!O45*RRetail!O$102+Bucarest!O45*Bucarest!O$102+Magdalena!O45*Magdalena!O$102+BFC!O45*BFC!O$102</f>
        <v>0</v>
      </c>
      <c r="P45" s="3">
        <f>+Descubrimiento!P45*Descubrimiento!P$103+'Rentas SpA'!P45*'Rentas SpA'!P$102+'Pza Const'!P45*'Pza Const'!P$102+'Pza Arauc'!P45*'Pza Arauc'!P$102+RRetail!P45*RRetail!P$102+Bucarest!P45*Bucarest!P$102+Magdalena!P45*Magdalena!P$102+BFC!P45*BFC!P$102</f>
        <v>0</v>
      </c>
      <c r="Q45" s="3">
        <f>+Descubrimiento!Q45*Descubrimiento!Q$103+'Rentas SpA'!Q45*'Rentas SpA'!Q$102+'Pza Const'!Q45*'Pza Const'!Q$102+'Pza Arauc'!Q45*'Pza Arauc'!Q$102+RRetail!Q45*RRetail!Q$102+Bucarest!Q45*Bucarest!Q$102+Magdalena!Q45*Magdalena!Q$102+BFC!Q45*BFC!Q$102</f>
        <v>0</v>
      </c>
      <c r="R45" s="3">
        <f>+Descubrimiento!R45*Descubrimiento!R$103+'Rentas SpA'!R45*'Rentas SpA'!R$102+'Pza Const'!R45*'Pza Const'!R$102+'Pza Arauc'!R45*'Pza Arauc'!R$102+RRetail!R45*RRetail!R$102+Bucarest!R45*Bucarest!R$102+Magdalena!R45*Magdalena!R$102+BFC!R45*BFC!R$102</f>
        <v>-45</v>
      </c>
      <c r="S45" s="3">
        <f>+Descubrimiento!S45*Descubrimiento!S$103+'Rentas SpA'!S45*'Rentas SpA'!S$102+'Pza Const'!S45*'Pza Const'!S$102+'Pza Arauc'!S45*'Pza Arauc'!S$102+RRetail!S45*RRetail!S$102+Bucarest!S45*Bucarest!S$102+Magdalena!S45*Magdalena!S$102+BFC!S45*BFC!S$102</f>
        <v>0</v>
      </c>
      <c r="T45" s="3">
        <f>+Descubrimiento!T45*Descubrimiento!T$103+'Rentas SpA'!T45*'Rentas SpA'!T$102+'Pza Const'!T45*'Pza Const'!T$102+'Pza Arauc'!T45*'Pza Arauc'!T$102+RRetail!T45*RRetail!T$102+Bucarest!T45*Bucarest!T$102+Magdalena!T45*Magdalena!T$102+BFC!T45*BFC!T$102</f>
        <v>0</v>
      </c>
      <c r="U45" s="3">
        <f>+Descubrimiento!U45*Descubrimiento!U$103+'Rentas SpA'!U45*'Rentas SpA'!U$102+'Pza Const'!U45*'Pza Const'!U$102+'Pza Arauc'!U45*'Pza Arauc'!U$102+RRetail!U45*RRetail!U$102+Bucarest!U45*Bucarest!U$102+Magdalena!U45*Magdalena!U$102+BFC!U45*BFC!U$102</f>
        <v>0</v>
      </c>
      <c r="V45" s="3">
        <f>+Descubrimiento!V45*Descubrimiento!V$103+'Rentas SpA'!V45*'Rentas SpA'!V$102+'Pza Const'!V45*'Pza Const'!V$102+'Pza Arauc'!V45*'Pza Arauc'!V$102+RRetail!V45*RRetail!V$102+Bucarest!V45*Bucarest!V$102+Magdalena!V45*Magdalena!V$102+BFC!V45*BFC!V$102</f>
        <v>-46</v>
      </c>
      <c r="W45" s="3">
        <f>+Descubrimiento!W45*Descubrimiento!W$103+'Rentas SpA'!W45*'Rentas SpA'!W$102+'Pza Const'!W45*'Pza Const'!W$102+'Pza Arauc'!W45*'Pza Arauc'!W$102+RRetail!W45*RRetail!W$102+Bucarest!W45*Bucarest!W$102+Magdalena!W45*Magdalena!W$102+BFC!W45*BFC!W$102</f>
        <v>0</v>
      </c>
      <c r="X45" s="3">
        <f>+Descubrimiento!X45*Descubrimiento!X$103+'Rentas SpA'!X45*'Rentas SpA'!X$102+'Pza Const'!X45*'Pza Const'!X$102+'Pza Arauc'!X45*'Pza Arauc'!X$102+RRetail!X45*RRetail!X$102+Bucarest!X45*Bucarest!X$102+Magdalena!X45*Magdalena!X$102+BFC!X45*BFC!X$102</f>
        <v>0</v>
      </c>
      <c r="Y45" s="3">
        <f>+Descubrimiento!Y45*Descubrimiento!Y$103+'Rentas SpA'!Y45*'Rentas SpA'!Y$102+'Pza Const'!Y45*'Pza Const'!Y$102+'Pza Arauc'!Y45*'Pza Arauc'!Y$102+RRetail!Y45*RRetail!Y$102+Bucarest!Y45*Bucarest!Y$102+Magdalena!Y45*Magdalena!Y$102+BFC!Y45*BFC!Y$102</f>
        <v>0</v>
      </c>
      <c r="Z45" s="3">
        <f>+Descubrimiento!Z45*Descubrimiento!Z$103+'Rentas SpA'!Z45*'Rentas SpA'!Z$102+'Pza Const'!Z45*'Pza Const'!Z$102+'Pza Arauc'!Z45*'Pza Arauc'!Z$102+RRetail!Z45*RRetail!Z$102+Bucarest!Z45*Bucarest!Z$102+Magdalena!Z45*Magdalena!Z$102+BFC!Z45*BFC!Z$102</f>
        <v>3872305</v>
      </c>
      <c r="AA45" s="3">
        <f>+Descubrimiento!AA45*Descubrimiento!AA$103+'Rentas SpA'!AA45*'Rentas SpA'!AA$102+'Pza Const'!AA45*'Pza Const'!AA$102+'Pza Arauc'!AA45*'Pza Arauc'!AA$102+RRetail!AA45*RRetail!AA$102+Bucarest!AA45*Bucarest!AA$102+Magdalena!AA45*Magdalena!AA$102+BFC!AA45*BFC!AA$102</f>
        <v>0</v>
      </c>
      <c r="AB45" s="3">
        <f>+Descubrimiento!AB45*Descubrimiento!AB$103+'Rentas SpA'!AB45*'Rentas SpA'!AB$102+'Pza Const'!AB45*'Pza Const'!AB$102+'Pza Arauc'!AB45*'Pza Arauc'!AB$102+RRetail!AB45*RRetail!AB$102+Bucarest!AB45*Bucarest!AB$102+Magdalena!AB45*Magdalena!AB$102+BFC!AB45*BFC!AB$102</f>
        <v>0</v>
      </c>
      <c r="AC45" s="3">
        <f>+Descubrimiento!AC45*Descubrimiento!AC$103+'Rentas SpA'!AC45*'Rentas SpA'!AC$102+'Pza Const'!AC45*'Pza Const'!AC$102+'Pza Arauc'!AC45*'Pza Arauc'!AC$102+RRetail!AC45*RRetail!AC$102+Bucarest!AC45*Bucarest!AC$102+Magdalena!AC45*Magdalena!AC$102+BFC!AC45*BFC!AC$102</f>
        <v>0</v>
      </c>
      <c r="AD45" s="3">
        <f>+Descubrimiento!AD45*Descubrimiento!AD$103+'Rentas SpA'!AD45*'Rentas SpA'!AD$102+'Pza Const'!AD45*'Pza Const'!AD$102+'Pza Arauc'!AD45*'Pza Arauc'!AD$102+RRetail!AD45*RRetail!AD$102+Bucarest!AD45*Bucarest!AD$102+Magdalena!AD45*Magdalena!AD$102+BFC!AD45*BFC!AD$102</f>
        <v>2813231</v>
      </c>
      <c r="AE45" s="3">
        <f>+Descubrimiento!AE45*Descubrimiento!AE$103+'Rentas SpA'!AE45*'Rentas SpA'!AE$102+'Pza Const'!AE45*'Pza Const'!AE$102+'Pza Arauc'!AE45*'Pza Arauc'!AE$102+RRetail!AE45*RRetail!AE$102+Bucarest!AE45*Bucarest!AE$102+Magdalena!AE45*Magdalena!AE$102+BFC!AE45*BFC!AE$102</f>
        <v>0</v>
      </c>
      <c r="AF45" s="3">
        <f>+Descubrimiento!AF45*Descubrimiento!AF$103+'Rentas SpA'!AF45*'Rentas SpA'!AF$102+'Pza Const'!AF45*'Pza Const'!AF$102+'Pza Arauc'!AF45*'Pza Arauc'!AF$102+RRetail!AF45*RRetail!AF$102+Bucarest!AF45*Bucarest!AF$102+Magdalena!AF45*Magdalena!AF$102+BFC!AF45*BFC!AF$102</f>
        <v>0</v>
      </c>
      <c r="AG45" s="3">
        <f>+Descubrimiento!AG45*Descubrimiento!AG$103+'Rentas SpA'!AG45*'Rentas SpA'!AG$102+'Pza Const'!AG45*'Pza Const'!AG$102+'Pza Arauc'!AG45*'Pza Arauc'!AG$102+RRetail!AG45*RRetail!AG$102+Bucarest!AG45*Bucarest!AG$102+Magdalena!AG45*Magdalena!AG$102+BFC!AG45*BFC!AG$102</f>
        <v>0</v>
      </c>
      <c r="AH45" s="3">
        <f>+Descubrimiento!AH45*Descubrimiento!AH$103+'Rentas SpA'!AH45*'Rentas SpA'!AH$102+'Pza Const'!AH45*'Pza Const'!AH$102+'Pza Arauc'!AH45*'Pza Arauc'!AH$102+RRetail!AH45*RRetail!AH$102+Bucarest!AH45*Bucarest!AH$102+Magdalena!AH45*Magdalena!AH$102+BFC!AH45*BFC!AH$102</f>
        <v>2688733</v>
      </c>
      <c r="AI45" s="3">
        <f>+Descubrimiento!AI45*Descubrimiento!AI$103+'Rentas SpA'!AI45*'Rentas SpA'!AI$102+'Pza Const'!AI45*'Pza Const'!AI$102+'Pza Arauc'!AI45*'Pza Arauc'!AI$102+RRetail!AI45*RRetail!AI$102+Bucarest!AI45*Bucarest!AI$102+Magdalena!AI45*Magdalena!AI$102+BFC!AI45*BFC!AI$102</f>
        <v>0</v>
      </c>
    </row>
    <row r="46" spans="1:35" x14ac:dyDescent="0.3">
      <c r="A46" s="6" t="s">
        <v>131</v>
      </c>
      <c r="B46" s="7">
        <f>+B44+B39+B45</f>
        <v>354886636</v>
      </c>
      <c r="C46" s="7">
        <f t="shared" ref="C46:R46" si="78">+C44+C39+C45</f>
        <v>391178029.5</v>
      </c>
      <c r="D46" s="7">
        <f t="shared" si="78"/>
        <v>459811625</v>
      </c>
      <c r="E46" s="7">
        <f t="shared" si="78"/>
        <v>507051579</v>
      </c>
      <c r="F46" s="7">
        <f t="shared" si="78"/>
        <v>510602912</v>
      </c>
      <c r="G46" s="7">
        <f t="shared" ref="G46:I46" si="79">+G44+G39+G45</f>
        <v>509286309</v>
      </c>
      <c r="H46" s="7">
        <f t="shared" si="79"/>
        <v>515303441</v>
      </c>
      <c r="I46" s="7">
        <f t="shared" si="79"/>
        <v>547362201</v>
      </c>
      <c r="J46" s="7">
        <f t="shared" si="78"/>
        <v>533867954</v>
      </c>
      <c r="K46" s="7">
        <f t="shared" ref="K46:M46" si="80">+K44+K39+K45</f>
        <v>540816158</v>
      </c>
      <c r="L46" s="7">
        <f t="shared" si="80"/>
        <v>540900635</v>
      </c>
      <c r="M46" s="7">
        <f t="shared" si="80"/>
        <v>547127602</v>
      </c>
      <c r="N46" s="7">
        <f t="shared" si="78"/>
        <v>762539585.99999988</v>
      </c>
      <c r="O46" s="7">
        <f t="shared" ref="O46:Q46" si="81">+O44+O39+O45</f>
        <v>774298011.4000001</v>
      </c>
      <c r="P46" s="7">
        <f t="shared" si="81"/>
        <v>780950832.80000007</v>
      </c>
      <c r="Q46" s="7">
        <f t="shared" si="81"/>
        <v>790158439</v>
      </c>
      <c r="R46" s="7">
        <f t="shared" si="78"/>
        <v>976583705.5</v>
      </c>
      <c r="S46" s="7">
        <f t="shared" ref="S46:U46" si="82">+S44+S39+S45</f>
        <v>1015787550.0999999</v>
      </c>
      <c r="T46" s="7">
        <f t="shared" si="82"/>
        <v>1075575537.4000001</v>
      </c>
      <c r="U46" s="7">
        <f t="shared" si="82"/>
        <v>1127832334.5999999</v>
      </c>
      <c r="V46" s="7">
        <f t="shared" ref="V46:Y46" si="83">+V44+V39+V45</f>
        <v>1131256054.8</v>
      </c>
      <c r="W46" s="7">
        <f t="shared" si="83"/>
        <v>1147835743.5</v>
      </c>
      <c r="X46" s="7">
        <f t="shared" si="83"/>
        <v>1120315022.2</v>
      </c>
      <c r="Y46" s="7">
        <f t="shared" si="83"/>
        <v>1134141466.1000001</v>
      </c>
      <c r="Z46" s="7">
        <f t="shared" ref="Z46:AA46" si="84">+Z44+Z39+Z45</f>
        <v>1158336053.1999998</v>
      </c>
      <c r="AA46" s="7">
        <f t="shared" si="84"/>
        <v>1223835878.5</v>
      </c>
      <c r="AB46" s="7">
        <f t="shared" ref="AB46:AC46" si="85">+AB44+AB39+AB45</f>
        <v>1232406667.0999999</v>
      </c>
      <c r="AC46" s="7">
        <f t="shared" si="85"/>
        <v>1264199356.7</v>
      </c>
      <c r="AD46" s="7">
        <f t="shared" ref="AD46:AE46" si="86">+AD44+AD39+AD45</f>
        <v>1272487047.9000001</v>
      </c>
      <c r="AE46" s="7">
        <f t="shared" si="86"/>
        <v>1302854237.5</v>
      </c>
      <c r="AF46" s="7">
        <f t="shared" ref="AF46:AG46" si="87">+AF44+AF39+AF45</f>
        <v>1325019093.4000001</v>
      </c>
      <c r="AG46" s="7">
        <f t="shared" si="87"/>
        <v>1372685294.5</v>
      </c>
      <c r="AH46" s="7">
        <f t="shared" ref="AH46:AI46" si="88">+AH44+AH39+AH45</f>
        <v>1387284120.9000001</v>
      </c>
      <c r="AI46" s="7">
        <f t="shared" si="88"/>
        <v>1388550398.3999999</v>
      </c>
    </row>
    <row r="47" spans="1:35" x14ac:dyDescent="0.3">
      <c r="A47" s="1" t="s">
        <v>38</v>
      </c>
      <c r="B47" s="4">
        <f>+B46-B22</f>
        <v>0</v>
      </c>
      <c r="C47" s="4">
        <f t="shared" ref="C47:R47" si="89">+C46-C22</f>
        <v>0</v>
      </c>
      <c r="D47" s="4">
        <f t="shared" si="89"/>
        <v>0</v>
      </c>
      <c r="E47" s="4">
        <f t="shared" si="89"/>
        <v>0</v>
      </c>
      <c r="F47" s="4">
        <f t="shared" si="89"/>
        <v>0</v>
      </c>
      <c r="G47" s="4">
        <f t="shared" ref="G47:I47" si="90">+G46-G22</f>
        <v>0</v>
      </c>
      <c r="H47" s="4">
        <f t="shared" si="90"/>
        <v>0</v>
      </c>
      <c r="I47" s="4">
        <f t="shared" si="90"/>
        <v>0</v>
      </c>
      <c r="J47" s="4">
        <f t="shared" si="89"/>
        <v>0</v>
      </c>
      <c r="K47" s="4">
        <f t="shared" ref="K47:M47" si="91">+K46-K22</f>
        <v>0</v>
      </c>
      <c r="L47" s="4">
        <f t="shared" si="91"/>
        <v>0</v>
      </c>
      <c r="M47" s="4">
        <f t="shared" si="91"/>
        <v>0</v>
      </c>
      <c r="N47" s="4">
        <f t="shared" si="89"/>
        <v>0</v>
      </c>
      <c r="O47" s="4">
        <f t="shared" ref="O47:Q47" si="92">+O46-O22</f>
        <v>0</v>
      </c>
      <c r="P47" s="4">
        <f t="shared" si="92"/>
        <v>0</v>
      </c>
      <c r="Q47" s="4">
        <f t="shared" si="92"/>
        <v>0</v>
      </c>
      <c r="R47" s="4">
        <f t="shared" si="89"/>
        <v>0</v>
      </c>
      <c r="S47" s="4">
        <f t="shared" ref="S47:U47" si="93">+S46-S22</f>
        <v>0</v>
      </c>
      <c r="T47" s="4">
        <f t="shared" si="93"/>
        <v>0</v>
      </c>
      <c r="U47" s="4">
        <f t="shared" si="93"/>
        <v>0</v>
      </c>
      <c r="V47" s="4">
        <f t="shared" ref="V47:Y47" si="94">+V46-V22</f>
        <v>0</v>
      </c>
      <c r="W47" s="4">
        <f t="shared" si="94"/>
        <v>0</v>
      </c>
      <c r="X47" s="4">
        <f t="shared" si="94"/>
        <v>0</v>
      </c>
      <c r="Y47" s="4">
        <f t="shared" si="94"/>
        <v>0</v>
      </c>
      <c r="Z47" s="4">
        <f t="shared" ref="Z47:AA47" si="95">+Z46-Z22</f>
        <v>0</v>
      </c>
      <c r="AA47" s="4">
        <f t="shared" si="95"/>
        <v>0</v>
      </c>
      <c r="AB47" s="4">
        <f t="shared" ref="AB47:AC47" si="96">+AB46-AB22</f>
        <v>0</v>
      </c>
      <c r="AC47" s="4">
        <f t="shared" si="96"/>
        <v>0</v>
      </c>
      <c r="AD47" s="4">
        <f t="shared" ref="AD47:AE47" si="97">+AD46-AD22</f>
        <v>0</v>
      </c>
      <c r="AE47" s="4">
        <f t="shared" si="97"/>
        <v>0</v>
      </c>
      <c r="AF47" s="4">
        <f t="shared" ref="AF47:AG47" si="98">+AF46-AF22</f>
        <v>0</v>
      </c>
      <c r="AG47" s="4">
        <f t="shared" si="98"/>
        <v>0</v>
      </c>
      <c r="AH47" s="4">
        <f t="shared" ref="AH47:AI47" si="99">+AH46-AH22</f>
        <v>0</v>
      </c>
      <c r="AI47" s="4">
        <f t="shared" si="99"/>
        <v>0</v>
      </c>
    </row>
    <row r="48" spans="1:35" ht="18" x14ac:dyDescent="0.35">
      <c r="A48" s="15" t="s">
        <v>132</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1:35"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
      <c r="A50" s="1" t="s">
        <v>134</v>
      </c>
      <c r="B50" s="3">
        <f>+Descubrimiento!B50*Descubrimiento!B$103+'Rentas SpA'!B50*'Rentas SpA'!B$102+'Pza Const'!B50*'Pza Const'!B$102+'Pza Arauc'!B50*'Pza Arauc'!B$102+RRetail!B50*RRetail!B$102+Bucarest!B50*Bucarest!B$102+Magdalena!B50*Magdalena!B$102+BFC!B50*BFC!B$102</f>
        <v>22168750.5</v>
      </c>
      <c r="C50" s="3">
        <f>+Descubrimiento!C50*Descubrimiento!C$103+'Rentas SpA'!C50*'Rentas SpA'!C$102+'Pza Const'!C50*'Pza Const'!C$102+'Pza Arauc'!C50*'Pza Arauc'!C$102+RRetail!C50*RRetail!C$102+Bucarest!C50*Bucarest!C$102+Magdalena!C50*Magdalena!C$102+BFC!C50*BFC!C$102</f>
        <v>23669468</v>
      </c>
      <c r="D50" s="3">
        <f>+Descubrimiento!D50*Descubrimiento!D$103+'Rentas SpA'!D50*'Rentas SpA'!D$102+'Pza Const'!D50*'Pza Const'!D$102+'Pza Arauc'!D50*'Pza Arauc'!D$102+RRetail!D50*RRetail!D$102+Bucarest!D50*Bucarest!D$102+Magdalena!D50*Magdalena!D$102+BFC!D50*BFC!D$102</f>
        <v>27601254</v>
      </c>
      <c r="E50" s="3">
        <f>+Descubrimiento!E50*Descubrimiento!E$103+'Rentas SpA'!E50*'Rentas SpA'!E$102+'Pza Const'!E50*'Pza Const'!E$102+'Pza Arauc'!E50*'Pza Arauc'!E$102+RRetail!E50*RRetail!E$102+Bucarest!E50*Bucarest!E$102+Magdalena!E50*Magdalena!E$102+BFC!E50*BFC!E$102</f>
        <v>29411356</v>
      </c>
      <c r="F50" s="3">
        <f>+Descubrimiento!F50*Descubrimiento!F$103+'Rentas SpA'!F50*'Rentas SpA'!F$102+'Pza Const'!F50*'Pza Const'!F$102+'Pza Arauc'!F50*'Pza Arauc'!F$102+RRetail!F50*RRetail!F$102+Bucarest!F50*Bucarest!F$102+Magdalena!F50*Magdalena!F$102+BFC!F50*BFC!F$102</f>
        <v>32479652</v>
      </c>
      <c r="G50" s="3">
        <f>+Descubrimiento!G50*Descubrimiento!G$103+'Rentas SpA'!G50*'Rentas SpA'!G$102+'Pza Const'!G50*'Pza Const'!G$102+'Pza Arauc'!G50*'Pza Arauc'!G$102+RRetail!G50*RRetail!G$102+Bucarest!G50*Bucarest!G$102+Magdalena!G50*Magdalena!G$102+BFC!G50*BFC!G$102</f>
        <v>7348755</v>
      </c>
      <c r="H50" s="3">
        <f>+Descubrimiento!H50*Descubrimiento!H$103+'Rentas SpA'!H50*'Rentas SpA'!H$102+'Pza Const'!H50*'Pza Const'!H$102+'Pza Arauc'!H50*'Pza Arauc'!H$102+RRetail!H50*RRetail!H$102+Bucarest!H50*Bucarest!H$102+Magdalena!H50*Magdalena!H$102+BFC!H50*BFC!H$102</f>
        <v>14716835</v>
      </c>
      <c r="I50" s="3">
        <f>+Descubrimiento!I50*Descubrimiento!I$103+'Rentas SpA'!I50*'Rentas SpA'!I$102+'Pza Const'!I50*'Pza Const'!I$102+'Pza Arauc'!I50*'Pza Arauc'!I$102+RRetail!I50*RRetail!I$102+Bucarest!I50*Bucarest!I$102+Magdalena!I50*Magdalena!I$102+BFC!I50*BFC!I$102</f>
        <v>22240226</v>
      </c>
      <c r="J50" s="3">
        <f>+Descubrimiento!J50*Descubrimiento!J$103+'Rentas SpA'!J50*'Rentas SpA'!J$102+'Pza Const'!J50*'Pza Const'!J$102+'Pza Arauc'!J50*'Pza Arauc'!J$102+RRetail!J50*RRetail!J$102+Bucarest!J50*Bucarest!J$102+Magdalena!J50*Magdalena!J$102+BFC!J50*BFC!J$102</f>
        <v>30076420</v>
      </c>
      <c r="K50" s="3">
        <f>+Descubrimiento!K50*Descubrimiento!K$103+'Rentas SpA'!K50*'Rentas SpA'!K$102+'Pza Const'!K50*'Pza Const'!K$102+'Pza Arauc'!K50*'Pza Arauc'!K$102+RRetail!K50*RRetail!K$102+Bucarest!K50*Bucarest!K$102+Magdalena!K50*Magdalena!K$102+BFC!K50*BFC!K$102</f>
        <v>7791659</v>
      </c>
      <c r="L50" s="3">
        <f>+Descubrimiento!L50*Descubrimiento!L$103+'Rentas SpA'!L50*'Rentas SpA'!L$102+'Pza Const'!L50*'Pza Const'!L$102+'Pza Arauc'!L50*'Pza Arauc'!L$102+RRetail!L50*RRetail!L$102+Bucarest!L50*Bucarest!L$102+Magdalena!L50*Magdalena!L$102+BFC!L50*BFC!L$102</f>
        <v>15456582</v>
      </c>
      <c r="M50" s="3">
        <f>+Descubrimiento!M50*Descubrimiento!M$103+'Rentas SpA'!M50*'Rentas SpA'!M$102+'Pza Const'!M50*'Pza Const'!M$102+'Pza Arauc'!M50*'Pza Arauc'!M$102+RRetail!M50*RRetail!M$102+Bucarest!M50*Bucarest!M$102+Magdalena!M50*Magdalena!M$102+BFC!M50*BFC!M$102</f>
        <v>22987754</v>
      </c>
      <c r="N50" s="3">
        <f>+Descubrimiento!N50*Descubrimiento!N$103+'Rentas SpA'!N50*'Rentas SpA'!N$102+'Pza Const'!N50*'Pza Const'!N$102+'Pza Arauc'!N50*'Pza Arauc'!N$102+RRetail!N50*RRetail!N$102+Bucarest!N50*Bucarest!N$102+Magdalena!N50*Magdalena!N$102+BFC!N50*BFC!N$102</f>
        <v>43866088.399999999</v>
      </c>
      <c r="O50" s="3">
        <f>+Descubrimiento!O50*Descubrimiento!O$103+'Rentas SpA'!O50*'Rentas SpA'!O$102+'Pza Const'!O50*'Pza Const'!O$102+'Pza Arauc'!O50*'Pza Arauc'!O$102+RRetail!O50*RRetail!O$102+Bucarest!O50*Bucarest!O$102+Magdalena!O50*Magdalena!O$102+BFC!O50*BFC!O$102</f>
        <v>11967897.4</v>
      </c>
      <c r="P50" s="3">
        <f>+Descubrimiento!P50*Descubrimiento!P$103+'Rentas SpA'!P50*'Rentas SpA'!P$102+'Pza Const'!P50*'Pza Const'!P$102+'Pza Arauc'!P50*'Pza Arauc'!P$102+RRetail!P50*RRetail!P$102+Bucarest!P50*Bucarest!P$102+Magdalena!P50*Magdalena!P$102+BFC!P50*BFC!P$102</f>
        <v>23267018</v>
      </c>
      <c r="Q50" s="3">
        <f>+Descubrimiento!Q50*Descubrimiento!Q$103+'Rentas SpA'!Q50*'Rentas SpA'!Q$102+'Pza Const'!Q50*'Pza Const'!Q$102+'Pza Arauc'!Q50*'Pza Arauc'!Q$102+RRetail!Q50*RRetail!Q$102+Bucarest!Q50*Bucarest!Q$102+Magdalena!Q50*Magdalena!Q$102+BFC!Q50*BFC!Q$102</f>
        <v>35328767.399999999</v>
      </c>
      <c r="R50" s="3">
        <f>+Descubrimiento!R50*Descubrimiento!R$103+'Rentas SpA'!R50*'Rentas SpA'!R$102+'Pza Const'!R50*'Pza Const'!R$102+'Pza Arauc'!R50*'Pza Arauc'!R$102+RRetail!R50*RRetail!R$102+Bucarest!R50*Bucarest!R$102+Magdalena!R50*Magdalena!R$102+BFC!R50*BFC!R$102</f>
        <v>57833491.299999997</v>
      </c>
      <c r="S50" s="3">
        <f>+Descubrimiento!S50*Descubrimiento!S$103+'Rentas SpA'!S50*'Rentas SpA'!S$102+'Pza Const'!S50*'Pza Const'!S$102+'Pza Arauc'!S50*'Pza Arauc'!S$102+RRetail!S50*RRetail!S$102+Bucarest!S50*Bucarest!S$102+Magdalena!S50*Magdalena!S$102+BFC!S50*BFC!S$102</f>
        <v>14666823.1</v>
      </c>
      <c r="T50" s="3">
        <f>+Descubrimiento!T50*Descubrimiento!T$103+'Rentas SpA'!T50*'Rentas SpA'!T$102+'Pza Const'!T50*'Pza Const'!T$102+'Pza Arauc'!T50*'Pza Arauc'!T$102+RRetail!T50*RRetail!T$102+Bucarest!T50*Bucarest!T$102+Magdalena!T50*Magdalena!T$102+BFC!T50*BFC!T$102</f>
        <v>31593732.100000001</v>
      </c>
      <c r="U50" s="3">
        <f>+Descubrimiento!U50*Descubrimiento!U$103+'Rentas SpA'!U50*'Rentas SpA'!U$102+'Pza Const'!U50*'Pza Const'!U$102+'Pza Arauc'!U50*'Pza Arauc'!U$102+RRetail!U50*RRetail!U$102+Bucarest!U50*Bucarest!U$102+Magdalena!U50*Magdalena!U$102+BFC!U50*BFC!U$102</f>
        <v>48561755.399999999</v>
      </c>
      <c r="V50" s="3">
        <f>+Descubrimiento!V50*Descubrimiento!V$103+'Rentas SpA'!V50*'Rentas SpA'!V$102+'Pza Const'!V50*'Pza Const'!V$102+'Pza Arauc'!V50*'Pza Arauc'!V$102+RRetail!V50*RRetail!V$102+Bucarest!V50*Bucarest!V$102+Magdalena!V50*Magdalena!V$102+BFC!V50*BFC!V$102</f>
        <v>64362248.299999997</v>
      </c>
      <c r="W50" s="3">
        <f>+Descubrimiento!W50*Descubrimiento!W$103+'Rentas SpA'!W50*'Rentas SpA'!W$102+'Pza Const'!W50*'Pza Const'!W$102+'Pza Arauc'!W50*'Pza Arauc'!W$102+RRetail!W50*RRetail!W$102+Bucarest!W50*Bucarest!W$102+Magdalena!W50*Magdalena!W$102+BFC!W50*BFC!W$102</f>
        <v>17391705.600000001</v>
      </c>
      <c r="X50" s="3">
        <f>+Descubrimiento!X50*Descubrimiento!X$103+'Rentas SpA'!X50*'Rentas SpA'!X$102+'Pza Const'!X50*'Pza Const'!X$102+'Pza Arauc'!X50*'Pza Arauc'!X$102+RRetail!X50*RRetail!X$102+Bucarest!X50*Bucarest!X$102+Magdalena!X50*Magdalena!X$102+BFC!X50*BFC!X$102</f>
        <v>35121689.299999997</v>
      </c>
      <c r="Y50" s="3">
        <f>+Descubrimiento!Y50*Descubrimiento!Y$103+'Rentas SpA'!Y50*'Rentas SpA'!Y$102+'Pza Const'!Y50*'Pza Const'!Y$102+'Pza Arauc'!Y50*'Pza Arauc'!Y$102+RRetail!Y50*RRetail!Y$102+Bucarest!Y50*Bucarest!Y$102+Magdalena!Y50*Magdalena!Y$102+BFC!Y50*BFC!Y$102</f>
        <v>53040421.899999999</v>
      </c>
      <c r="Z50" s="3">
        <f>+Descubrimiento!Z50*Descubrimiento!Z$103+'Rentas SpA'!Z50*'Rentas SpA'!Z$102+'Pza Const'!Z50*'Pza Const'!Z$102+'Pza Arauc'!Z50*'Pza Arauc'!Z$102+RRetail!Z50*RRetail!Z$102+Bucarest!Z50*Bucarest!Z$102+Magdalena!Z50*Magdalena!Z$102+BFC!Z50*BFC!Z$102</f>
        <v>71104150.299999997</v>
      </c>
      <c r="AA50" s="3">
        <f>+Descubrimiento!AA50*Descubrimiento!AA$103+'Rentas SpA'!AA50*'Rentas SpA'!AA$102+'Pza Const'!AA50*'Pza Const'!AA$102+'Pza Arauc'!AA50*'Pza Arauc'!AA$102+RRetail!AA50*RRetail!AA$102+Bucarest!AA50*Bucarest!AA$102+Magdalena!AA50*Magdalena!AA$102+BFC!AA50*BFC!AA$102</f>
        <v>18433133.600000001</v>
      </c>
      <c r="AB50" s="3">
        <f>+Descubrimiento!AB50*Descubrimiento!AB$103+'Rentas SpA'!AB50*'Rentas SpA'!AB$102+'Pza Const'!AB50*'Pza Const'!AB$102+'Pza Arauc'!AB50*'Pza Arauc'!AB$102+RRetail!AB50*RRetail!AB$102+Bucarest!AB50*Bucarest!AB$102+Magdalena!AB50*Magdalena!AB$102+BFC!AB50*BFC!AB$102</f>
        <v>37638751.899999999</v>
      </c>
      <c r="AC50" s="3">
        <f>+Descubrimiento!AC50*Descubrimiento!AC$103+'Rentas SpA'!AC50*'Rentas SpA'!AC$102+'Pza Const'!AC50*'Pza Const'!AC$102+'Pza Arauc'!AC50*'Pza Arauc'!AC$102+RRetail!AC50*RRetail!AC$102+Bucarest!AC50*Bucarest!AC$102+Magdalena!AC50*Magdalena!AC$102+BFC!AC50*BFC!AC$102</f>
        <v>57264644.5</v>
      </c>
      <c r="AD50" s="3">
        <f>+Descubrimiento!AD50*Descubrimiento!AD$103+'Rentas SpA'!AD50*'Rentas SpA'!AD$102+'Pza Const'!AD50*'Pza Const'!AD$102+'Pza Arauc'!AD50*'Pza Arauc'!AD$102+RRetail!AD50*RRetail!AD$102+Bucarest!AD50*Bucarest!AD$102+Magdalena!AD50*Magdalena!AD$102+BFC!AD50*BFC!AD$102</f>
        <v>77708350</v>
      </c>
      <c r="AE50" s="3">
        <f>+Descubrimiento!AE50*Descubrimiento!AE$103+'Rentas SpA'!AE50*'Rentas SpA'!AE$102+'Pza Const'!AE50*'Pza Const'!AE$102+'Pza Arauc'!AE50*'Pza Arauc'!AE$102+RRetail!AE50*RRetail!AE$102+Bucarest!AE50*Bucarest!AE$102+Magdalena!AE50*Magdalena!AE$102+BFC!AE50*BFC!AE$102</f>
        <v>21551155.699999999</v>
      </c>
      <c r="AF50" s="3">
        <f>+Descubrimiento!AF50*Descubrimiento!AF$103+'Rentas SpA'!AF50*'Rentas SpA'!AF$102+'Pza Const'!AF50*'Pza Const'!AF$102+'Pza Arauc'!AF50*'Pza Arauc'!AF$102+RRetail!AF50*RRetail!AF$102+Bucarest!AF50*Bucarest!AF$102+Magdalena!AF50*Magdalena!AF$102+BFC!AF50*BFC!AF$102</f>
        <v>43138997.599999994</v>
      </c>
      <c r="AG50" s="3">
        <f>+Descubrimiento!AG50*Descubrimiento!AG$103+'Rentas SpA'!AG50*'Rentas SpA'!AG$102+'Pza Const'!AG50*'Pza Const'!AG$102+'Pza Arauc'!AG50*'Pza Arauc'!AG$102+RRetail!AG50*RRetail!AG$102+Bucarest!AG50*Bucarest!AG$102+Magdalena!AG50*Magdalena!AG$102+BFC!AG50*BFC!AG$102</f>
        <v>64985274.899999999</v>
      </c>
      <c r="AH50" s="3">
        <f>+Descubrimiento!AH50*Descubrimiento!AH$103+'Rentas SpA'!AH50*'Rentas SpA'!AH$102+'Pza Const'!AH50*'Pza Const'!AH$102+'Pza Arauc'!AH50*'Pza Arauc'!AH$102+RRetail!AH50*RRetail!AH$102+Bucarest!AH50*Bucarest!AH$102+Magdalena!AH50*Magdalena!AH$102+BFC!AH50*BFC!AH$102</f>
        <v>88108705.099999994</v>
      </c>
      <c r="AI50" s="3">
        <f>+Descubrimiento!AI50*Descubrimiento!AI$103+'Rentas SpA'!AI50*'Rentas SpA'!AI$102+'Pza Const'!AI50*'Pza Const'!AI$102+'Pza Arauc'!AI50*'Pza Arauc'!AI$102+RRetail!AI50*RRetail!AI$102+Bucarest!AI50*Bucarest!AI$102+Magdalena!AI50*Magdalena!AI$102+BFC!AI50*BFC!AI$102</f>
        <v>22044454.600000001</v>
      </c>
    </row>
    <row r="51" spans="1:35" x14ac:dyDescent="0.3">
      <c r="A51" s="1" t="s">
        <v>135</v>
      </c>
      <c r="B51" s="3">
        <f>+Descubrimiento!B51*Descubrimiento!B$103+'Rentas SpA'!B51*'Rentas SpA'!B$102+'Pza Const'!B51*'Pza Const'!B$102+'Pza Arauc'!B51*'Pza Arauc'!B$102+RRetail!B51*RRetail!B$102+Bucarest!B51*Bucarest!B$102+Magdalena!B51*Magdalena!B$102+BFC!B51*BFC!B$102</f>
        <v>-2414755</v>
      </c>
      <c r="C51" s="3">
        <f>+Descubrimiento!C51*Descubrimiento!C$103+'Rentas SpA'!C51*'Rentas SpA'!C$102+'Pza Const'!C51*'Pza Const'!C$102+'Pza Arauc'!C51*'Pza Arauc'!C$102+RRetail!C51*RRetail!C$102+Bucarest!C51*Bucarest!C$102+Magdalena!C51*Magdalena!C$102+BFC!C51*BFC!C$102</f>
        <v>-4099362.5</v>
      </c>
      <c r="D51" s="3">
        <f>+Descubrimiento!D51*Descubrimiento!D$103+'Rentas SpA'!D51*'Rentas SpA'!D$102+'Pza Const'!D51*'Pza Const'!D$102+'Pza Arauc'!D51*'Pza Arauc'!D$102+RRetail!D51*RRetail!D$102+Bucarest!D51*Bucarest!D$102+Magdalena!D51*Magdalena!D$102+BFC!D51*BFC!D$102</f>
        <v>-6468772</v>
      </c>
      <c r="E51" s="3">
        <f>+Descubrimiento!E51*Descubrimiento!E$103+'Rentas SpA'!E51*'Rentas SpA'!E$102+'Pza Const'!E51*'Pza Const'!E$102+'Pza Arauc'!E51*'Pza Arauc'!E$102+RRetail!E51*RRetail!E$102+Bucarest!E51*Bucarest!E$102+Magdalena!E51*Magdalena!E$102+BFC!E51*BFC!E$102</f>
        <v>-7447729</v>
      </c>
      <c r="F51" s="3">
        <f>+Descubrimiento!F51*Descubrimiento!F$103+'Rentas SpA'!F51*'Rentas SpA'!F$102+'Pza Const'!F51*'Pza Const'!F$102+'Pza Arauc'!F51*'Pza Arauc'!F$102+RRetail!F51*RRetail!F$102+Bucarest!F51*Bucarest!F$102+Magdalena!F51*Magdalena!F$102+BFC!F51*BFC!F$102</f>
        <v>-7840576</v>
      </c>
      <c r="G51" s="3">
        <f>+Descubrimiento!G51*Descubrimiento!G$103+'Rentas SpA'!G51*'Rentas SpA'!G$102+'Pza Const'!G51*'Pza Const'!G$102+'Pza Arauc'!G51*'Pza Arauc'!G$102+RRetail!G51*RRetail!G$102+Bucarest!G51*Bucarest!G$102+Magdalena!G51*Magdalena!G$102+BFC!G51*BFC!G$102</f>
        <v>-1909624</v>
      </c>
      <c r="H51" s="3">
        <f>+Descubrimiento!H51*Descubrimiento!H$103+'Rentas SpA'!H51*'Rentas SpA'!H$102+'Pza Const'!H51*'Pza Const'!H$102+'Pza Arauc'!H51*'Pza Arauc'!H$102+RRetail!H51*RRetail!H$102+Bucarest!H51*Bucarest!H$102+Magdalena!H51*Magdalena!H$102+BFC!H51*BFC!H$102</f>
        <v>-3902962</v>
      </c>
      <c r="I51" s="3">
        <f>+Descubrimiento!I51*Descubrimiento!I$103+'Rentas SpA'!I51*'Rentas SpA'!I$102+'Pza Const'!I51*'Pza Const'!I$102+'Pza Arauc'!I51*'Pza Arauc'!I$102+RRetail!I51*RRetail!I$102+Bucarest!I51*Bucarest!I$102+Magdalena!I51*Magdalena!I$102+BFC!I51*BFC!I$102</f>
        <v>-5971021</v>
      </c>
      <c r="J51" s="3">
        <f>+Descubrimiento!J51*Descubrimiento!J$103+'Rentas SpA'!J51*'Rentas SpA'!J$102+'Pza Const'!J51*'Pza Const'!J$102+'Pza Arauc'!J51*'Pza Arauc'!J$102+RRetail!J51*RRetail!J$102+Bucarest!J51*Bucarest!J$102+Magdalena!J51*Magdalena!J$102+BFC!J51*BFC!J$102</f>
        <v>-8462951</v>
      </c>
      <c r="K51" s="3">
        <f>+Descubrimiento!K51*Descubrimiento!K$103+'Rentas SpA'!K51*'Rentas SpA'!K$102+'Pza Const'!K51*'Pza Const'!K$102+'Pza Arauc'!K51*'Pza Arauc'!K$102+RRetail!K51*RRetail!K$102+Bucarest!K51*Bucarest!K$102+Magdalena!K51*Magdalena!K$102+BFC!K51*BFC!K$102</f>
        <v>-2137781</v>
      </c>
      <c r="L51" s="3">
        <f>+Descubrimiento!L51*Descubrimiento!L$103+'Rentas SpA'!L51*'Rentas SpA'!L$102+'Pza Const'!L51*'Pza Const'!L$102+'Pza Arauc'!L51*'Pza Arauc'!L$102+RRetail!L51*RRetail!L$102+Bucarest!L51*Bucarest!L$102+Magdalena!L51*Magdalena!L$102+BFC!L51*BFC!L$102</f>
        <v>-4685828</v>
      </c>
      <c r="M51" s="3">
        <f>+Descubrimiento!M51*Descubrimiento!M$103+'Rentas SpA'!M51*'Rentas SpA'!M$102+'Pza Const'!M51*'Pza Const'!M$102+'Pza Arauc'!M51*'Pza Arauc'!M$102+RRetail!M51*RRetail!M$102+Bucarest!M51*Bucarest!M$102+Magdalena!M51*Magdalena!M$102+BFC!M51*BFC!M$102</f>
        <v>-6900169</v>
      </c>
      <c r="N51" s="3">
        <f>+Descubrimiento!N51*Descubrimiento!N$103+'Rentas SpA'!N51*'Rentas SpA'!N$102+'Pza Const'!N51*'Pza Const'!N$102+'Pza Arauc'!N51*'Pza Arauc'!N$102+RRetail!N51*RRetail!N$102+Bucarest!N51*Bucarest!N$102+Magdalena!N51*Magdalena!N$102+BFC!N51*BFC!N$102</f>
        <v>-11352297</v>
      </c>
      <c r="O51" s="3">
        <f>+Descubrimiento!O51*Descubrimiento!O$103+'Rentas SpA'!O51*'Rentas SpA'!O$102+'Pza Const'!O51*'Pza Const'!O$102+'Pza Arauc'!O51*'Pza Arauc'!O$102+RRetail!O51*RRetail!O$102+Bucarest!O51*Bucarest!O$102+Magdalena!O51*Magdalena!O$102+BFC!O51*BFC!O$102</f>
        <v>-2910607</v>
      </c>
      <c r="P51" s="3">
        <f>+Descubrimiento!P51*Descubrimiento!P$103+'Rentas SpA'!P51*'Rentas SpA'!P$102+'Pza Const'!P51*'Pza Const'!P$102+'Pza Arauc'!P51*'Pza Arauc'!P$102+RRetail!P51*RRetail!P$102+Bucarest!P51*Bucarest!P$102+Magdalena!P51*Magdalena!P$102+BFC!P51*BFC!P$102</f>
        <v>-5535513</v>
      </c>
      <c r="Q51" s="3">
        <f>+Descubrimiento!Q51*Descubrimiento!Q$103+'Rentas SpA'!Q51*'Rentas SpA'!Q$102+'Pza Const'!Q51*'Pza Const'!Q$102+'Pza Arauc'!Q51*'Pza Arauc'!Q$102+RRetail!Q51*RRetail!Q$102+Bucarest!Q51*Bucarest!Q$102+Magdalena!Q51*Magdalena!Q$102+BFC!Q51*BFC!Q$102</f>
        <v>-8265452.7999999998</v>
      </c>
      <c r="R51" s="3">
        <f>+Descubrimiento!R51*Descubrimiento!R$103+'Rentas SpA'!R51*'Rentas SpA'!R$102+'Pza Const'!R51*'Pza Const'!R$102+'Pza Arauc'!R51*'Pza Arauc'!R$102+RRetail!R51*RRetail!R$102+Bucarest!R51*Bucarest!R$102+Magdalena!R51*Magdalena!R$102+BFC!R51*BFC!R$102</f>
        <v>-13802080.4</v>
      </c>
      <c r="S51" s="3">
        <f>+Descubrimiento!S51*Descubrimiento!S$103+'Rentas SpA'!S51*'Rentas SpA'!S$102+'Pza Const'!S51*'Pza Const'!S$102+'Pza Arauc'!S51*'Pza Arauc'!S$102+RRetail!S51*RRetail!S$102+Bucarest!S51*Bucarest!S$102+Magdalena!S51*Magdalena!S$102+BFC!S51*BFC!S$102</f>
        <v>-3787131.5</v>
      </c>
      <c r="T51" s="3">
        <f>+Descubrimiento!T51*Descubrimiento!T$103+'Rentas SpA'!T51*'Rentas SpA'!T$102+'Pza Const'!T51*'Pza Const'!T$102+'Pza Arauc'!T51*'Pza Arauc'!T$102+RRetail!T51*RRetail!T$102+Bucarest!T51*Bucarest!T$102+Magdalena!T51*Magdalena!T$102+BFC!T51*BFC!T$102</f>
        <v>-6920718.9000000004</v>
      </c>
      <c r="U51" s="3">
        <f>+Descubrimiento!U51*Descubrimiento!U$103+'Rentas SpA'!U51*'Rentas SpA'!U$102+'Pza Const'!U51*'Pza Const'!U$102+'Pza Arauc'!U51*'Pza Arauc'!U$102+RRetail!U51*RRetail!U$102+Bucarest!U51*Bucarest!U$102+Magdalena!U51*Magdalena!U$102+BFC!U51*BFC!U$102</f>
        <v>-10848412.5</v>
      </c>
      <c r="V51" s="3">
        <f>+Descubrimiento!V51*Descubrimiento!V$103+'Rentas SpA'!V51*'Rentas SpA'!V$102+'Pza Const'!V51*'Pza Const'!V$102+'Pza Arauc'!V51*'Pza Arauc'!V$102+RRetail!V51*RRetail!V$102+Bucarest!V51*Bucarest!V$102+Magdalena!V51*Magdalena!V$102+BFC!V51*BFC!V$102</f>
        <v>-16425350.699999999</v>
      </c>
      <c r="W51" s="3">
        <f>+Descubrimiento!W51*Descubrimiento!W$103+'Rentas SpA'!W51*'Rentas SpA'!W$102+'Pza Const'!W51*'Pza Const'!W$102+'Pza Arauc'!W51*'Pza Arauc'!W$102+RRetail!W51*RRetail!W$102+Bucarest!W51*Bucarest!W$102+Magdalena!W51*Magdalena!W$102+BFC!W51*BFC!W$102</f>
        <v>-4796464.5</v>
      </c>
      <c r="X51" s="3">
        <f>+Descubrimiento!X51*Descubrimiento!X$103+'Rentas SpA'!X51*'Rentas SpA'!X$102+'Pza Const'!X51*'Pza Const'!X$102+'Pza Arauc'!X51*'Pza Arauc'!X$102+RRetail!X51*RRetail!X$102+Bucarest!X51*Bucarest!X$102+Magdalena!X51*Magdalena!X$102+BFC!X51*BFC!X$102</f>
        <v>-10142264.9</v>
      </c>
      <c r="Y51" s="3">
        <f>+Descubrimiento!Y51*Descubrimiento!Y$103+'Rentas SpA'!Y51*'Rentas SpA'!Y$102+'Pza Const'!Y51*'Pza Const'!Y$102+'Pza Arauc'!Y51*'Pza Arauc'!Y$102+RRetail!Y51*RRetail!Y$102+Bucarest!Y51*Bucarest!Y$102+Magdalena!Y51*Magdalena!Y$102+BFC!Y51*BFC!Y$102</f>
        <v>-14861798.6</v>
      </c>
      <c r="Z51" s="3">
        <f>+Descubrimiento!Z51*Descubrimiento!Z$103+'Rentas SpA'!Z51*'Rentas SpA'!Z$102+'Pza Const'!Z51*'Pza Const'!Z$102+'Pza Arauc'!Z51*'Pza Arauc'!Z$102+RRetail!Z51*RRetail!Z$102+Bucarest!Z51*Bucarest!Z$102+Magdalena!Z51*Magdalena!Z$102+BFC!Z51*BFC!Z$102</f>
        <v>-20612981.600000001</v>
      </c>
      <c r="AA51" s="3">
        <f>+Descubrimiento!AA51*Descubrimiento!AA$103+'Rentas SpA'!AA51*'Rentas SpA'!AA$102+'Pza Const'!AA51*'Pza Const'!AA$102+'Pza Arauc'!AA51*'Pza Arauc'!AA$102+RRetail!AA51*RRetail!AA$102+Bucarest!AA51*Bucarest!AA$102+Magdalena!AA51*Magdalena!AA$102+BFC!AA51*BFC!AA$102</f>
        <v>-4797156.2</v>
      </c>
      <c r="AB51" s="3">
        <f>+Descubrimiento!AB51*Descubrimiento!AB$103+'Rentas SpA'!AB51*'Rentas SpA'!AB$102+'Pza Const'!AB51*'Pza Const'!AB$102+'Pza Arauc'!AB51*'Pza Arauc'!AB$102+RRetail!AB51*RRetail!AB$102+Bucarest!AB51*Bucarest!AB$102+Magdalena!AB51*Magdalena!AB$102+BFC!AB51*BFC!AB$102</f>
        <v>-9582817</v>
      </c>
      <c r="AC51" s="3">
        <f>+Descubrimiento!AC51*Descubrimiento!AC$103+'Rentas SpA'!AC51*'Rentas SpA'!AC$102+'Pza Const'!AC51*'Pza Const'!AC$102+'Pza Arauc'!AC51*'Pza Arauc'!AC$102+RRetail!AC51*RRetail!AC$102+Bucarest!AC51*Bucarest!AC$102+Magdalena!AC51*Magdalena!AC$102+BFC!AC51*BFC!AC$102</f>
        <v>-15140981.6</v>
      </c>
      <c r="AD51" s="3">
        <f>+Descubrimiento!AD51*Descubrimiento!AD$103+'Rentas SpA'!AD51*'Rentas SpA'!AD$102+'Pza Const'!AD51*'Pza Const'!AD$102+'Pza Arauc'!AD51*'Pza Arauc'!AD$102+RRetail!AD51*RRetail!AD$102+Bucarest!AD51*Bucarest!AD$102+Magdalena!AD51*Magdalena!AD$102+BFC!AD51*BFC!AD$102</f>
        <v>-20508177</v>
      </c>
      <c r="AE51" s="3">
        <f>+Descubrimiento!AE51*Descubrimiento!AE$103+'Rentas SpA'!AE51*'Rentas SpA'!AE$102+'Pza Const'!AE51*'Pza Const'!AE$102+'Pza Arauc'!AE51*'Pza Arauc'!AE$102+RRetail!AE51*RRetail!AE$102+Bucarest!AE51*Bucarest!AE$102+Magdalena!AE51*Magdalena!AE$102+BFC!AE51*BFC!AE$102</f>
        <v>-5044288.8</v>
      </c>
      <c r="AF51" s="3">
        <f>+Descubrimiento!AF51*Descubrimiento!AF$103+'Rentas SpA'!AF51*'Rentas SpA'!AF$102+'Pza Const'!AF51*'Pza Const'!AF$102+'Pza Arauc'!AF51*'Pza Arauc'!AF$102+RRetail!AF51*RRetail!AF$102+Bucarest!AF51*Bucarest!AF$102+Magdalena!AF51*Magdalena!AF$102+BFC!AF51*BFC!AF$102</f>
        <v>-10046495</v>
      </c>
      <c r="AG51" s="3">
        <f>+Descubrimiento!AG51*Descubrimiento!AG$103+'Rentas SpA'!AG51*'Rentas SpA'!AG$102+'Pza Const'!AG51*'Pza Const'!AG$102+'Pza Arauc'!AG51*'Pza Arauc'!AG$102+RRetail!AG51*RRetail!AG$102+Bucarest!AG51*Bucarest!AG$102+Magdalena!AG51*Magdalena!AG$102+BFC!AG51*BFC!AG$102</f>
        <v>-14723361.6</v>
      </c>
      <c r="AH51" s="3">
        <f>+Descubrimiento!AH51*Descubrimiento!AH$103+'Rentas SpA'!AH51*'Rentas SpA'!AH$102+'Pza Const'!AH51*'Pza Const'!AH$102+'Pza Arauc'!AH51*'Pza Arauc'!AH$102+RRetail!AH51*RRetail!AH$102+Bucarest!AH51*Bucarest!AH$102+Magdalena!AH51*Magdalena!AH$102+BFC!AH51*BFC!AH$102</f>
        <v>-20568139.300000001</v>
      </c>
      <c r="AI51" s="3">
        <f>+Descubrimiento!AI51*Descubrimiento!AI$103+'Rentas SpA'!AI51*'Rentas SpA'!AI$102+'Pza Const'!AI51*'Pza Const'!AI$102+'Pza Arauc'!AI51*'Pza Arauc'!AI$102+RRetail!AI51*RRetail!AI$102+Bucarest!AI51*Bucarest!AI$102+Magdalena!AI51*Magdalena!AI$102+BFC!AI51*BFC!AI$102</f>
        <v>-4864695.8</v>
      </c>
    </row>
    <row r="52" spans="1:35" x14ac:dyDescent="0.3">
      <c r="A52" s="6" t="s">
        <v>136</v>
      </c>
      <c r="B52" s="7">
        <f>+SUM(B50:B51)</f>
        <v>19753995.5</v>
      </c>
      <c r="C52" s="7">
        <f t="shared" ref="C52:R52" si="100">+SUM(C50:C51)</f>
        <v>19570105.5</v>
      </c>
      <c r="D52" s="7">
        <f t="shared" si="100"/>
        <v>21132482</v>
      </c>
      <c r="E52" s="7">
        <f t="shared" si="100"/>
        <v>21963627</v>
      </c>
      <c r="F52" s="7">
        <f t="shared" si="100"/>
        <v>24639076</v>
      </c>
      <c r="G52" s="7">
        <f t="shared" ref="G52:I52" si="101">+SUM(G50:G51)</f>
        <v>5439131</v>
      </c>
      <c r="H52" s="7">
        <f t="shared" si="101"/>
        <v>10813873</v>
      </c>
      <c r="I52" s="7">
        <f t="shared" si="101"/>
        <v>16269205</v>
      </c>
      <c r="J52" s="7">
        <f t="shared" si="100"/>
        <v>21613469</v>
      </c>
      <c r="K52" s="7">
        <f t="shared" ref="K52:M52" si="102">+SUM(K50:K51)</f>
        <v>5653878</v>
      </c>
      <c r="L52" s="7">
        <f t="shared" si="102"/>
        <v>10770754</v>
      </c>
      <c r="M52" s="7">
        <f t="shared" si="102"/>
        <v>16087585</v>
      </c>
      <c r="N52" s="7">
        <f t="shared" si="100"/>
        <v>32513791.399999999</v>
      </c>
      <c r="O52" s="7">
        <f t="shared" ref="O52:Q52" si="103">+SUM(O50:O51)</f>
        <v>9057290.4000000004</v>
      </c>
      <c r="P52" s="7">
        <f t="shared" si="103"/>
        <v>17731505</v>
      </c>
      <c r="Q52" s="7">
        <f t="shared" si="103"/>
        <v>27063314.599999998</v>
      </c>
      <c r="R52" s="7">
        <f t="shared" si="100"/>
        <v>44031410.899999999</v>
      </c>
      <c r="S52" s="7">
        <f t="shared" ref="S52:U52" si="104">+SUM(S50:S51)</f>
        <v>10879691.6</v>
      </c>
      <c r="T52" s="7">
        <f t="shared" si="104"/>
        <v>24673013.200000003</v>
      </c>
      <c r="U52" s="7">
        <f t="shared" si="104"/>
        <v>37713342.899999999</v>
      </c>
      <c r="V52" s="7">
        <f t="shared" ref="V52:Y52" si="105">+SUM(V50:V51)</f>
        <v>47936897.599999994</v>
      </c>
      <c r="W52" s="7">
        <f t="shared" si="105"/>
        <v>12595241.100000001</v>
      </c>
      <c r="X52" s="7">
        <f t="shared" si="105"/>
        <v>24979424.399999999</v>
      </c>
      <c r="Y52" s="7">
        <f t="shared" si="105"/>
        <v>38178623.299999997</v>
      </c>
      <c r="Z52" s="7">
        <f t="shared" ref="Z52:AA52" si="106">+SUM(Z50:Z51)</f>
        <v>50491168.699999996</v>
      </c>
      <c r="AA52" s="7">
        <f t="shared" si="106"/>
        <v>13635977.400000002</v>
      </c>
      <c r="AB52" s="7">
        <f t="shared" ref="AB52:AC52" si="107">+SUM(AB50:AB51)</f>
        <v>28055934.899999999</v>
      </c>
      <c r="AC52" s="7">
        <f t="shared" si="107"/>
        <v>42123662.899999999</v>
      </c>
      <c r="AD52" s="7">
        <f t="shared" ref="AD52:AE52" si="108">+SUM(AD50:AD51)</f>
        <v>57200173</v>
      </c>
      <c r="AE52" s="7">
        <f t="shared" si="108"/>
        <v>16506866.899999999</v>
      </c>
      <c r="AF52" s="7">
        <f t="shared" ref="AF52:AG52" si="109">+SUM(AF50:AF51)</f>
        <v>33092502.599999994</v>
      </c>
      <c r="AG52" s="7">
        <f t="shared" si="109"/>
        <v>50261913.299999997</v>
      </c>
      <c r="AH52" s="7">
        <f t="shared" ref="AH52:AI52" si="110">+SUM(AH50:AH51)</f>
        <v>67540565.799999997</v>
      </c>
      <c r="AI52" s="7">
        <f t="shared" si="110"/>
        <v>17179758.800000001</v>
      </c>
    </row>
    <row r="53" spans="1:35" x14ac:dyDescent="0.3">
      <c r="A53" s="1" t="s">
        <v>137</v>
      </c>
      <c r="B53" s="3">
        <f>+Descubrimiento!B53*Descubrimiento!B$103+'Rentas SpA'!B53*'Rentas SpA'!B$102+'Pza Const'!B53*'Pza Const'!B$102+'Pza Arauc'!B53*'Pza Arauc'!B$102+RRetail!B53*RRetail!B$102+Bucarest!B53*Bucarest!B$102+Magdalena!B53*Magdalena!B$102+BFC!B53*BFC!B$102</f>
        <v>462728</v>
      </c>
      <c r="C53" s="3">
        <f>+Descubrimiento!C53*Descubrimiento!C$103+'Rentas SpA'!C53*'Rentas SpA'!C$102+'Pza Const'!C53*'Pza Const'!C$102+'Pza Arauc'!C53*'Pza Arauc'!C$102+RRetail!C53*RRetail!C$102+Bucarest!C53*Bucarest!C$102+Magdalena!C53*Magdalena!C$102+BFC!C53*BFC!C$102</f>
        <v>2443785</v>
      </c>
      <c r="D53" s="3">
        <f>+Descubrimiento!D53*Descubrimiento!D$103+'Rentas SpA'!D53*'Rentas SpA'!D$102+'Pza Const'!D53*'Pza Const'!D$102+'Pza Arauc'!D53*'Pza Arauc'!D$102+RRetail!D53*RRetail!D$102+Bucarest!D53*Bucarest!D$102+Magdalena!D53*Magdalena!D$102+BFC!D53*BFC!D$102</f>
        <v>322685</v>
      </c>
      <c r="E53" s="3">
        <f>+Descubrimiento!E53*Descubrimiento!E$103+'Rentas SpA'!E53*'Rentas SpA'!E$102+'Pza Const'!E53*'Pza Const'!E$102+'Pza Arauc'!E53*'Pza Arauc'!E$102+RRetail!E53*RRetail!E$102+Bucarest!E53*Bucarest!E$102+Magdalena!E53*Magdalena!E$102+BFC!E53*BFC!E$102</f>
        <v>679217</v>
      </c>
      <c r="F53" s="3">
        <f>+Descubrimiento!F53*Descubrimiento!F$103+'Rentas SpA'!F53*'Rentas SpA'!F$102+'Pza Const'!F53*'Pza Const'!F$102+'Pza Arauc'!F53*'Pza Arauc'!F$102+RRetail!F53*RRetail!F$102+Bucarest!F53*Bucarest!F$102+Magdalena!F53*Magdalena!F$102+BFC!F53*BFC!F$102</f>
        <v>371562</v>
      </c>
      <c r="G53" s="3">
        <f>+Descubrimiento!G53*Descubrimiento!G$103+'Rentas SpA'!G53*'Rentas SpA'!G$102+'Pza Const'!G53*'Pza Const'!G$102+'Pza Arauc'!G53*'Pza Arauc'!G$102+RRetail!G53*RRetail!G$102+Bucarest!G53*Bucarest!G$102+Magdalena!G53*Magdalena!G$102+BFC!G53*BFC!G$102</f>
        <v>123750</v>
      </c>
      <c r="H53" s="3">
        <f>+Descubrimiento!H53*Descubrimiento!H$103+'Rentas SpA'!H53*'Rentas SpA'!H$102+'Pza Const'!H53*'Pza Const'!H$102+'Pza Arauc'!H53*'Pza Arauc'!H$102+RRetail!H53*RRetail!H$102+Bucarest!H53*Bucarest!H$102+Magdalena!H53*Magdalena!H$102+BFC!H53*BFC!H$102</f>
        <v>140133</v>
      </c>
      <c r="I53" s="3">
        <f>+Descubrimiento!I53*Descubrimiento!I$103+'Rentas SpA'!I53*'Rentas SpA'!I$102+'Pza Const'!I53*'Pza Const'!I$102+'Pza Arauc'!I53*'Pza Arauc'!I$102+RRetail!I53*RRetail!I$102+Bucarest!I53*Bucarest!I$102+Magdalena!I53*Magdalena!I$102+BFC!I53*BFC!I$102</f>
        <v>151366</v>
      </c>
      <c r="J53" s="3">
        <f>+Descubrimiento!J53*Descubrimiento!J$103+'Rentas SpA'!J53*'Rentas SpA'!J$102+'Pza Const'!J53*'Pza Const'!J$102+'Pza Arauc'!J53*'Pza Arauc'!J$102+RRetail!J53*RRetail!J$102+Bucarest!J53*Bucarest!J$102+Magdalena!J53*Magdalena!J$102+BFC!J53*BFC!J$102</f>
        <v>78207</v>
      </c>
      <c r="K53" s="3">
        <f>+Descubrimiento!K53*Descubrimiento!K$103+'Rentas SpA'!K53*'Rentas SpA'!K$102+'Pza Const'!K53*'Pza Const'!K$102+'Pza Arauc'!K53*'Pza Arauc'!K$102+RRetail!K53*RRetail!K$102+Bucarest!K53*Bucarest!K$102+Magdalena!K53*Magdalena!K$102+BFC!K53*BFC!K$102</f>
        <v>36651</v>
      </c>
      <c r="L53" s="3">
        <f>+Descubrimiento!L53*Descubrimiento!L$103+'Rentas SpA'!L53*'Rentas SpA'!L$102+'Pza Const'!L53*'Pza Const'!L$102+'Pza Arauc'!L53*'Pza Arauc'!L$102+RRetail!L53*RRetail!L$102+Bucarest!L53*Bucarest!L$102+Magdalena!L53*Magdalena!L$102+BFC!L53*BFC!L$102</f>
        <v>44859</v>
      </c>
      <c r="M53" s="3">
        <f>+Descubrimiento!M53*Descubrimiento!M$103+'Rentas SpA'!M53*'Rentas SpA'!M$102+'Pza Const'!M53*'Pza Const'!M$102+'Pza Arauc'!M53*'Pza Arauc'!M$102+RRetail!M53*RRetail!M$102+Bucarest!M53*Bucarest!M$102+Magdalena!M53*Magdalena!M$102+BFC!M53*BFC!M$102</f>
        <v>46741</v>
      </c>
      <c r="N53" s="3">
        <f>+Descubrimiento!N53*Descubrimiento!N$103+'Rentas SpA'!N53*'Rentas SpA'!N$102+'Pza Const'!N53*'Pza Const'!N$102+'Pza Arauc'!N53*'Pza Arauc'!N$102+RRetail!N53*RRetail!N$102+Bucarest!N53*Bucarest!N$102+Magdalena!N53*Magdalena!N$102+BFC!N53*BFC!N$102</f>
        <v>127558.8</v>
      </c>
      <c r="O53" s="3">
        <f>+Descubrimiento!O53*Descubrimiento!O$103+'Rentas SpA'!O53*'Rentas SpA'!O$102+'Pza Const'!O53*'Pza Const'!O$102+'Pza Arauc'!O53*'Pza Arauc'!O$102+RRetail!O53*RRetail!O$102+Bucarest!O53*Bucarest!O$102+Magdalena!O53*Magdalena!O$102+BFC!O53*BFC!O$102</f>
        <v>7140</v>
      </c>
      <c r="P53" s="3">
        <f>+Descubrimiento!P53*Descubrimiento!P$103+'Rentas SpA'!P53*'Rentas SpA'!P$102+'Pza Const'!P53*'Pza Const'!P$102+'Pza Arauc'!P53*'Pza Arauc'!P$102+RRetail!P53*RRetail!P$102+Bucarest!P53*Bucarest!P$102+Magdalena!P53*Magdalena!P$102+BFC!P53*BFC!P$102</f>
        <v>13690</v>
      </c>
      <c r="Q53" s="3">
        <f>+Descubrimiento!Q53*Descubrimiento!Q$103+'Rentas SpA'!Q53*'Rentas SpA'!Q$102+'Pza Const'!Q53*'Pza Const'!Q$102+'Pza Arauc'!Q53*'Pza Arauc'!Q$102+RRetail!Q53*RRetail!Q$102+Bucarest!Q53*Bucarest!Q$102+Magdalena!Q53*Magdalena!Q$102+BFC!Q53*BFC!Q$102</f>
        <v>28290</v>
      </c>
      <c r="R53" s="3">
        <f>+Descubrimiento!R53*Descubrimiento!R$103+'Rentas SpA'!R53*'Rentas SpA'!R$102+'Pza Const'!R53*'Pza Const'!R$102+'Pza Arauc'!R53*'Pza Arauc'!R$102+RRetail!R53*RRetail!R$102+Bucarest!R53*Bucarest!R$102+Magdalena!R53*Magdalena!R$102+BFC!R53*BFC!R$102</f>
        <v>4139170.5</v>
      </c>
      <c r="S53" s="3">
        <f>+Descubrimiento!S53*Descubrimiento!S$103+'Rentas SpA'!S53*'Rentas SpA'!S$102+'Pza Const'!S53*'Pza Const'!S$102+'Pza Arauc'!S53*'Pza Arauc'!S$102+RRetail!S53*RRetail!S$102+Bucarest!S53*Bucarest!S$102+Magdalena!S53*Magdalena!S$102+BFC!S53*BFC!S$102</f>
        <v>231319.4</v>
      </c>
      <c r="T53" s="3">
        <f>+Descubrimiento!T53*Descubrimiento!T$103+'Rentas SpA'!T53*'Rentas SpA'!T$102+'Pza Const'!T53*'Pza Const'!T$102+'Pza Arauc'!T53*'Pza Arauc'!T$102+RRetail!T53*RRetail!T$102+Bucarest!T53*Bucarest!T$102+Magdalena!T53*Magdalena!T$102+BFC!T53*BFC!T$102</f>
        <v>64698</v>
      </c>
      <c r="U53" s="3">
        <f>+Descubrimiento!U53*Descubrimiento!U$103+'Rentas SpA'!U53*'Rentas SpA'!U$102+'Pza Const'!U53*'Pza Const'!U$102+'Pza Arauc'!U53*'Pza Arauc'!U$102+RRetail!U53*RRetail!U$102+Bucarest!U53*Bucarest!U$102+Magdalena!U53*Magdalena!U$102+BFC!U53*BFC!U$102</f>
        <v>71251</v>
      </c>
      <c r="V53" s="3">
        <f>+Descubrimiento!V53*Descubrimiento!V$103+'Rentas SpA'!V53*'Rentas SpA'!V$102+'Pza Const'!V53*'Pza Const'!V$102+'Pza Arauc'!V53*'Pza Arauc'!V$102+RRetail!V53*RRetail!V$102+Bucarest!V53*Bucarest!V$102+Magdalena!V53*Magdalena!V$102+BFC!V53*BFC!V$102</f>
        <v>108099</v>
      </c>
      <c r="W53" s="3">
        <f>+Descubrimiento!W53*Descubrimiento!W$103+'Rentas SpA'!W53*'Rentas SpA'!W$102+'Pza Const'!W53*'Pza Const'!W$102+'Pza Arauc'!W53*'Pza Arauc'!W$102+RRetail!W53*RRetail!W$102+Bucarest!W53*Bucarest!W$102+Magdalena!W53*Magdalena!W$102+BFC!W53*BFC!W$102</f>
        <v>44574977.100000001</v>
      </c>
      <c r="X53" s="3">
        <f>+Descubrimiento!X53*Descubrimiento!X$103+'Rentas SpA'!X53*'Rentas SpA'!X$102+'Pza Const'!X53*'Pza Const'!X$102+'Pza Arauc'!X53*'Pza Arauc'!X$102+RRetail!X53*RRetail!X$102+Bucarest!X53*Bucarest!X$102+Magdalena!X53*Magdalena!X$102+BFC!X53*BFC!X$102</f>
        <v>45372833.600000001</v>
      </c>
      <c r="Y53" s="3">
        <f>+Descubrimiento!Y53*Descubrimiento!Y$103+'Rentas SpA'!Y53*'Rentas SpA'!Y$102+'Pza Const'!Y53*'Pza Const'!Y$102+'Pza Arauc'!Y53*'Pza Arauc'!Y$102+RRetail!Y53*RRetail!Y$102+Bucarest!Y53*Bucarest!Y$102+Magdalena!Y53*Magdalena!Y$102+BFC!Y53*BFC!Y$102</f>
        <v>44984244</v>
      </c>
      <c r="Z53" s="3">
        <f>+Descubrimiento!Z53*Descubrimiento!Z$103+'Rentas SpA'!Z53*'Rentas SpA'!Z$102+'Pza Const'!Z53*'Pza Const'!Z$102+'Pza Arauc'!Z53*'Pza Arauc'!Z$102+RRetail!Z53*RRetail!Z$102+Bucarest!Z53*Bucarest!Z$102+Magdalena!Z53*Magdalena!Z$102+BFC!Z53*BFC!Z$102</f>
        <v>3894364.2</v>
      </c>
      <c r="AA53" s="3">
        <f>+Descubrimiento!AA53*Descubrimiento!AA$103+'Rentas SpA'!AA53*'Rentas SpA'!AA$102+'Pza Const'!AA53*'Pza Const'!AA$102+'Pza Arauc'!AA53*'Pza Arauc'!AA$102+RRetail!AA53*RRetail!AA$102+Bucarest!AA53*Bucarest!AA$102+Magdalena!AA53*Magdalena!AA$102+BFC!AA53*BFC!AA$102</f>
        <v>166978.4</v>
      </c>
      <c r="AB53" s="3">
        <f>+Descubrimiento!AB53*Descubrimiento!AB$103+'Rentas SpA'!AB53*'Rentas SpA'!AB$102+'Pza Const'!AB53*'Pza Const'!AB$102+'Pza Arauc'!AB53*'Pza Arauc'!AB$102+RRetail!AB53*RRetail!AB$102+Bucarest!AB53*Bucarest!AB$102+Magdalena!AB53*Magdalena!AB$102+BFC!AB53*BFC!AB$102</f>
        <v>325609.89999999997</v>
      </c>
      <c r="AC53" s="3">
        <f>+Descubrimiento!AC53*Descubrimiento!AC$103+'Rentas SpA'!AC53*'Rentas SpA'!AC$102+'Pza Const'!AC53*'Pza Const'!AC$102+'Pza Arauc'!AC53*'Pza Arauc'!AC$102+RRetail!AC53*RRetail!AC$102+Bucarest!AC53*Bucarest!AC$102+Magdalena!AC53*Magdalena!AC$102+BFC!AC53*BFC!AC$102</f>
        <v>69042</v>
      </c>
      <c r="AD53" s="3">
        <f>+Descubrimiento!AD53*Descubrimiento!AD$103+'Rentas SpA'!AD53*'Rentas SpA'!AD$102+'Pza Const'!AD53*'Pza Const'!AD$102+'Pza Arauc'!AD53*'Pza Arauc'!AD$102+RRetail!AD53*RRetail!AD$102+Bucarest!AD53*Bucarest!AD$102+Magdalena!AD53*Magdalena!AD$102+BFC!AD53*BFC!AD$102</f>
        <v>69405</v>
      </c>
      <c r="AE53" s="3">
        <f>+Descubrimiento!AE53*Descubrimiento!AE$103+'Rentas SpA'!AE53*'Rentas SpA'!AE$102+'Pza Const'!AE53*'Pza Const'!AE$102+'Pza Arauc'!AE53*'Pza Arauc'!AE$102+RRetail!AE53*RRetail!AE$102+Bucarest!AE53*Bucarest!AE$102+Magdalena!AE53*Magdalena!AE$102+BFC!AE53*BFC!AE$102</f>
        <v>3329.8999999999996</v>
      </c>
      <c r="AF53" s="3">
        <f>+Descubrimiento!AF53*Descubrimiento!AF$103+'Rentas SpA'!AF53*'Rentas SpA'!AF$102+'Pza Const'!AF53*'Pza Const'!AF$102+'Pza Arauc'!AF53*'Pza Arauc'!AF$102+RRetail!AF53*RRetail!AF$102+Bucarest!AF53*Bucarest!AF$102+Magdalena!AF53*Magdalena!AF$102+BFC!AF53*BFC!AF$102</f>
        <v>0</v>
      </c>
      <c r="AG53" s="3">
        <f>+Descubrimiento!AG53*Descubrimiento!AG$103+'Rentas SpA'!AG53*'Rentas SpA'!AG$102+'Pza Const'!AG53*'Pza Const'!AG$102+'Pza Arauc'!AG53*'Pza Arauc'!AG$102+RRetail!AG53*RRetail!AG$102+Bucarest!AG53*Bucarest!AG$102+Magdalena!AG53*Magdalena!AG$102+BFC!AG53*BFC!AG$102</f>
        <v>199130.3</v>
      </c>
      <c r="AH53" s="3">
        <f>+Descubrimiento!AH53*Descubrimiento!AH$103+'Rentas SpA'!AH53*'Rentas SpA'!AH$102+'Pza Const'!AH53*'Pza Const'!AH$102+'Pza Arauc'!AH53*'Pza Arauc'!AH$102+RRetail!AH53*RRetail!AH$102+Bucarest!AH53*Bucarest!AH$102+Magdalena!AH53*Magdalena!AH$102+BFC!AH53*BFC!AH$102</f>
        <v>200018.7</v>
      </c>
      <c r="AI53" s="3">
        <f>+Descubrimiento!AI53*Descubrimiento!AI$103+'Rentas SpA'!AI53*'Rentas SpA'!AI$102+'Pza Const'!AI53*'Pza Const'!AI$102+'Pza Arauc'!AI53*'Pza Arauc'!AI$102+RRetail!AI53*RRetail!AI$102+Bucarest!AI53*Bucarest!AI$102+Magdalena!AI53*Magdalena!AI$102+BFC!AI53*BFC!AI$102</f>
        <v>9730.7999999999993</v>
      </c>
    </row>
    <row r="54" spans="1:35" x14ac:dyDescent="0.3">
      <c r="A54" s="1" t="s">
        <v>138</v>
      </c>
      <c r="B54" s="3">
        <f>+Descubrimiento!B54*Descubrimiento!B$103+'Rentas SpA'!B54*'Rentas SpA'!B$102+'Pza Const'!B54*'Pza Const'!B$102+'Pza Arauc'!B54*'Pza Arauc'!B$102+RRetail!B54*RRetail!B$102+Bucarest!B54*Bucarest!B$102+Magdalena!B54*Magdalena!B$102+BFC!B54*BFC!B$102</f>
        <v>-399303</v>
      </c>
      <c r="C54" s="3">
        <f>+Descubrimiento!C54*Descubrimiento!C$103+'Rentas SpA'!C54*'Rentas SpA'!C$102+'Pza Const'!C54*'Pza Const'!C$102+'Pza Arauc'!C54*'Pza Arauc'!C$102+RRetail!C54*RRetail!C$102+Bucarest!C54*Bucarest!C$102+Magdalena!C54*Magdalena!C$102+BFC!C54*BFC!C$102</f>
        <v>-353616</v>
      </c>
      <c r="D54" s="3">
        <f>+Descubrimiento!D54*Descubrimiento!D$103+'Rentas SpA'!D54*'Rentas SpA'!D$102+'Pza Const'!D54*'Pza Const'!D$102+'Pza Arauc'!D54*'Pza Arauc'!D$102+RRetail!D54*RRetail!D$102+Bucarest!D54*Bucarest!D$102+Magdalena!D54*Magdalena!D$102+BFC!D54*BFC!D$102</f>
        <v>-425541</v>
      </c>
      <c r="E54" s="3">
        <f>+Descubrimiento!E54*Descubrimiento!E$103+'Rentas SpA'!E54*'Rentas SpA'!E$102+'Pza Const'!E54*'Pza Const'!E$102+'Pza Arauc'!E54*'Pza Arauc'!E$102+RRetail!E54*RRetail!E$102+Bucarest!E54*Bucarest!E$102+Magdalena!E54*Magdalena!E$102+BFC!E54*BFC!E$102</f>
        <v>-525874</v>
      </c>
      <c r="F54" s="3">
        <f>+Descubrimiento!F54*Descubrimiento!F$103+'Rentas SpA'!F54*'Rentas SpA'!F$102+'Pza Const'!F54*'Pza Const'!F$102+'Pza Arauc'!F54*'Pza Arauc'!F$102+RRetail!F54*RRetail!F$102+Bucarest!F54*Bucarest!F$102+Magdalena!F54*Magdalena!F$102+BFC!F54*BFC!F$102</f>
        <v>-616125</v>
      </c>
      <c r="G54" s="3">
        <f>+Descubrimiento!G54*Descubrimiento!G$103+'Rentas SpA'!G54*'Rentas SpA'!G$102+'Pza Const'!G54*'Pza Const'!G$102+'Pza Arauc'!G54*'Pza Arauc'!G$102+RRetail!G54*RRetail!G$102+Bucarest!G54*Bucarest!G$102+Magdalena!G54*Magdalena!G$102+BFC!G54*BFC!G$102</f>
        <v>-88535</v>
      </c>
      <c r="H54" s="3">
        <f>+Descubrimiento!H54*Descubrimiento!H$103+'Rentas SpA'!H54*'Rentas SpA'!H$102+'Pza Const'!H54*'Pza Const'!H$102+'Pza Arauc'!H54*'Pza Arauc'!H$102+RRetail!H54*RRetail!H$102+Bucarest!H54*Bucarest!H$102+Magdalena!H54*Magdalena!H$102+BFC!H54*BFC!H$102</f>
        <v>-255839</v>
      </c>
      <c r="I54" s="3">
        <f>+Descubrimiento!I54*Descubrimiento!I$103+'Rentas SpA'!I54*'Rentas SpA'!I$102+'Pza Const'!I54*'Pza Const'!I$102+'Pza Arauc'!I54*'Pza Arauc'!I$102+RRetail!I54*RRetail!I$102+Bucarest!I54*Bucarest!I$102+Magdalena!I54*Magdalena!I$102+BFC!I54*BFC!I$102</f>
        <v>-465202</v>
      </c>
      <c r="J54" s="3">
        <f>+Descubrimiento!J54*Descubrimiento!J$103+'Rentas SpA'!J54*'Rentas SpA'!J$102+'Pza Const'!J54*'Pza Const'!J$102+'Pza Arauc'!J54*'Pza Arauc'!J$102+RRetail!J54*RRetail!J$102+Bucarest!J54*Bucarest!J$102+Magdalena!J54*Magdalena!J$102+BFC!J54*BFC!J$102</f>
        <v>-679706</v>
      </c>
      <c r="K54" s="3">
        <f>+Descubrimiento!K54*Descubrimiento!K$103+'Rentas SpA'!K54*'Rentas SpA'!K$102+'Pza Const'!K54*'Pza Const'!K$102+'Pza Arauc'!K54*'Pza Arauc'!K$102+RRetail!K54*RRetail!K$102+Bucarest!K54*Bucarest!K$102+Magdalena!K54*Magdalena!K$102+BFC!K54*BFC!K$102</f>
        <v>-146415</v>
      </c>
      <c r="L54" s="3">
        <f>+Descubrimiento!L54*Descubrimiento!L$103+'Rentas SpA'!L54*'Rentas SpA'!L$102+'Pza Const'!L54*'Pza Const'!L$102+'Pza Arauc'!L54*'Pza Arauc'!L$102+RRetail!L54*RRetail!L$102+Bucarest!L54*Bucarest!L$102+Magdalena!L54*Magdalena!L$102+BFC!L54*BFC!L$102</f>
        <v>-313784</v>
      </c>
      <c r="M54" s="3">
        <f>+Descubrimiento!M54*Descubrimiento!M$103+'Rentas SpA'!M54*'Rentas SpA'!M$102+'Pza Const'!M54*'Pza Const'!M$102+'Pza Arauc'!M54*'Pza Arauc'!M$102+RRetail!M54*RRetail!M$102+Bucarest!M54*Bucarest!M$102+Magdalena!M54*Magdalena!M$102+BFC!M54*BFC!M$102</f>
        <v>-805801</v>
      </c>
      <c r="N54" s="3">
        <f>+Descubrimiento!N54*Descubrimiento!N$103+'Rentas SpA'!N54*'Rentas SpA'!N$102+'Pza Const'!N54*'Pza Const'!N$102+'Pza Arauc'!N54*'Pza Arauc'!N$102+RRetail!N54*RRetail!N$102+Bucarest!N54*Bucarest!N$102+Magdalena!N54*Magdalena!N$102+BFC!N54*BFC!N$102</f>
        <v>-2558028.6</v>
      </c>
      <c r="O54" s="3">
        <f>+Descubrimiento!O54*Descubrimiento!O$103+'Rentas SpA'!O54*'Rentas SpA'!O$102+'Pza Const'!O54*'Pza Const'!O$102+'Pza Arauc'!O54*'Pza Arauc'!O$102+RRetail!O54*RRetail!O$102+Bucarest!O54*Bucarest!O$102+Magdalena!O54*Magdalena!O$102+BFC!O54*BFC!O$102</f>
        <v>-867269.8</v>
      </c>
      <c r="P54" s="3">
        <f>+Descubrimiento!P54*Descubrimiento!P$103+'Rentas SpA'!P54*'Rentas SpA'!P$102+'Pza Const'!P54*'Pza Const'!P$102+'Pza Arauc'!P54*'Pza Arauc'!P$102+RRetail!P54*RRetail!P$102+Bucarest!P54*Bucarest!P$102+Magdalena!P54*Magdalena!P$102+BFC!P54*BFC!P$102</f>
        <v>-1420201.4000000001</v>
      </c>
      <c r="Q54" s="3">
        <f>+Descubrimiento!Q54*Descubrimiento!Q$103+'Rentas SpA'!Q54*'Rentas SpA'!Q$102+'Pza Const'!Q54*'Pza Const'!Q$102+'Pza Arauc'!Q54*'Pza Arauc'!Q$102+RRetail!Q54*RRetail!Q$102+Bucarest!Q54*Bucarest!Q$102+Magdalena!Q54*Magdalena!Q$102+BFC!Q54*BFC!Q$102</f>
        <v>-2180470</v>
      </c>
      <c r="R54" s="3">
        <f>+Descubrimiento!R54*Descubrimiento!R$103+'Rentas SpA'!R54*'Rentas SpA'!R$102+'Pza Const'!R54*'Pza Const'!R$102+'Pza Arauc'!R54*'Pza Arauc'!R$102+RRetail!R54*RRetail!R$102+Bucarest!R54*Bucarest!R$102+Magdalena!R54*Magdalena!R$102+BFC!R54*BFC!R$102</f>
        <v>-2511333.7999999998</v>
      </c>
      <c r="S54" s="3">
        <f>+Descubrimiento!S54*Descubrimiento!S$103+'Rentas SpA'!S54*'Rentas SpA'!S$102+'Pza Const'!S54*'Pza Const'!S$102+'Pza Arauc'!S54*'Pza Arauc'!S$102+RRetail!S54*RRetail!S$102+Bucarest!S54*Bucarest!S$102+Magdalena!S54*Magdalena!S$102+BFC!S54*BFC!S$102</f>
        <v>-517128.1</v>
      </c>
      <c r="T54" s="3">
        <f>+Descubrimiento!T54*Descubrimiento!T$103+'Rentas SpA'!T54*'Rentas SpA'!T$102+'Pza Const'!T54*'Pza Const'!T$102+'Pza Arauc'!T54*'Pza Arauc'!T$102+RRetail!T54*RRetail!T$102+Bucarest!T54*Bucarest!T$102+Magdalena!T54*Magdalena!T$102+BFC!T54*BFC!T$102</f>
        <v>-2784659.9</v>
      </c>
      <c r="U54" s="3">
        <f>+Descubrimiento!U54*Descubrimiento!U$103+'Rentas SpA'!U54*'Rentas SpA'!U$102+'Pza Const'!U54*'Pza Const'!U$102+'Pza Arauc'!U54*'Pza Arauc'!U$102+RRetail!U54*RRetail!U$102+Bucarest!U54*Bucarest!U$102+Magdalena!U54*Magdalena!U$102+BFC!U54*BFC!U$102</f>
        <v>-4443559.8</v>
      </c>
      <c r="V54" s="3">
        <f>+Descubrimiento!V54*Descubrimiento!V$103+'Rentas SpA'!V54*'Rentas SpA'!V$102+'Pza Const'!V54*'Pza Const'!V$102+'Pza Arauc'!V54*'Pza Arauc'!V$102+RRetail!V54*RRetail!V$102+Bucarest!V54*Bucarest!V$102+Magdalena!V54*Magdalena!V$102+BFC!V54*BFC!V$102</f>
        <v>-4196827.6999999993</v>
      </c>
      <c r="W54" s="3">
        <f>+Descubrimiento!W54*Descubrimiento!W$103+'Rentas SpA'!W54*'Rentas SpA'!W$102+'Pza Const'!W54*'Pza Const'!W$102+'Pza Arauc'!W54*'Pza Arauc'!W$102+RRetail!W54*RRetail!W$102+Bucarest!W54*Bucarest!W$102+Magdalena!W54*Magdalena!W$102+BFC!W54*BFC!W$102</f>
        <v>-763532.79999999993</v>
      </c>
      <c r="X54" s="3">
        <f>+Descubrimiento!X54*Descubrimiento!X$103+'Rentas SpA'!X54*'Rentas SpA'!X$102+'Pza Const'!X54*'Pza Const'!X$102+'Pza Arauc'!X54*'Pza Arauc'!X$102+RRetail!X54*RRetail!X$102+Bucarest!X54*Bucarest!X$102+Magdalena!X54*Magdalena!X$102+BFC!X54*BFC!X$102</f>
        <v>-2422019.2999999998</v>
      </c>
      <c r="Y54" s="3">
        <f>+Descubrimiento!Y54*Descubrimiento!Y$103+'Rentas SpA'!Y54*'Rentas SpA'!Y$102+'Pza Const'!Y54*'Pza Const'!Y$102+'Pza Arauc'!Y54*'Pza Arauc'!Y$102+RRetail!Y54*RRetail!Y$102+Bucarest!Y54*Bucarest!Y$102+Magdalena!Y54*Magdalena!Y$102+BFC!Y54*BFC!Y$102</f>
        <v>-3443325</v>
      </c>
      <c r="Z54" s="3">
        <f>+Descubrimiento!Z54*Descubrimiento!Z$103+'Rentas SpA'!Z54*'Rentas SpA'!Z$102+'Pza Const'!Z54*'Pza Const'!Z$102+'Pza Arauc'!Z54*'Pza Arauc'!Z$102+RRetail!Z54*RRetail!Z$102+Bucarest!Z54*Bucarest!Z$102+Magdalena!Z54*Magdalena!Z$102+BFC!Z54*BFC!Z$102</f>
        <v>-4573837.6999999993</v>
      </c>
      <c r="AA54" s="3">
        <f>+Descubrimiento!AA54*Descubrimiento!AA$103+'Rentas SpA'!AA54*'Rentas SpA'!AA$102+'Pza Const'!AA54*'Pza Const'!AA$102+'Pza Arauc'!AA54*'Pza Arauc'!AA$102+RRetail!AA54*RRetail!AA$102+Bucarest!AA54*Bucarest!AA$102+Magdalena!AA54*Magdalena!AA$102+BFC!AA54*BFC!AA$102</f>
        <v>-977439.79999999993</v>
      </c>
      <c r="AB54" s="3">
        <f>+Descubrimiento!AB54*Descubrimiento!AB$103+'Rentas SpA'!AB54*'Rentas SpA'!AB$102+'Pza Const'!AB54*'Pza Const'!AB$102+'Pza Arauc'!AB54*'Pza Arauc'!AB$102+RRetail!AB54*RRetail!AB$102+Bucarest!AB54*Bucarest!AB$102+Magdalena!AB54*Magdalena!AB$102+BFC!AB54*BFC!AB$102</f>
        <v>-2243816.5999999996</v>
      </c>
      <c r="AC54" s="3">
        <f>+Descubrimiento!AC54*Descubrimiento!AC$103+'Rentas SpA'!AC54*'Rentas SpA'!AC$102+'Pza Const'!AC54*'Pza Const'!AC$102+'Pza Arauc'!AC54*'Pza Arauc'!AC$102+RRetail!AC54*RRetail!AC$102+Bucarest!AC54*Bucarest!AC$102+Magdalena!AC54*Magdalena!AC$102+BFC!AC54*BFC!AC$102</f>
        <v>-3282444</v>
      </c>
      <c r="AD54" s="3">
        <f>+Descubrimiento!AD54*Descubrimiento!AD$103+'Rentas SpA'!AD54*'Rentas SpA'!AD$102+'Pza Const'!AD54*'Pza Const'!AD$102+'Pza Arauc'!AD54*'Pza Arauc'!AD$102+RRetail!AD54*RRetail!AD$102+Bucarest!AD54*Bucarest!AD$102+Magdalena!AD54*Magdalena!AD$102+BFC!AD54*BFC!AD$102</f>
        <v>-4720537</v>
      </c>
      <c r="AE54" s="3">
        <f>+Descubrimiento!AE54*Descubrimiento!AE$103+'Rentas SpA'!AE54*'Rentas SpA'!AE$102+'Pza Const'!AE54*'Pza Const'!AE$102+'Pza Arauc'!AE54*'Pza Arauc'!AE$102+RRetail!AE54*RRetail!AE$102+Bucarest!AE54*Bucarest!AE$102+Magdalena!AE54*Magdalena!AE$102+BFC!AE54*BFC!AE$102</f>
        <v>-1018201.7</v>
      </c>
      <c r="AF54" s="3">
        <f>+Descubrimiento!AF54*Descubrimiento!AF$103+'Rentas SpA'!AF54*'Rentas SpA'!AF$102+'Pza Const'!AF54*'Pza Const'!AF$102+'Pza Arauc'!AF54*'Pza Arauc'!AF$102+RRetail!AF54*RRetail!AF$102+Bucarest!AF54*Bucarest!AF$102+Magdalena!AF54*Magdalena!AF$102+BFC!AF54*BFC!AF$102</f>
        <v>-2266724.0999999996</v>
      </c>
      <c r="AG54" s="3">
        <f>+Descubrimiento!AG54*Descubrimiento!AG$103+'Rentas SpA'!AG54*'Rentas SpA'!AG$102+'Pza Const'!AG54*'Pza Const'!AG$102+'Pza Arauc'!AG54*'Pza Arauc'!AG$102+RRetail!AG54*RRetail!AG$102+Bucarest!AG54*Bucarest!AG$102+Magdalena!AG54*Magdalena!AG$102+BFC!AG54*BFC!AG$102</f>
        <v>-3213512.4</v>
      </c>
      <c r="AH54" s="3">
        <f>+Descubrimiento!AH54*Descubrimiento!AH$103+'Rentas SpA'!AH54*'Rentas SpA'!AH$102+'Pza Const'!AH54*'Pza Const'!AH$102+'Pza Arauc'!AH54*'Pza Arauc'!AH$102+RRetail!AH54*RRetail!AH$102+Bucarest!AH54*Bucarest!AH$102+Magdalena!AH54*Magdalena!AH$102+BFC!AH54*BFC!AH$102</f>
        <v>-4750222.6999999993</v>
      </c>
      <c r="AI54" s="3">
        <f>+Descubrimiento!AI54*Descubrimiento!AI$103+'Rentas SpA'!AI54*'Rentas SpA'!AI$102+'Pza Const'!AI54*'Pza Const'!AI$102+'Pza Arauc'!AI54*'Pza Arauc'!AI$102+RRetail!AI54*RRetail!AI$102+Bucarest!AI54*Bucarest!AI$102+Magdalena!AI54*Magdalena!AI$102+BFC!AI54*BFC!AI$102</f>
        <v>-1029130.8999999999</v>
      </c>
    </row>
    <row r="55" spans="1:35" x14ac:dyDescent="0.3">
      <c r="A55" s="1" t="s">
        <v>139</v>
      </c>
      <c r="B55" s="3">
        <f>+Descubrimiento!B55*Descubrimiento!B$103+'Rentas SpA'!B55*'Rentas SpA'!B$102+'Pza Const'!B55*'Pza Const'!B$102+'Pza Arauc'!B55*'Pza Arauc'!B$102+RRetail!B55*RRetail!B$102+Bucarest!B55*Bucarest!B$102+Magdalena!B55*Magdalena!B$102+BFC!B55*BFC!B$102</f>
        <v>-1885548</v>
      </c>
      <c r="C55" s="3">
        <f>+Descubrimiento!C55*Descubrimiento!C$103+'Rentas SpA'!C55*'Rentas SpA'!C$102+'Pza Const'!C55*'Pza Const'!C$102+'Pza Arauc'!C55*'Pza Arauc'!C$102+RRetail!C55*RRetail!C$102+Bucarest!C55*Bucarest!C$102+Magdalena!C55*Magdalena!C$102+BFC!C55*BFC!C$102</f>
        <v>0</v>
      </c>
      <c r="D55" s="3">
        <f>+Descubrimiento!D55*Descubrimiento!D$103+'Rentas SpA'!D55*'Rentas SpA'!D$102+'Pza Const'!D55*'Pza Const'!D$102+'Pza Arauc'!D55*'Pza Arauc'!D$102+RRetail!D55*RRetail!D$102+Bucarest!D55*Bucarest!D$102+Magdalena!D55*Magdalena!D$102+BFC!D55*BFC!D$102</f>
        <v>0</v>
      </c>
      <c r="E55" s="3">
        <f>+Descubrimiento!E55*Descubrimiento!E$103+'Rentas SpA'!E55*'Rentas SpA'!E$102+'Pza Const'!E55*'Pza Const'!E$102+'Pza Arauc'!E55*'Pza Arauc'!E$102+RRetail!E55*RRetail!E$102+Bucarest!E55*Bucarest!E$102+Magdalena!E55*Magdalena!E$102+BFC!E55*BFC!E$102</f>
        <v>-45947</v>
      </c>
      <c r="F55" s="3">
        <f>+Descubrimiento!F55*Descubrimiento!F$103+'Rentas SpA'!F55*'Rentas SpA'!F$102+'Pza Const'!F55*'Pza Const'!F$102+'Pza Arauc'!F55*'Pza Arauc'!F$102+RRetail!F55*RRetail!F$102+Bucarest!F55*Bucarest!F$102+Magdalena!F55*Magdalena!F$102+BFC!F55*BFC!F$102</f>
        <v>0</v>
      </c>
      <c r="G55" s="3">
        <f>+Descubrimiento!G55*Descubrimiento!G$103+'Rentas SpA'!G55*'Rentas SpA'!G$102+'Pza Const'!G55*'Pza Const'!G$102+'Pza Arauc'!G55*'Pza Arauc'!G$102+RRetail!G55*RRetail!G$102+Bucarest!G55*Bucarest!G$102+Magdalena!G55*Magdalena!G$102+BFC!G55*BFC!G$102</f>
        <v>-36736</v>
      </c>
      <c r="H55" s="3">
        <f>+Descubrimiento!H55*Descubrimiento!H$103+'Rentas SpA'!H55*'Rentas SpA'!H$102+'Pza Const'!H55*'Pza Const'!H$102+'Pza Arauc'!H55*'Pza Arauc'!H$102+RRetail!H55*RRetail!H$102+Bucarest!H55*Bucarest!H$102+Magdalena!H55*Magdalena!H$102+BFC!H55*BFC!H$102</f>
        <v>-91119</v>
      </c>
      <c r="I55" s="3">
        <f>+Descubrimiento!I55*Descubrimiento!I$103+'Rentas SpA'!I55*'Rentas SpA'!I$102+'Pza Const'!I55*'Pza Const'!I$102+'Pza Arauc'!I55*'Pza Arauc'!I$102+RRetail!I55*RRetail!I$102+Bucarest!I55*Bucarest!I$102+Magdalena!I55*Magdalena!I$102+BFC!I55*BFC!I$102</f>
        <v>-384388</v>
      </c>
      <c r="J55" s="3">
        <f>+Descubrimiento!J55*Descubrimiento!J$103+'Rentas SpA'!J55*'Rentas SpA'!J$102+'Pza Const'!J55*'Pza Const'!J$102+'Pza Arauc'!J55*'Pza Arauc'!J$102+RRetail!J55*RRetail!J$102+Bucarest!J55*Bucarest!J$102+Magdalena!J55*Magdalena!J$102+BFC!J55*BFC!J$102</f>
        <v>0</v>
      </c>
      <c r="K55" s="3">
        <f>+Descubrimiento!K55*Descubrimiento!K$103+'Rentas SpA'!K55*'Rentas SpA'!K$102+'Pza Const'!K55*'Pza Const'!K$102+'Pza Arauc'!K55*'Pza Arauc'!K$102+RRetail!K55*RRetail!K$102+Bucarest!K55*Bucarest!K$102+Magdalena!K55*Magdalena!K$102+BFC!K55*BFC!K$102</f>
        <v>0</v>
      </c>
      <c r="L55" s="3">
        <f>+Descubrimiento!L55*Descubrimiento!L$103+'Rentas SpA'!L55*'Rentas SpA'!L$102+'Pza Const'!L55*'Pza Const'!L$102+'Pza Arauc'!L55*'Pza Arauc'!L$102+RRetail!L55*RRetail!L$102+Bucarest!L55*Bucarest!L$102+Magdalena!L55*Magdalena!L$102+BFC!L55*BFC!L$102</f>
        <v>-99</v>
      </c>
      <c r="M55" s="3">
        <f>+Descubrimiento!M55*Descubrimiento!M$103+'Rentas SpA'!M55*'Rentas SpA'!M$102+'Pza Const'!M55*'Pza Const'!M$102+'Pza Arauc'!M55*'Pza Arauc'!M$102+RRetail!M55*RRetail!M$102+Bucarest!M55*Bucarest!M$102+Magdalena!M55*Magdalena!M$102+BFC!M55*BFC!M$102</f>
        <v>-99</v>
      </c>
      <c r="N55" s="3">
        <f>+Descubrimiento!N55*Descubrimiento!N$103+'Rentas SpA'!N55*'Rentas SpA'!N$102+'Pza Const'!N55*'Pza Const'!N$102+'Pza Arauc'!N55*'Pza Arauc'!N$102+RRetail!N55*RRetail!N$102+Bucarest!N55*Bucarest!N$102+Magdalena!N55*Magdalena!N$102+BFC!N55*BFC!N$102</f>
        <v>0</v>
      </c>
      <c r="O55" s="3">
        <f>+Descubrimiento!O55*Descubrimiento!O$103+'Rentas SpA'!O55*'Rentas SpA'!O$102+'Pza Const'!O55*'Pza Const'!O$102+'Pza Arauc'!O55*'Pza Arauc'!O$102+RRetail!O55*RRetail!O$102+Bucarest!O55*Bucarest!O$102+Magdalena!O55*Magdalena!O$102+BFC!O55*BFC!O$102</f>
        <v>0</v>
      </c>
      <c r="P55" s="3">
        <f>+Descubrimiento!P55*Descubrimiento!P$103+'Rentas SpA'!P55*'Rentas SpA'!P$102+'Pza Const'!P55*'Pza Const'!P$102+'Pza Arauc'!P55*'Pza Arauc'!P$102+RRetail!P55*RRetail!P$102+Bucarest!P55*Bucarest!P$102+Magdalena!P55*Magdalena!P$102+BFC!P55*BFC!P$102</f>
        <v>0</v>
      </c>
      <c r="Q55" s="3">
        <f>+Descubrimiento!Q55*Descubrimiento!Q$103+'Rentas SpA'!Q55*'Rentas SpA'!Q$102+'Pza Const'!Q55*'Pza Const'!Q$102+'Pza Arauc'!Q55*'Pza Arauc'!Q$102+RRetail!Q55*RRetail!Q$102+Bucarest!Q55*Bucarest!Q$102+Magdalena!Q55*Magdalena!Q$102+BFC!Q55*BFC!Q$102</f>
        <v>0</v>
      </c>
      <c r="R55" s="3">
        <f>+Descubrimiento!R55*Descubrimiento!R$103+'Rentas SpA'!R55*'Rentas SpA'!R$102+'Pza Const'!R55*'Pza Const'!R$102+'Pza Arauc'!R55*'Pza Arauc'!R$102+RRetail!R55*RRetail!R$102+Bucarest!R55*Bucarest!R$102+Magdalena!R55*Magdalena!R$102+BFC!R55*BFC!R$102</f>
        <v>0</v>
      </c>
      <c r="S55" s="3">
        <f>+Descubrimiento!S55*Descubrimiento!S$103+'Rentas SpA'!S55*'Rentas SpA'!S$102+'Pza Const'!S55*'Pza Const'!S$102+'Pza Arauc'!S55*'Pza Arauc'!S$102+RRetail!S55*RRetail!S$102+Bucarest!S55*Bucarest!S$102+Magdalena!S55*Magdalena!S$102+BFC!S55*BFC!S$102</f>
        <v>0</v>
      </c>
      <c r="T55" s="3">
        <f>+Descubrimiento!T55*Descubrimiento!T$103+'Rentas SpA'!T55*'Rentas SpA'!T$102+'Pza Const'!T55*'Pza Const'!T$102+'Pza Arauc'!T55*'Pza Arauc'!T$102+RRetail!T55*RRetail!T$102+Bucarest!T55*Bucarest!T$102+Magdalena!T55*Magdalena!T$102+BFC!T55*BFC!T$102</f>
        <v>0</v>
      </c>
      <c r="U55" s="3">
        <f>+Descubrimiento!U55*Descubrimiento!U$103+'Rentas SpA'!U55*'Rentas SpA'!U$102+'Pza Const'!U55*'Pza Const'!U$102+'Pza Arauc'!U55*'Pza Arauc'!U$102+RRetail!U55*RRetail!U$102+Bucarest!U55*Bucarest!U$102+Magdalena!U55*Magdalena!U$102+BFC!U55*BFC!U$102</f>
        <v>0</v>
      </c>
      <c r="V55" s="3">
        <f>+Descubrimiento!V55*Descubrimiento!V$103+'Rentas SpA'!V55*'Rentas SpA'!V$102+'Pza Const'!V55*'Pza Const'!V$102+'Pza Arauc'!V55*'Pza Arauc'!V$102+RRetail!V55*RRetail!V$102+Bucarest!V55*Bucarest!V$102+Magdalena!V55*Magdalena!V$102+BFC!V55*BFC!V$102</f>
        <v>-55543.6</v>
      </c>
      <c r="W55" s="3">
        <f>+Descubrimiento!W55*Descubrimiento!W$103+'Rentas SpA'!W55*'Rentas SpA'!W$102+'Pza Const'!W55*'Pza Const'!W$102+'Pza Arauc'!W55*'Pza Arauc'!W$102+RRetail!W55*RRetail!W$102+Bucarest!W55*Bucarest!W$102+Magdalena!W55*Magdalena!W$102+BFC!W55*BFC!W$102</f>
        <v>-40512253</v>
      </c>
      <c r="X55" s="3">
        <f>+Descubrimiento!X55*Descubrimiento!X$103+'Rentas SpA'!X55*'Rentas SpA'!X$102+'Pza Const'!X55*'Pza Const'!X$102+'Pza Arauc'!X55*'Pza Arauc'!X$102+RRetail!X55*RRetail!X$102+Bucarest!X55*Bucarest!X$102+Magdalena!X55*Magdalena!X$102+BFC!X55*BFC!X$102</f>
        <v>-41091352</v>
      </c>
      <c r="Y55" s="3">
        <f>+Descubrimiento!Y55*Descubrimiento!Y$103+'Rentas SpA'!Y55*'Rentas SpA'!Y$102+'Pza Const'!Y55*'Pza Const'!Y$102+'Pza Arauc'!Y55*'Pza Arauc'!Y$102+RRetail!Y55*RRetail!Y$102+Bucarest!Y55*Bucarest!Y$102+Magdalena!Y55*Magdalena!Y$102+BFC!Y55*BFC!Y$102</f>
        <v>-41103189</v>
      </c>
      <c r="Z55" s="3">
        <f>+Descubrimiento!Z55*Descubrimiento!Z$103+'Rentas SpA'!Z55*'Rentas SpA'!Z$102+'Pza Const'!Z55*'Pza Const'!Z$102+'Pza Arauc'!Z55*'Pza Arauc'!Z$102+RRetail!Z55*RRetail!Z$102+Bucarest!Z55*Bucarest!Z$102+Magdalena!Z55*Magdalena!Z$102+BFC!Z55*BFC!Z$102</f>
        <v>-1437.8</v>
      </c>
      <c r="AA55" s="3">
        <f>+Descubrimiento!AA55*Descubrimiento!AA$103+'Rentas SpA'!AA55*'Rentas SpA'!AA$102+'Pza Const'!AA55*'Pza Const'!AA$102+'Pza Arauc'!AA55*'Pza Arauc'!AA$102+RRetail!AA55*RRetail!AA$102+Bucarest!AA55*Bucarest!AA$102+Magdalena!AA55*Magdalena!AA$102+BFC!AA55*BFC!AA$102</f>
        <v>-13733</v>
      </c>
      <c r="AB55" s="3">
        <f>+Descubrimiento!AB55*Descubrimiento!AB$103+'Rentas SpA'!AB55*'Rentas SpA'!AB$102+'Pza Const'!AB55*'Pza Const'!AB$102+'Pza Arauc'!AB55*'Pza Arauc'!AB$102+RRetail!AB55*RRetail!AB$102+Bucarest!AB55*Bucarest!AB$102+Magdalena!AB55*Magdalena!AB$102+BFC!AB55*BFC!AB$102</f>
        <v>-2193</v>
      </c>
      <c r="AC55" s="3">
        <f>+Descubrimiento!AC55*Descubrimiento!AC$103+'Rentas SpA'!AC55*'Rentas SpA'!AC$102+'Pza Const'!AC55*'Pza Const'!AC$102+'Pza Arauc'!AC55*'Pza Arauc'!AC$102+RRetail!AC55*RRetail!AC$102+Bucarest!AC55*Bucarest!AC$102+Magdalena!AC55*Magdalena!AC$102+BFC!AC55*BFC!AC$102</f>
        <v>-6733.5</v>
      </c>
      <c r="AD55" s="3">
        <f>+Descubrimiento!AD55*Descubrimiento!AD$103+'Rentas SpA'!AD55*'Rentas SpA'!AD$102+'Pza Const'!AD55*'Pza Const'!AD$102+'Pza Arauc'!AD55*'Pza Arauc'!AD$102+RRetail!AD55*RRetail!AD$102+Bucarest!AD55*Bucarest!AD$102+Magdalena!AD55*Magdalena!AD$102+BFC!AD55*BFC!AD$102</f>
        <v>-8351.9</v>
      </c>
      <c r="AE55" s="3">
        <f>+Descubrimiento!AE55*Descubrimiento!AE$103+'Rentas SpA'!AE55*'Rentas SpA'!AE$102+'Pza Const'!AE55*'Pza Const'!AE$102+'Pza Arauc'!AE55*'Pza Arauc'!AE$102+RRetail!AE55*RRetail!AE$102+Bucarest!AE55*Bucarest!AE$102+Magdalena!AE55*Magdalena!AE$102+BFC!AE55*BFC!AE$102</f>
        <v>-1254</v>
      </c>
      <c r="AF55" s="3">
        <f>+Descubrimiento!AF55*Descubrimiento!AF$103+'Rentas SpA'!AF55*'Rentas SpA'!AF$102+'Pza Const'!AF55*'Pza Const'!AF$102+'Pza Arauc'!AF55*'Pza Arauc'!AF$102+RRetail!AF55*RRetail!AF$102+Bucarest!AF55*Bucarest!AF$102+Magdalena!AF55*Magdalena!AF$102+BFC!AF55*BFC!AF$102</f>
        <v>-2611</v>
      </c>
      <c r="AG55" s="3">
        <f>+Descubrimiento!AG55*Descubrimiento!AG$103+'Rentas SpA'!AG55*'Rentas SpA'!AG$102+'Pza Const'!AG55*'Pza Const'!AG$102+'Pza Arauc'!AG55*'Pza Arauc'!AG$102+RRetail!AG55*RRetail!AG$102+Bucarest!AG55*Bucarest!AG$102+Magdalena!AG55*Magdalena!AG$102+BFC!AG55*BFC!AG$102</f>
        <v>-4705.3999999999996</v>
      </c>
      <c r="AH55" s="3">
        <f>+Descubrimiento!AH55*Descubrimiento!AH$103+'Rentas SpA'!AH55*'Rentas SpA'!AH$102+'Pza Const'!AH55*'Pza Const'!AH$102+'Pza Arauc'!AH55*'Pza Arauc'!AH$102+RRetail!AH55*RRetail!AH$102+Bucarest!AH55*Bucarest!AH$102+Magdalena!AH55*Magdalena!AH$102+BFC!AH55*BFC!AH$102</f>
        <v>-1698.6</v>
      </c>
      <c r="AI55" s="3">
        <f>+Descubrimiento!AI55*Descubrimiento!AI$103+'Rentas SpA'!AI55*'Rentas SpA'!AI$102+'Pza Const'!AI55*'Pza Const'!AI$102+'Pza Arauc'!AI55*'Pza Arauc'!AI$102+RRetail!AI55*RRetail!AI$102+Bucarest!AI55*Bucarest!AI$102+Magdalena!AI55*Magdalena!AI$102+BFC!AI55*BFC!AI$102</f>
        <v>0</v>
      </c>
    </row>
    <row r="56" spans="1:35" x14ac:dyDescent="0.3">
      <c r="A56" s="1" t="s">
        <v>140</v>
      </c>
      <c r="B56" s="3">
        <f>+Descubrimiento!B56*Descubrimiento!B$103+'Rentas SpA'!B56*'Rentas SpA'!B$102+'Pza Const'!B56*'Pza Const'!B$102+'Pza Arauc'!B56*'Pza Arauc'!B$102+RRetail!B56*RRetail!B$102+Bucarest!B56*Bucarest!B$102+Magdalena!B56*Magdalena!B$102+BFC!B56*BFC!B$102</f>
        <v>1377</v>
      </c>
      <c r="C56" s="3">
        <f>+Descubrimiento!C56*Descubrimiento!C$103+'Rentas SpA'!C56*'Rentas SpA'!C$102+'Pza Const'!C56*'Pza Const'!C$102+'Pza Arauc'!C56*'Pza Arauc'!C$102+RRetail!C56*RRetail!C$102+Bucarest!C56*Bucarest!C$102+Magdalena!C56*Magdalena!C$102+BFC!C56*BFC!C$102</f>
        <v>-36257</v>
      </c>
      <c r="D56" s="3">
        <f>+Descubrimiento!D56*Descubrimiento!D$103+'Rentas SpA'!D56*'Rentas SpA'!D$102+'Pza Const'!D56*'Pza Const'!D$102+'Pza Arauc'!D56*'Pza Arauc'!D$102+RRetail!D56*RRetail!D$102+Bucarest!D56*Bucarest!D$102+Magdalena!D56*Magdalena!D$102+BFC!D56*BFC!D$102</f>
        <v>0</v>
      </c>
      <c r="E56" s="3">
        <f>+Descubrimiento!E56*Descubrimiento!E$103+'Rentas SpA'!E56*'Rentas SpA'!E$102+'Pza Const'!E56*'Pza Const'!E$102+'Pza Arauc'!E56*'Pza Arauc'!E$102+RRetail!E56*RRetail!E$102+Bucarest!E56*Bucarest!E$102+Magdalena!E56*Magdalena!E$102+BFC!E56*BFC!E$102</f>
        <v>2113884</v>
      </c>
      <c r="F56" s="3">
        <f>+Descubrimiento!F56*Descubrimiento!F$103+'Rentas SpA'!F56*'Rentas SpA'!F$102+'Pza Const'!F56*'Pza Const'!F$102+'Pza Arauc'!F56*'Pza Arauc'!F$102+RRetail!F56*RRetail!F$102+Bucarest!F56*Bucarest!F$102+Magdalena!F56*Magdalena!F$102+BFC!F56*BFC!F$102</f>
        <v>161113</v>
      </c>
      <c r="G56" s="3">
        <f>+Descubrimiento!G56*Descubrimiento!G$103+'Rentas SpA'!G56*'Rentas SpA'!G$102+'Pza Const'!G56*'Pza Const'!G$102+'Pza Arauc'!G56*'Pza Arauc'!G$102+RRetail!G56*RRetail!G$102+Bucarest!G56*Bucarest!G$102+Magdalena!G56*Magdalena!G$102+BFC!G56*BFC!G$102</f>
        <v>0</v>
      </c>
      <c r="H56" s="3">
        <f>+Descubrimiento!H56*Descubrimiento!H$103+'Rentas SpA'!H56*'Rentas SpA'!H$102+'Pza Const'!H56*'Pza Const'!H$102+'Pza Arauc'!H56*'Pza Arauc'!H$102+RRetail!H56*RRetail!H$102+Bucarest!H56*Bucarest!H$102+Magdalena!H56*Magdalena!H$102+BFC!H56*BFC!H$102</f>
        <v>0</v>
      </c>
      <c r="I56" s="3">
        <f>+Descubrimiento!I56*Descubrimiento!I$103+'Rentas SpA'!I56*'Rentas SpA'!I$102+'Pza Const'!I56*'Pza Const'!I$102+'Pza Arauc'!I56*'Pza Arauc'!I$102+RRetail!I56*RRetail!I$102+Bucarest!I56*Bucarest!I$102+Magdalena!I56*Magdalena!I$102+BFC!I56*BFC!I$102</f>
        <v>972251</v>
      </c>
      <c r="J56" s="3">
        <f>+Descubrimiento!J56*Descubrimiento!J$103+'Rentas SpA'!J56*'Rentas SpA'!J$102+'Pza Const'!J56*'Pza Const'!J$102+'Pza Arauc'!J56*'Pza Arauc'!J$102+RRetail!J56*RRetail!J$102+Bucarest!J56*Bucarest!J$102+Magdalena!J56*Magdalena!J$102+BFC!J56*BFC!J$102</f>
        <v>1198938</v>
      </c>
      <c r="K56" s="3">
        <f>+Descubrimiento!K56*Descubrimiento!K$103+'Rentas SpA'!K56*'Rentas SpA'!K$102+'Pza Const'!K56*'Pza Const'!K$102+'Pza Arauc'!K56*'Pza Arauc'!K$102+RRetail!K56*RRetail!K$102+Bucarest!K56*Bucarest!K$102+Magdalena!K56*Magdalena!K$102+BFC!K56*BFC!K$102</f>
        <v>3823</v>
      </c>
      <c r="L56" s="3">
        <f>+Descubrimiento!L56*Descubrimiento!L$103+'Rentas SpA'!L56*'Rentas SpA'!L$102+'Pza Const'!L56*'Pza Const'!L$102+'Pza Arauc'!L56*'Pza Arauc'!L$102+RRetail!L56*RRetail!L$102+Bucarest!L56*Bucarest!L$102+Magdalena!L56*Magdalena!L$102+BFC!L56*BFC!L$102</f>
        <v>-9923</v>
      </c>
      <c r="M56" s="3">
        <f>+Descubrimiento!M56*Descubrimiento!M$103+'Rentas SpA'!M56*'Rentas SpA'!M$102+'Pza Const'!M56*'Pza Const'!M$102+'Pza Arauc'!M56*'Pza Arauc'!M$102+RRetail!M56*RRetail!M$102+Bucarest!M56*Bucarest!M$102+Magdalena!M56*Magdalena!M$102+BFC!M56*BFC!M$102</f>
        <v>-9923</v>
      </c>
      <c r="N56" s="3">
        <f>+Descubrimiento!N56*Descubrimiento!N$103+'Rentas SpA'!N56*'Rentas SpA'!N$102+'Pza Const'!N56*'Pza Const'!N$102+'Pza Arauc'!N56*'Pza Arauc'!N$102+RRetail!N56*RRetail!N$102+Bucarest!N56*Bucarest!N$102+Magdalena!N56*Magdalena!N$102+BFC!N56*BFC!N$102</f>
        <v>1118712</v>
      </c>
      <c r="O56" s="3">
        <f>+Descubrimiento!O56*Descubrimiento!O$103+'Rentas SpA'!O56*'Rentas SpA'!O$102+'Pza Const'!O56*'Pza Const'!O$102+'Pza Arauc'!O56*'Pza Arauc'!O$102+RRetail!O56*RRetail!O$102+Bucarest!O56*Bucarest!O$102+Magdalena!O56*Magdalena!O$102+BFC!O56*BFC!O$102</f>
        <v>9060.4</v>
      </c>
      <c r="P56" s="3">
        <f>+Descubrimiento!P56*Descubrimiento!P$103+'Rentas SpA'!P56*'Rentas SpA'!P$102+'Pza Const'!P56*'Pza Const'!P$102+'Pza Arauc'!P56*'Pza Arauc'!P$102+RRetail!P56*RRetail!P$102+Bucarest!P56*Bucarest!P$102+Magdalena!P56*Magdalena!P$102+BFC!P56*BFC!P$102</f>
        <v>0</v>
      </c>
      <c r="Q56" s="3">
        <f>+Descubrimiento!Q56*Descubrimiento!Q$103+'Rentas SpA'!Q56*'Rentas SpA'!Q$102+'Pza Const'!Q56*'Pza Const'!Q$102+'Pza Arauc'!Q56*'Pza Arauc'!Q$102+RRetail!Q56*RRetail!Q$102+Bucarest!Q56*Bucarest!Q$102+Magdalena!Q56*Magdalena!Q$102+BFC!Q56*BFC!Q$102</f>
        <v>6407</v>
      </c>
      <c r="R56" s="3">
        <f>+Descubrimiento!R56*Descubrimiento!R$103+'Rentas SpA'!R56*'Rentas SpA'!R$102+'Pza Const'!R56*'Pza Const'!R$102+'Pza Arauc'!R56*'Pza Arauc'!R$102+RRetail!R56*RRetail!R$102+Bucarest!R56*Bucarest!R$102+Magdalena!R56*Magdalena!R$102+BFC!R56*BFC!R$102</f>
        <v>6407</v>
      </c>
      <c r="S56" s="3">
        <f>+Descubrimiento!S56*Descubrimiento!S$103+'Rentas SpA'!S56*'Rentas SpA'!S$102+'Pza Const'!S56*'Pza Const'!S$102+'Pza Arauc'!S56*'Pza Arauc'!S$102+RRetail!S56*RRetail!S$102+Bucarest!S56*Bucarest!S$102+Magdalena!S56*Magdalena!S$102+BFC!S56*BFC!S$102</f>
        <v>0</v>
      </c>
      <c r="T56" s="3">
        <f>+Descubrimiento!T56*Descubrimiento!T$103+'Rentas SpA'!T56*'Rentas SpA'!T$102+'Pza Const'!T56*'Pza Const'!T$102+'Pza Arauc'!T56*'Pza Arauc'!T$102+RRetail!T56*RRetail!T$102+Bucarest!T56*Bucarest!T$102+Magdalena!T56*Magdalena!T$102+BFC!T56*BFC!T$102</f>
        <v>0</v>
      </c>
      <c r="U56" s="3">
        <f>+Descubrimiento!U56*Descubrimiento!U$103+'Rentas SpA'!U56*'Rentas SpA'!U$102+'Pza Const'!U56*'Pza Const'!U$102+'Pza Arauc'!U56*'Pza Arauc'!U$102+RRetail!U56*RRetail!U$102+Bucarest!U56*Bucarest!U$102+Magdalena!U56*Magdalena!U$102+BFC!U56*BFC!U$102</f>
        <v>13</v>
      </c>
      <c r="V56" s="3">
        <f>+Descubrimiento!V56*Descubrimiento!V$103+'Rentas SpA'!V56*'Rentas SpA'!V$102+'Pza Const'!V56*'Pza Const'!V$102+'Pza Arauc'!V56*'Pza Arauc'!V$102+RRetail!V56*RRetail!V$102+Bucarest!V56*Bucarest!V$102+Magdalena!V56*Magdalena!V$102+BFC!V56*BFC!V$102</f>
        <v>4136</v>
      </c>
      <c r="W56" s="3">
        <f>+Descubrimiento!W56*Descubrimiento!W$103+'Rentas SpA'!W56*'Rentas SpA'!W$102+'Pza Const'!W56*'Pza Const'!W$102+'Pza Arauc'!W56*'Pza Arauc'!W$102+RRetail!W56*RRetail!W$102+Bucarest!W56*Bucarest!W$102+Magdalena!W56*Magdalena!W$102+BFC!W56*BFC!W$102</f>
        <v>0</v>
      </c>
      <c r="X56" s="3">
        <f>+Descubrimiento!X56*Descubrimiento!X$103+'Rentas SpA'!X56*'Rentas SpA'!X$102+'Pza Const'!X56*'Pza Const'!X$102+'Pza Arauc'!X56*'Pza Arauc'!X$102+RRetail!X56*RRetail!X$102+Bucarest!X56*Bucarest!X$102+Magdalena!X56*Magdalena!X$102+BFC!X56*BFC!X$102</f>
        <v>0</v>
      </c>
      <c r="Y56" s="3">
        <f>+Descubrimiento!Y56*Descubrimiento!Y$103+'Rentas SpA'!Y56*'Rentas SpA'!Y$102+'Pza Const'!Y56*'Pza Const'!Y$102+'Pza Arauc'!Y56*'Pza Arauc'!Y$102+RRetail!Y56*RRetail!Y$102+Bucarest!Y56*Bucarest!Y$102+Magdalena!Y56*Magdalena!Y$102+BFC!Y56*BFC!Y$102</f>
        <v>1132978.6000000001</v>
      </c>
      <c r="Z56" s="3">
        <f>+Descubrimiento!Z56*Descubrimiento!Z$103+'Rentas SpA'!Z56*'Rentas SpA'!Z$102+'Pza Const'!Z56*'Pza Const'!Z$102+'Pza Arauc'!Z56*'Pza Arauc'!Z$102+RRetail!Z56*RRetail!Z$102+Bucarest!Z56*Bucarest!Z$102+Magdalena!Z56*Magdalena!Z$102+BFC!Z56*BFC!Z$102</f>
        <v>340466</v>
      </c>
      <c r="AA56" s="3">
        <f>+Descubrimiento!AA56*Descubrimiento!AA$103+'Rentas SpA'!AA56*'Rentas SpA'!AA$102+'Pza Const'!AA56*'Pza Const'!AA$102+'Pza Arauc'!AA56*'Pza Arauc'!AA$102+RRetail!AA56*RRetail!AA$102+Bucarest!AA56*Bucarest!AA$102+Magdalena!AA56*Magdalena!AA$102+BFC!AA56*BFC!AA$102</f>
        <v>0</v>
      </c>
      <c r="AB56" s="3">
        <f>+Descubrimiento!AB56*Descubrimiento!AB$103+'Rentas SpA'!AB56*'Rentas SpA'!AB$102+'Pza Const'!AB56*'Pza Const'!AB$102+'Pza Arauc'!AB56*'Pza Arauc'!AB$102+RRetail!AB56*RRetail!AB$102+Bucarest!AB56*Bucarest!AB$102+Magdalena!AB56*Magdalena!AB$102+BFC!AB56*BFC!AB$102</f>
        <v>0</v>
      </c>
      <c r="AC56" s="3">
        <f>+Descubrimiento!AC56*Descubrimiento!AC$103+'Rentas SpA'!AC56*'Rentas SpA'!AC$102+'Pza Const'!AC56*'Pza Const'!AC$102+'Pza Arauc'!AC56*'Pza Arauc'!AC$102+RRetail!AC56*RRetail!AC$102+Bucarest!AC56*Bucarest!AC$102+Magdalena!AC56*Magdalena!AC$102+BFC!AC56*BFC!AC$102</f>
        <v>-11554.199999999999</v>
      </c>
      <c r="AD56" s="3">
        <f>+Descubrimiento!AD56*Descubrimiento!AD$103+'Rentas SpA'!AD56*'Rentas SpA'!AD$102+'Pza Const'!AD56*'Pza Const'!AD$102+'Pza Arauc'!AD56*'Pza Arauc'!AD$102+RRetail!AD56*RRetail!AD$102+Bucarest!AD56*Bucarest!AD$102+Magdalena!AD56*Magdalena!AD$102+BFC!AD56*BFC!AD$102</f>
        <v>0</v>
      </c>
      <c r="AE56" s="3">
        <f>+Descubrimiento!AE56*Descubrimiento!AE$103+'Rentas SpA'!AE56*'Rentas SpA'!AE$102+'Pza Const'!AE56*'Pza Const'!AE$102+'Pza Arauc'!AE56*'Pza Arauc'!AE$102+RRetail!AE56*RRetail!AE$102+Bucarest!AE56*Bucarest!AE$102+Magdalena!AE56*Magdalena!AE$102+BFC!AE56*BFC!AE$102</f>
        <v>0</v>
      </c>
      <c r="AF56" s="3">
        <f>+Descubrimiento!AF56*Descubrimiento!AF$103+'Rentas SpA'!AF56*'Rentas SpA'!AF$102+'Pza Const'!AF56*'Pza Const'!AF$102+'Pza Arauc'!AF56*'Pza Arauc'!AF$102+RRetail!AF56*RRetail!AF$102+Bucarest!AF56*Bucarest!AF$102+Magdalena!AF56*Magdalena!AF$102+BFC!AF56*BFC!AF$102</f>
        <v>26017</v>
      </c>
      <c r="AG56" s="3">
        <f>+Descubrimiento!AG56*Descubrimiento!AG$103+'Rentas SpA'!AG56*'Rentas SpA'!AG$102+'Pza Const'!AG56*'Pza Const'!AG$102+'Pza Arauc'!AG56*'Pza Arauc'!AG$102+RRetail!AG56*RRetail!AG$102+Bucarest!AG56*Bucarest!AG$102+Magdalena!AG56*Magdalena!AG$102+BFC!AG56*BFC!AG$102</f>
        <v>-79629</v>
      </c>
      <c r="AH56" s="3">
        <f>+Descubrimiento!AH56*Descubrimiento!AH$103+'Rentas SpA'!AH56*'Rentas SpA'!AH$102+'Pza Const'!AH56*'Pza Const'!AH$102+'Pza Arauc'!AH56*'Pza Arauc'!AH$102+RRetail!AH56*RRetail!AH$102+Bucarest!AH56*Bucarest!AH$102+Magdalena!AH56*Magdalena!AH$102+BFC!AH56*BFC!AH$102</f>
        <v>437754</v>
      </c>
      <c r="AI56" s="3">
        <f>+Descubrimiento!AI56*Descubrimiento!AI$103+'Rentas SpA'!AI56*'Rentas SpA'!AI$102+'Pza Const'!AI56*'Pza Const'!AI$102+'Pza Arauc'!AI56*'Pza Arauc'!AI$102+RRetail!AI56*RRetail!AI$102+Bucarest!AI56*Bucarest!AI$102+Magdalena!AI56*Magdalena!AI$102+BFC!AI56*BFC!AI$102</f>
        <v>145800</v>
      </c>
    </row>
    <row r="57" spans="1:35" x14ac:dyDescent="0.3">
      <c r="A57" s="6" t="s">
        <v>141</v>
      </c>
      <c r="B57" s="7">
        <f>+SUM(B52:B56)</f>
        <v>17933249.5</v>
      </c>
      <c r="C57" s="7">
        <f t="shared" ref="C57:R57" si="111">+SUM(C52:C56)</f>
        <v>21624017.5</v>
      </c>
      <c r="D57" s="7">
        <f t="shared" si="111"/>
        <v>21029626</v>
      </c>
      <c r="E57" s="7">
        <f t="shared" si="111"/>
        <v>24184907</v>
      </c>
      <c r="F57" s="7">
        <f t="shared" si="111"/>
        <v>24555626</v>
      </c>
      <c r="G57" s="7">
        <f t="shared" ref="G57:I57" si="112">+SUM(G52:G56)</f>
        <v>5437610</v>
      </c>
      <c r="H57" s="7">
        <f t="shared" si="112"/>
        <v>10607048</v>
      </c>
      <c r="I57" s="7">
        <f t="shared" si="112"/>
        <v>16543232</v>
      </c>
      <c r="J57" s="7">
        <f t="shared" si="111"/>
        <v>22210908</v>
      </c>
      <c r="K57" s="7">
        <f t="shared" ref="K57:M57" si="113">+SUM(K52:K56)</f>
        <v>5547937</v>
      </c>
      <c r="L57" s="7">
        <f t="shared" si="113"/>
        <v>10491807</v>
      </c>
      <c r="M57" s="7">
        <f t="shared" si="113"/>
        <v>15318503</v>
      </c>
      <c r="N57" s="7">
        <f t="shared" si="111"/>
        <v>31202033.599999998</v>
      </c>
      <c r="O57" s="7">
        <f t="shared" ref="O57:Q57" si="114">+SUM(O52:O56)</f>
        <v>8206221.0000000009</v>
      </c>
      <c r="P57" s="7">
        <f t="shared" si="114"/>
        <v>16324993.6</v>
      </c>
      <c r="Q57" s="7">
        <f t="shared" si="114"/>
        <v>24917541.599999998</v>
      </c>
      <c r="R57" s="7">
        <f t="shared" si="111"/>
        <v>45665654.600000001</v>
      </c>
      <c r="S57" s="7">
        <f t="shared" ref="S57:U57" si="115">+SUM(S52:S56)</f>
        <v>10593882.9</v>
      </c>
      <c r="T57" s="7">
        <f t="shared" si="115"/>
        <v>21953051.300000004</v>
      </c>
      <c r="U57" s="7">
        <f t="shared" si="115"/>
        <v>33341047.099999998</v>
      </c>
      <c r="V57" s="7">
        <f t="shared" ref="V57:Y57" si="116">+SUM(V52:V56)</f>
        <v>43796761.29999999</v>
      </c>
      <c r="W57" s="7">
        <f t="shared" si="116"/>
        <v>15894432.400000006</v>
      </c>
      <c r="X57" s="7">
        <f t="shared" si="116"/>
        <v>26838886.700000003</v>
      </c>
      <c r="Y57" s="7">
        <f t="shared" si="116"/>
        <v>39749331.899999999</v>
      </c>
      <c r="Z57" s="7">
        <f t="shared" ref="Z57:AA57" si="117">+SUM(Z52:Z56)</f>
        <v>50150723.400000006</v>
      </c>
      <c r="AA57" s="7">
        <f t="shared" si="117"/>
        <v>12811783.000000002</v>
      </c>
      <c r="AB57" s="7">
        <f t="shared" ref="AB57:AC57" si="118">+SUM(AB52:AB56)</f>
        <v>26135535.199999996</v>
      </c>
      <c r="AC57" s="7">
        <f t="shared" si="118"/>
        <v>38891973.199999996</v>
      </c>
      <c r="AD57" s="7">
        <f t="shared" ref="AD57:AE57" si="119">+SUM(AD52:AD56)</f>
        <v>52540689.100000001</v>
      </c>
      <c r="AE57" s="7">
        <f t="shared" si="119"/>
        <v>15490741.1</v>
      </c>
      <c r="AF57" s="7">
        <f t="shared" ref="AF57:AG57" si="120">+SUM(AF52:AF56)</f>
        <v>30849184.499999993</v>
      </c>
      <c r="AG57" s="7">
        <f t="shared" si="120"/>
        <v>47163196.799999997</v>
      </c>
      <c r="AH57" s="7">
        <f t="shared" ref="AH57:AI57" si="121">+SUM(AH52:AH56)</f>
        <v>63426417.199999996</v>
      </c>
      <c r="AI57" s="7">
        <f t="shared" si="121"/>
        <v>16306158.700000001</v>
      </c>
    </row>
    <row r="58" spans="1:35" x14ac:dyDescent="0.3">
      <c r="A58" s="1" t="s">
        <v>142</v>
      </c>
      <c r="B58" s="3">
        <f>+Descubrimiento!B58*Descubrimiento!B$103+'Rentas SpA'!B58*'Rentas SpA'!B$102+'Pza Const'!B58*'Pza Const'!B$102+'Pza Arauc'!B58*'Pza Arauc'!B$102+RRetail!B58*RRetail!B$102+Bucarest!B58*Bucarest!B$102+Magdalena!B58*Magdalena!B$102+BFC!B58*BFC!B$102</f>
        <v>675807.5</v>
      </c>
      <c r="C58" s="3">
        <f>+Descubrimiento!C58*Descubrimiento!C$103+'Rentas SpA'!C58*'Rentas SpA'!C$102+'Pza Const'!C58*'Pza Const'!C$102+'Pza Arauc'!C58*'Pza Arauc'!C$102+RRetail!C58*RRetail!C$102+Bucarest!C58*Bucarest!C$102+Magdalena!C58*Magdalena!C$102+BFC!C58*BFC!C$102</f>
        <v>1088779</v>
      </c>
      <c r="D58" s="3">
        <f>+Descubrimiento!D58*Descubrimiento!D$103+'Rentas SpA'!D58*'Rentas SpA'!D$102+'Pza Const'!D58*'Pza Const'!D$102+'Pza Arauc'!D58*'Pza Arauc'!D$102+RRetail!D58*RRetail!D$102+Bucarest!D58*Bucarest!D$102+Magdalena!D58*Magdalena!D$102+BFC!D58*BFC!D$102</f>
        <v>1368980</v>
      </c>
      <c r="E58" s="3">
        <f>+Descubrimiento!E58*Descubrimiento!E$103+'Rentas SpA'!E58*'Rentas SpA'!E$102+'Pza Const'!E58*'Pza Const'!E$102+'Pza Arauc'!E58*'Pza Arauc'!E$102+RRetail!E58*RRetail!E$102+Bucarest!E58*Bucarest!E$102+Magdalena!E58*Magdalena!E$102+BFC!E58*BFC!E$102</f>
        <v>1342194</v>
      </c>
      <c r="F58" s="3">
        <f>+Descubrimiento!F58*Descubrimiento!F$103+'Rentas SpA'!F58*'Rentas SpA'!F$102+'Pza Const'!F58*'Pza Const'!F$102+'Pza Arauc'!F58*'Pza Arauc'!F$102+RRetail!F58*RRetail!F$102+Bucarest!F58*Bucarest!F$102+Magdalena!F58*Magdalena!F$102+BFC!F58*BFC!F$102</f>
        <v>788328</v>
      </c>
      <c r="G58" s="3">
        <f>+Descubrimiento!G58*Descubrimiento!G$103+'Rentas SpA'!G58*'Rentas SpA'!G$102+'Pza Const'!G58*'Pza Const'!G$102+'Pza Arauc'!G58*'Pza Arauc'!G$102+RRetail!G58*RRetail!G$102+Bucarest!G58*Bucarest!G$102+Magdalena!G58*Magdalena!G$102+BFC!G58*BFC!G$102</f>
        <v>24191</v>
      </c>
      <c r="H58" s="3">
        <f>+Descubrimiento!H58*Descubrimiento!H$103+'Rentas SpA'!H58*'Rentas SpA'!H$102+'Pza Const'!H58*'Pza Const'!H$102+'Pza Arauc'!H58*'Pza Arauc'!H$102+RRetail!H58*RRetail!H$102+Bucarest!H58*Bucarest!H$102+Magdalena!H58*Magdalena!H$102+BFC!H58*BFC!H$102</f>
        <v>65500</v>
      </c>
      <c r="I58" s="3">
        <f>+Descubrimiento!I58*Descubrimiento!I$103+'Rentas SpA'!I58*'Rentas SpA'!I$102+'Pza Const'!I58*'Pza Const'!I$102+'Pza Arauc'!I58*'Pza Arauc'!I$102+RRetail!I58*RRetail!I$102+Bucarest!I58*Bucarest!I$102+Magdalena!I58*Magdalena!I$102+BFC!I58*BFC!I$102</f>
        <v>104202</v>
      </c>
      <c r="J58" s="3">
        <f>+Descubrimiento!J58*Descubrimiento!J$103+'Rentas SpA'!J58*'Rentas SpA'!J$102+'Pza Const'!J58*'Pza Const'!J$102+'Pza Arauc'!J58*'Pza Arauc'!J$102+RRetail!J58*RRetail!J$102+Bucarest!J58*Bucarest!J$102+Magdalena!J58*Magdalena!J$102+BFC!J58*BFC!J$102</f>
        <v>249226</v>
      </c>
      <c r="K58" s="3">
        <f>+Descubrimiento!K58*Descubrimiento!K$103+'Rentas SpA'!K58*'Rentas SpA'!K$102+'Pza Const'!K58*'Pza Const'!K$102+'Pza Arauc'!K58*'Pza Arauc'!K$102+RRetail!K58*RRetail!K$102+Bucarest!K58*Bucarest!K$102+Magdalena!K58*Magdalena!K$102+BFC!K58*BFC!K$102</f>
        <v>39426</v>
      </c>
      <c r="L58" s="3">
        <f>+Descubrimiento!L58*Descubrimiento!L$103+'Rentas SpA'!L58*'Rentas SpA'!L$102+'Pza Const'!L58*'Pza Const'!L$102+'Pza Arauc'!L58*'Pza Arauc'!L$102+RRetail!L58*RRetail!L$102+Bucarest!L58*Bucarest!L$102+Magdalena!L58*Magdalena!L$102+BFC!L58*BFC!L$102</f>
        <v>64777</v>
      </c>
      <c r="M58" s="3">
        <f>+Descubrimiento!M58*Descubrimiento!M$103+'Rentas SpA'!M58*'Rentas SpA'!M$102+'Pza Const'!M58*'Pza Const'!M$102+'Pza Arauc'!M58*'Pza Arauc'!M$102+RRetail!M58*RRetail!M$102+Bucarest!M58*Bucarest!M$102+Magdalena!M58*Magdalena!M$102+BFC!M58*BFC!M$102</f>
        <v>74128</v>
      </c>
      <c r="N58" s="3">
        <f>+Descubrimiento!N58*Descubrimiento!N$103+'Rentas SpA'!N58*'Rentas SpA'!N$102+'Pza Const'!N58*'Pza Const'!N$102+'Pza Arauc'!N58*'Pza Arauc'!N$102+RRetail!N58*RRetail!N$102+Bucarest!N58*Bucarest!N$102+Magdalena!N58*Magdalena!N$102+BFC!N58*BFC!N$102</f>
        <v>83676</v>
      </c>
      <c r="O58" s="3">
        <f>+Descubrimiento!O58*Descubrimiento!O$103+'Rentas SpA'!O58*'Rentas SpA'!O$102+'Pza Const'!O58*'Pza Const'!O$102+'Pza Arauc'!O58*'Pza Arauc'!O$102+RRetail!O58*RRetail!O$102+Bucarest!O58*Bucarest!O$102+Magdalena!O58*Magdalena!O$102+BFC!O58*BFC!O$102</f>
        <v>14538</v>
      </c>
      <c r="P58" s="3">
        <f>+Descubrimiento!P58*Descubrimiento!P$103+'Rentas SpA'!P58*'Rentas SpA'!P$102+'Pza Const'!P58*'Pza Const'!P$102+'Pza Arauc'!P58*'Pza Arauc'!P$102+RRetail!P58*RRetail!P$102+Bucarest!P58*Bucarest!P$102+Magdalena!P58*Magdalena!P$102+BFC!P58*BFC!P$102</f>
        <v>28138.400000000001</v>
      </c>
      <c r="Q58" s="3">
        <f>+Descubrimiento!Q58*Descubrimiento!Q$103+'Rentas SpA'!Q58*'Rentas SpA'!Q$102+'Pza Const'!Q58*'Pza Const'!Q$102+'Pza Arauc'!Q58*'Pza Arauc'!Q$102+RRetail!Q58*RRetail!Q$102+Bucarest!Q58*Bucarest!Q$102+Magdalena!Q58*Magdalena!Q$102+BFC!Q58*BFC!Q$102</f>
        <v>47373.4</v>
      </c>
      <c r="R58" s="3">
        <f>+Descubrimiento!R58*Descubrimiento!R$103+'Rentas SpA'!R58*'Rentas SpA'!R$102+'Pza Const'!R58*'Pza Const'!R$102+'Pza Arauc'!R58*'Pza Arauc'!R$102+RRetail!R58*RRetail!R$102+Bucarest!R58*Bucarest!R$102+Magdalena!R58*Magdalena!R$102+BFC!R58*BFC!R$102</f>
        <v>62404</v>
      </c>
      <c r="S58" s="3">
        <f>+Descubrimiento!S58*Descubrimiento!S$103+'Rentas SpA'!S58*'Rentas SpA'!S$102+'Pza Const'!S58*'Pza Const'!S$102+'Pza Arauc'!S58*'Pza Arauc'!S$102+RRetail!S58*RRetail!S$102+Bucarest!S58*Bucarest!S$102+Magdalena!S58*Magdalena!S$102+BFC!S58*BFC!S$102</f>
        <v>91110</v>
      </c>
      <c r="T58" s="3">
        <f>+Descubrimiento!T58*Descubrimiento!T$103+'Rentas SpA'!T58*'Rentas SpA'!T$102+'Pza Const'!T58*'Pza Const'!T$102+'Pza Arauc'!T58*'Pza Arauc'!T$102+RRetail!T58*RRetail!T$102+Bucarest!T58*Bucarest!T$102+Magdalena!T58*Magdalena!T$102+BFC!T58*BFC!T$102</f>
        <v>714767.39999999991</v>
      </c>
      <c r="U58" s="3">
        <f>+Descubrimiento!U58*Descubrimiento!U$103+'Rentas SpA'!U58*'Rentas SpA'!U$102+'Pza Const'!U58*'Pza Const'!U$102+'Pza Arauc'!U58*'Pza Arauc'!U$102+RRetail!U58*RRetail!U$102+Bucarest!U58*Bucarest!U$102+Magdalena!U58*Magdalena!U$102+BFC!U58*BFC!U$102</f>
        <v>1349276.5999999999</v>
      </c>
      <c r="V58" s="3">
        <f>+Descubrimiento!V58*Descubrimiento!V$103+'Rentas SpA'!V58*'Rentas SpA'!V$102+'Pza Const'!V58*'Pza Const'!V$102+'Pza Arauc'!V58*'Pza Arauc'!V$102+RRetail!V58*RRetail!V$102+Bucarest!V58*Bucarest!V$102+Magdalena!V58*Magdalena!V$102+BFC!V58*BFC!V$102</f>
        <v>1950661.9</v>
      </c>
      <c r="W58" s="3">
        <f>+Descubrimiento!W58*Descubrimiento!W$103+'Rentas SpA'!W58*'Rentas SpA'!W$102+'Pza Const'!W58*'Pza Const'!W$102+'Pza Arauc'!W58*'Pza Arauc'!W$102+RRetail!W58*RRetail!W$102+Bucarest!W58*Bucarest!W$102+Magdalena!W58*Magdalena!W$102+BFC!W58*BFC!W$102</f>
        <v>108805</v>
      </c>
      <c r="X58" s="3">
        <f>+Descubrimiento!X58*Descubrimiento!X$103+'Rentas SpA'!X58*'Rentas SpA'!X$102+'Pza Const'!X58*'Pza Const'!X$102+'Pza Arauc'!X58*'Pza Arauc'!X$102+RRetail!X58*RRetail!X$102+Bucarest!X58*Bucarest!X$102+Magdalena!X58*Magdalena!X$102+BFC!X58*BFC!X$102</f>
        <v>255913</v>
      </c>
      <c r="Y58" s="3">
        <f>+Descubrimiento!Y58*Descubrimiento!Y$103+'Rentas SpA'!Y58*'Rentas SpA'!Y$102+'Pza Const'!Y58*'Pza Const'!Y$102+'Pza Arauc'!Y58*'Pza Arauc'!Y$102+RRetail!Y58*RRetail!Y$102+Bucarest!Y58*Bucarest!Y$102+Magdalena!Y58*Magdalena!Y$102+BFC!Y58*BFC!Y$102</f>
        <v>313200</v>
      </c>
      <c r="Z58" s="3">
        <f>+Descubrimiento!Z58*Descubrimiento!Z$103+'Rentas SpA'!Z58*'Rentas SpA'!Z$102+'Pza Const'!Z58*'Pza Const'!Z$102+'Pza Arauc'!Z58*'Pza Arauc'!Z$102+RRetail!Z58*RRetail!Z$102+Bucarest!Z58*Bucarest!Z$102+Magdalena!Z58*Magdalena!Z$102+BFC!Z58*BFC!Z$102</f>
        <v>1460574.5</v>
      </c>
      <c r="AA58" s="3">
        <f>+Descubrimiento!AA58*Descubrimiento!AA$103+'Rentas SpA'!AA58*'Rentas SpA'!AA$102+'Pza Const'!AA58*'Pza Const'!AA$102+'Pza Arauc'!AA58*'Pza Arauc'!AA$102+RRetail!AA58*RRetail!AA$102+Bucarest!AA58*Bucarest!AA$102+Magdalena!AA58*Magdalena!AA$102+BFC!AA58*BFC!AA$102</f>
        <v>41285</v>
      </c>
      <c r="AB58" s="3">
        <f>+Descubrimiento!AB58*Descubrimiento!AB$103+'Rentas SpA'!AB58*'Rentas SpA'!AB$102+'Pza Const'!AB58*'Pza Const'!AB$102+'Pza Arauc'!AB58*'Pza Arauc'!AB$102+RRetail!AB58*RRetail!AB$102+Bucarest!AB58*Bucarest!AB$102+Magdalena!AB58*Magdalena!AB$102+BFC!AB58*BFC!AB$102</f>
        <v>98493</v>
      </c>
      <c r="AC58" s="3">
        <f>+Descubrimiento!AC58*Descubrimiento!AC$103+'Rentas SpA'!AC58*'Rentas SpA'!AC$102+'Pza Const'!AC58*'Pza Const'!AC$102+'Pza Arauc'!AC58*'Pza Arauc'!AC$102+RRetail!AC58*RRetail!AC$102+Bucarest!AC58*Bucarest!AC$102+Magdalena!AC58*Magdalena!AC$102+BFC!AC58*BFC!AC$102</f>
        <v>581415.19999999995</v>
      </c>
      <c r="AD58" s="3">
        <f>+Descubrimiento!AD58*Descubrimiento!AD$103+'Rentas SpA'!AD58*'Rentas SpA'!AD$102+'Pza Const'!AD58*'Pza Const'!AD$102+'Pza Arauc'!AD58*'Pza Arauc'!AD$102+RRetail!AD58*RRetail!AD$102+Bucarest!AD58*Bucarest!AD$102+Magdalena!AD58*Magdalena!AD$102+BFC!AD58*BFC!AD$102</f>
        <v>757091.6</v>
      </c>
      <c r="AE58" s="3">
        <f>+Descubrimiento!AE58*Descubrimiento!AE$103+'Rentas SpA'!AE58*'Rentas SpA'!AE$102+'Pza Const'!AE58*'Pza Const'!AE$102+'Pza Arauc'!AE58*'Pza Arauc'!AE$102+RRetail!AE58*RRetail!AE$102+Bucarest!AE58*Bucarest!AE$102+Magdalena!AE58*Magdalena!AE$102+BFC!AE58*BFC!AE$102</f>
        <v>151711.59999999998</v>
      </c>
      <c r="AF58" s="3">
        <f>+Descubrimiento!AF58*Descubrimiento!AF$103+'Rentas SpA'!AF58*'Rentas SpA'!AF$102+'Pza Const'!AF58*'Pza Const'!AF$102+'Pza Arauc'!AF58*'Pza Arauc'!AF$102+RRetail!AF58*RRetail!AF$102+Bucarest!AF58*Bucarest!AF$102+Magdalena!AF58*Magdalena!AF$102+BFC!AF58*BFC!AF$102</f>
        <v>343791.19999999995</v>
      </c>
      <c r="AG58" s="3">
        <f>+Descubrimiento!AG58*Descubrimiento!AG$103+'Rentas SpA'!AG58*'Rentas SpA'!AG$102+'Pza Const'!AG58*'Pza Const'!AG$102+'Pza Arauc'!AG58*'Pza Arauc'!AG$102+RRetail!AG58*RRetail!AG$102+Bucarest!AG58*Bucarest!AG$102+Magdalena!AG58*Magdalena!AG$102+BFC!AG58*BFC!AG$102</f>
        <v>599755.1</v>
      </c>
      <c r="AH58" s="3">
        <f>+Descubrimiento!AH58*Descubrimiento!AH$103+'Rentas SpA'!AH58*'Rentas SpA'!AH$102+'Pza Const'!AH58*'Pza Const'!AH$102+'Pza Arauc'!AH58*'Pza Arauc'!AH$102+RRetail!AH58*RRetail!AH$102+Bucarest!AH58*Bucarest!AH$102+Magdalena!AH58*Magdalena!AH$102+BFC!AH58*BFC!AH$102</f>
        <v>855367.2</v>
      </c>
      <c r="AI58" s="3">
        <f>+Descubrimiento!AI58*Descubrimiento!AI$103+'Rentas SpA'!AI58*'Rentas SpA'!AI$102+'Pza Const'!AI58*'Pza Const'!AI$102+'Pza Arauc'!AI58*'Pza Arauc'!AI$102+RRetail!AI58*RRetail!AI$102+Bucarest!AI58*Bucarest!AI$102+Magdalena!AI58*Magdalena!AI$102+BFC!AI58*BFC!AI$102</f>
        <v>351873.1</v>
      </c>
    </row>
    <row r="59" spans="1:35" x14ac:dyDescent="0.3">
      <c r="A59" s="1" t="s">
        <v>143</v>
      </c>
      <c r="B59" s="3">
        <f>+Descubrimiento!B59*Descubrimiento!B$103+'Rentas SpA'!B59*'Rentas SpA'!B$102+'Pza Const'!B59*'Pza Const'!B$102+'Pza Arauc'!B59*'Pza Arauc'!B$102+RRetail!B59*RRetail!B$102+Bucarest!B59*Bucarest!B$102+Magdalena!B59*Magdalena!B$102+BFC!B59*BFC!B$102</f>
        <v>-14592467.5</v>
      </c>
      <c r="C59" s="3">
        <f>+Descubrimiento!C59*Descubrimiento!C$103+'Rentas SpA'!C59*'Rentas SpA'!C$102+'Pza Const'!C59*'Pza Const'!C$102+'Pza Arauc'!C59*'Pza Arauc'!C$102+RRetail!C59*RRetail!C$102+Bucarest!C59*Bucarest!C$102+Magdalena!C59*Magdalena!C$102+BFC!C59*BFC!C$102</f>
        <v>-14100714</v>
      </c>
      <c r="D59" s="3">
        <f>+Descubrimiento!D59*Descubrimiento!D$103+'Rentas SpA'!D59*'Rentas SpA'!D$102+'Pza Const'!D59*'Pza Const'!D$102+'Pza Arauc'!D59*'Pza Arauc'!D$102+RRetail!D59*RRetail!D$102+Bucarest!D59*Bucarest!D$102+Magdalena!D59*Magdalena!D$102+BFC!D59*BFC!D$102</f>
        <v>-16854336</v>
      </c>
      <c r="E59" s="3">
        <f>+Descubrimiento!E59*Descubrimiento!E$103+'Rentas SpA'!E59*'Rentas SpA'!E$102+'Pza Const'!E59*'Pza Const'!E$102+'Pza Arauc'!E59*'Pza Arauc'!E$102+RRetail!E59*RRetail!E$102+Bucarest!E59*Bucarest!E$102+Magdalena!E59*Magdalena!E$102+BFC!E59*BFC!E$102</f>
        <v>-17605162</v>
      </c>
      <c r="F59" s="3">
        <f>+Descubrimiento!F59*Descubrimiento!F$103+'Rentas SpA'!F59*'Rentas SpA'!F$102+'Pza Const'!F59*'Pza Const'!F$102+'Pza Arauc'!F59*'Pza Arauc'!F$102+RRetail!F59*RRetail!F$102+Bucarest!F59*Bucarest!F$102+Magdalena!F59*Magdalena!F$102+BFC!F59*BFC!F$102</f>
        <v>-18139733</v>
      </c>
      <c r="G59" s="3">
        <f>+Descubrimiento!G59*Descubrimiento!G$103+'Rentas SpA'!G59*'Rentas SpA'!G$102+'Pza Const'!G59*'Pza Const'!G$102+'Pza Arauc'!G59*'Pza Arauc'!G$102+RRetail!G59*RRetail!G$102+Bucarest!G59*Bucarest!G$102+Magdalena!G59*Magdalena!G$102+BFC!G59*BFC!G$102</f>
        <v>-4619512</v>
      </c>
      <c r="H59" s="3">
        <f>+Descubrimiento!H59*Descubrimiento!H$103+'Rentas SpA'!H59*'Rentas SpA'!H$102+'Pza Const'!H59*'Pza Const'!H$102+'Pza Arauc'!H59*'Pza Arauc'!H$102+RRetail!H59*RRetail!H$102+Bucarest!H59*Bucarest!H$102+Magdalena!H59*Magdalena!H$102+BFC!H59*BFC!H$102</f>
        <v>-9105613</v>
      </c>
      <c r="I59" s="3">
        <f>+Descubrimiento!I59*Descubrimiento!I$103+'Rentas SpA'!I59*'Rentas SpA'!I$102+'Pza Const'!I59*'Pza Const'!I$102+'Pza Arauc'!I59*'Pza Arauc'!I$102+RRetail!I59*RRetail!I$102+Bucarest!I59*Bucarest!I$102+Magdalena!I59*Magdalena!I$102+BFC!I59*BFC!I$102</f>
        <v>-13579908</v>
      </c>
      <c r="J59" s="3">
        <f>+Descubrimiento!J59*Descubrimiento!J$103+'Rentas SpA'!J59*'Rentas SpA'!J$102+'Pza Const'!J59*'Pza Const'!J$102+'Pza Arauc'!J59*'Pza Arauc'!J$102+RRetail!J59*RRetail!J$102+Bucarest!J59*Bucarest!J$102+Magdalena!J59*Magdalena!J$102+BFC!J59*BFC!J$102</f>
        <v>-18038987</v>
      </c>
      <c r="K59" s="3">
        <f>+Descubrimiento!K59*Descubrimiento!K$103+'Rentas SpA'!K59*'Rentas SpA'!K$102+'Pza Const'!K59*'Pza Const'!K$102+'Pza Arauc'!K59*'Pza Arauc'!K$102+RRetail!K59*RRetail!K$102+Bucarest!K59*Bucarest!K$102+Magdalena!K59*Magdalena!K$102+BFC!K59*BFC!K$102</f>
        <v>-3574187</v>
      </c>
      <c r="L59" s="3">
        <f>+Descubrimiento!L59*Descubrimiento!L$103+'Rentas SpA'!L59*'Rentas SpA'!L$102+'Pza Const'!L59*'Pza Const'!L$102+'Pza Arauc'!L59*'Pza Arauc'!L$102+RRetail!L59*RRetail!L$102+Bucarest!L59*Bucarest!L$102+Magdalena!L59*Magdalena!L$102+BFC!L59*BFC!L$102</f>
        <v>-9444646</v>
      </c>
      <c r="M59" s="3">
        <f>+Descubrimiento!M59*Descubrimiento!M$103+'Rentas SpA'!M59*'Rentas SpA'!M$102+'Pza Const'!M59*'Pza Const'!M$102+'Pza Arauc'!M59*'Pza Arauc'!M$102+RRetail!M59*RRetail!M$102+Bucarest!M59*Bucarest!M$102+Magdalena!M59*Magdalena!M$102+BFC!M59*BFC!M$102</f>
        <v>-13233720</v>
      </c>
      <c r="N59" s="3">
        <f>+Descubrimiento!N59*Descubrimiento!N$103+'Rentas SpA'!N59*'Rentas SpA'!N$102+'Pza Const'!N59*'Pza Const'!N$102+'Pza Arauc'!N59*'Pza Arauc'!N$102+RRetail!N59*RRetail!N$102+Bucarest!N59*Bucarest!N$102+Magdalena!N59*Magdalena!N$102+BFC!N59*BFC!N$102</f>
        <v>-19077273.600000001</v>
      </c>
      <c r="O59" s="3">
        <f>+Descubrimiento!O59*Descubrimiento!O$103+'Rentas SpA'!O59*'Rentas SpA'!O$102+'Pza Const'!O59*'Pza Const'!O$102+'Pza Arauc'!O59*'Pza Arauc'!O$102+RRetail!O59*RRetail!O$102+Bucarest!O59*Bucarest!O$102+Magdalena!O59*Magdalena!O$102+BFC!O59*BFC!O$102</f>
        <v>-3980664.8</v>
      </c>
      <c r="P59" s="3">
        <f>+Descubrimiento!P59*Descubrimiento!P$103+'Rentas SpA'!P59*'Rentas SpA'!P$102+'Pza Const'!P59*'Pza Const'!P$102+'Pza Arauc'!P59*'Pza Arauc'!P$102+RRetail!P59*RRetail!P$102+Bucarest!P59*Bucarest!P$102+Magdalena!P59*Magdalena!P$102+BFC!P59*BFC!P$102</f>
        <v>-8001216</v>
      </c>
      <c r="Q59" s="3">
        <f>+Descubrimiento!Q59*Descubrimiento!Q$103+'Rentas SpA'!Q59*'Rentas SpA'!Q$102+'Pza Const'!Q59*'Pza Const'!Q$102+'Pza Arauc'!Q59*'Pza Arauc'!Q$102+RRetail!Q59*RRetail!Q$102+Bucarest!Q59*Bucarest!Q$102+Magdalena!Q59*Magdalena!Q$102+BFC!Q59*BFC!Q$102</f>
        <v>-12089848.199999999</v>
      </c>
      <c r="R59" s="3">
        <f>+Descubrimiento!R59*Descubrimiento!R$103+'Rentas SpA'!R59*'Rentas SpA'!R$102+'Pza Const'!R59*'Pza Const'!R$102+'Pza Arauc'!R59*'Pza Arauc'!R$102+RRetail!R59*RRetail!R$102+Bucarest!R59*Bucarest!R$102+Magdalena!R59*Magdalena!R$102+BFC!R59*BFC!R$102</f>
        <v>-17103636.600000001</v>
      </c>
      <c r="S59" s="3">
        <f>+Descubrimiento!S59*Descubrimiento!S$103+'Rentas SpA'!S59*'Rentas SpA'!S$102+'Pza Const'!S59*'Pza Const'!S$102+'Pza Arauc'!S59*'Pza Arauc'!S$102+RRetail!S59*RRetail!S$102+Bucarest!S59*Bucarest!S$102+Magdalena!S59*Magdalena!S$102+BFC!S59*BFC!S$102</f>
        <v>-6272997.2000000002</v>
      </c>
      <c r="T59" s="3">
        <f>+Descubrimiento!T59*Descubrimiento!T$103+'Rentas SpA'!T59*'Rentas SpA'!T$102+'Pza Const'!T59*'Pza Const'!T$102+'Pza Arauc'!T59*'Pza Arauc'!T$102+RRetail!T59*RRetail!T$102+Bucarest!T59*Bucarest!T$102+Magdalena!T59*Magdalena!T$102+BFC!T59*BFC!T$102</f>
        <v>-12947773.699999999</v>
      </c>
      <c r="U59" s="3">
        <f>+Descubrimiento!U59*Descubrimiento!U$103+'Rentas SpA'!U59*'Rentas SpA'!U$102+'Pza Const'!U59*'Pza Const'!U$102+'Pza Arauc'!U59*'Pza Arauc'!U$102+RRetail!U59*RRetail!U$102+Bucarest!U59*Bucarest!U$102+Magdalena!U59*Magdalena!U$102+BFC!U59*BFC!U$102</f>
        <v>-20147759.800000001</v>
      </c>
      <c r="V59" s="3">
        <f>+Descubrimiento!V59*Descubrimiento!V$103+'Rentas SpA'!V59*'Rentas SpA'!V$102+'Pza Const'!V59*'Pza Const'!V$102+'Pza Arauc'!V59*'Pza Arauc'!V$102+RRetail!V59*RRetail!V$102+Bucarest!V59*Bucarest!V$102+Magdalena!V59*Magdalena!V$102+BFC!V59*BFC!V$102</f>
        <v>-27765262.5</v>
      </c>
      <c r="W59" s="3">
        <f>+Descubrimiento!W59*Descubrimiento!W$103+'Rentas SpA'!W59*'Rentas SpA'!W$102+'Pza Const'!W59*'Pza Const'!W$102+'Pza Arauc'!W59*'Pza Arauc'!W$102+RRetail!W59*RRetail!W$102+Bucarest!W59*Bucarest!W$102+Magdalena!W59*Magdalena!W$102+BFC!W59*BFC!W$102</f>
        <v>-6744419.0999999996</v>
      </c>
      <c r="X59" s="3">
        <f>+Descubrimiento!X59*Descubrimiento!X$103+'Rentas SpA'!X59*'Rentas SpA'!X$102+'Pza Const'!X59*'Pza Const'!X$102+'Pza Arauc'!X59*'Pza Arauc'!X$102+RRetail!X59*RRetail!X$102+Bucarest!X59*Bucarest!X$102+Magdalena!X59*Magdalena!X$102+BFC!X59*BFC!X$102</f>
        <v>-13468412.1</v>
      </c>
      <c r="Y59" s="3">
        <f>+Descubrimiento!Y59*Descubrimiento!Y$103+'Rentas SpA'!Y59*'Rentas SpA'!Y$102+'Pza Const'!Y59*'Pza Const'!Y$102+'Pza Arauc'!Y59*'Pza Arauc'!Y$102+RRetail!Y59*RRetail!Y$102+Bucarest!Y59*Bucarest!Y$102+Magdalena!Y59*Magdalena!Y$102+BFC!Y59*BFC!Y$102</f>
        <v>-20383303.199999999</v>
      </c>
      <c r="Z59" s="3">
        <f>+Descubrimiento!Z59*Descubrimiento!Z$103+'Rentas SpA'!Z59*'Rentas SpA'!Z$102+'Pza Const'!Z59*'Pza Const'!Z$102+'Pza Arauc'!Z59*'Pza Arauc'!Z$102+RRetail!Z59*RRetail!Z$102+Bucarest!Z59*Bucarest!Z$102+Magdalena!Z59*Magdalena!Z$102+BFC!Z59*BFC!Z$102</f>
        <v>-27306593.899999999</v>
      </c>
      <c r="AA59" s="3">
        <f>+Descubrimiento!AA59*Descubrimiento!AA$103+'Rentas SpA'!AA59*'Rentas SpA'!AA$102+'Pza Const'!AA59*'Pza Const'!AA$102+'Pza Arauc'!AA59*'Pza Arauc'!AA$102+RRetail!AA59*RRetail!AA$102+Bucarest!AA59*Bucarest!AA$102+Magdalena!AA59*Magdalena!AA$102+BFC!AA59*BFC!AA$102</f>
        <v>-7544952.7999999998</v>
      </c>
      <c r="AB59" s="3">
        <f>+Descubrimiento!AB59*Descubrimiento!AB$103+'Rentas SpA'!AB59*'Rentas SpA'!AB$102+'Pza Const'!AB59*'Pza Const'!AB$102+'Pza Arauc'!AB59*'Pza Arauc'!AB$102+RRetail!AB59*RRetail!AB$102+Bucarest!AB59*Bucarest!AB$102+Magdalena!AB59*Magdalena!AB$102+BFC!AB59*BFC!AB$102</f>
        <v>-15398231.5</v>
      </c>
      <c r="AC59" s="3">
        <f>+Descubrimiento!AC59*Descubrimiento!AC$103+'Rentas SpA'!AC59*'Rentas SpA'!AC$102+'Pza Const'!AC59*'Pza Const'!AC$102+'Pza Arauc'!AC59*'Pza Arauc'!AC$102+RRetail!AC59*RRetail!AC$102+Bucarest!AC59*Bucarest!AC$102+Magdalena!AC59*Magdalena!AC$102+BFC!AC59*BFC!AC$102</f>
        <v>-23321844.600000001</v>
      </c>
      <c r="AD59" s="3">
        <f>+Descubrimiento!AD59*Descubrimiento!AD$103+'Rentas SpA'!AD59*'Rentas SpA'!AD$102+'Pza Const'!AD59*'Pza Const'!AD$102+'Pza Arauc'!AD59*'Pza Arauc'!AD$102+RRetail!AD59*RRetail!AD$102+Bucarest!AD59*Bucarest!AD$102+Magdalena!AD59*Magdalena!AD$102+BFC!AD59*BFC!AD$102</f>
        <v>-31337253.399999999</v>
      </c>
      <c r="AE59" s="3">
        <f>+Descubrimiento!AE59*Descubrimiento!AE$103+'Rentas SpA'!AE59*'Rentas SpA'!AE$102+'Pza Const'!AE59*'Pza Const'!AE$102+'Pza Arauc'!AE59*'Pza Arauc'!AE$102+RRetail!AE59*RRetail!AE$102+Bucarest!AE59*Bucarest!AE$102+Magdalena!AE59*Magdalena!AE$102+BFC!AE59*BFC!AE$102</f>
        <v>-8045958.0999999996</v>
      </c>
      <c r="AF59" s="3">
        <f>+Descubrimiento!AF59*Descubrimiento!AF$103+'Rentas SpA'!AF59*'Rentas SpA'!AF$102+'Pza Const'!AF59*'Pza Const'!AF$102+'Pza Arauc'!AF59*'Pza Arauc'!AF$102+RRetail!AF59*RRetail!AF$102+Bucarest!AF59*Bucarest!AF$102+Magdalena!AF59*Magdalena!AF$102+BFC!AF59*BFC!AF$102</f>
        <v>-16102020.800000001</v>
      </c>
      <c r="AG59" s="3">
        <f>+Descubrimiento!AG59*Descubrimiento!AG$103+'Rentas SpA'!AG59*'Rentas SpA'!AG$102+'Pza Const'!AG59*'Pza Const'!AG$102+'Pza Arauc'!AG59*'Pza Arauc'!AG$102+RRetail!AG59*RRetail!AG$102+Bucarest!AG59*Bucarest!AG$102+Magdalena!AG59*Magdalena!AG$102+BFC!AG59*BFC!AG$102</f>
        <v>-23937152.5</v>
      </c>
      <c r="AH59" s="3">
        <f>+Descubrimiento!AH59*Descubrimiento!AH$103+'Rentas SpA'!AH59*'Rentas SpA'!AH$102+'Pza Const'!AH59*'Pza Const'!AH$102+'Pza Arauc'!AH59*'Pza Arauc'!AH$102+RRetail!AH59*RRetail!AH$102+Bucarest!AH59*Bucarest!AH$102+Magdalena!AH59*Magdalena!AH$102+BFC!AH59*BFC!AH$102</f>
        <v>-31665164.5</v>
      </c>
      <c r="AI59" s="3">
        <f>+Descubrimiento!AI59*Descubrimiento!AI$103+'Rentas SpA'!AI59*'Rentas SpA'!AI$102+'Pza Const'!AI59*'Pza Const'!AI$102+'Pza Arauc'!AI59*'Pza Arauc'!AI$102+RRetail!AI59*RRetail!AI$102+Bucarest!AI59*Bucarest!AI$102+Magdalena!AI59*Magdalena!AI$102+BFC!AI59*BFC!AI$102</f>
        <v>-7587923</v>
      </c>
    </row>
    <row r="60" spans="1:35" ht="28.8" x14ac:dyDescent="0.3">
      <c r="A60" s="5" t="s">
        <v>144</v>
      </c>
      <c r="B60" s="3">
        <f>+Descubrimiento!B61*Descubrimiento!B$103+'Rentas SpA'!B60*'Rentas SpA'!B$102+'Pza Const'!B60*'Pza Const'!B$102+'Pza Arauc'!B60*'Pza Arauc'!B$102+RRetail!B60*RRetail!B$102+Bucarest!B60*Bucarest!B$102+Magdalena!B60*Magdalena!B$102+BFC!B60*BFC!B$102</f>
        <v>1501362</v>
      </c>
      <c r="C60" s="3">
        <f>+Descubrimiento!C61*Descubrimiento!C$103+'Rentas SpA'!C60*'Rentas SpA'!C$102+'Pza Const'!C60*'Pza Const'!C$102+'Pza Arauc'!C60*'Pza Arauc'!C$102+RRetail!C60*RRetail!C$102+Bucarest!C60*Bucarest!C$102+Magdalena!C60*Magdalena!C$102+BFC!C60*BFC!C$102</f>
        <v>4961255</v>
      </c>
      <c r="D60" s="3">
        <f>+Descubrimiento!D61*Descubrimiento!D$103+'Rentas SpA'!D60*'Rentas SpA'!D$102+'Pza Const'!D60*'Pza Const'!D$102+'Pza Arauc'!D60*'Pza Arauc'!D$102+RRetail!D60*RRetail!D$102+Bucarest!D60*Bucarest!D$102+Magdalena!D60*Magdalena!D$102+BFC!D60*BFC!D$102</f>
        <v>7613786</v>
      </c>
      <c r="E60" s="3">
        <f>+Descubrimiento!E61*Descubrimiento!E$103+'Rentas SpA'!E60*'Rentas SpA'!E$102+'Pza Const'!E60*'Pza Const'!E$102+'Pza Arauc'!E60*'Pza Arauc'!E$102+RRetail!E60*RRetail!E$102+Bucarest!E60*Bucarest!E$102+Magdalena!E60*Magdalena!E$102+BFC!E60*BFC!E$102</f>
        <v>8617251</v>
      </c>
      <c r="F60" s="3">
        <f>+Descubrimiento!F61*Descubrimiento!F$103+'Rentas SpA'!F60*'Rentas SpA'!F$102+'Pza Const'!F60*'Pza Const'!F$102+'Pza Arauc'!F60*'Pza Arauc'!F$102+RRetail!F60*RRetail!F$102+Bucarest!F60*Bucarest!F$102+Magdalena!F60*Magdalena!F$102+BFC!F60*BFC!F$102</f>
        <v>1177830</v>
      </c>
      <c r="G60" s="3">
        <f>+Descubrimiento!G61*Descubrimiento!G$103+'Rentas SpA'!G60*'Rentas SpA'!G$102+'Pza Const'!G60*'Pza Const'!G$102+'Pza Arauc'!G60*'Pza Arauc'!G$102+RRetail!G60*RRetail!G$102+Bucarest!G60*Bucarest!G$102+Magdalena!G60*Magdalena!G$102+BFC!G60*BFC!G$102</f>
        <v>0</v>
      </c>
      <c r="H60" s="3">
        <f>+Descubrimiento!H61*Descubrimiento!H$103+'Rentas SpA'!H60*'Rentas SpA'!H$102+'Pza Const'!H60*'Pza Const'!H$102+'Pza Arauc'!H60*'Pza Arauc'!H$102+RRetail!H60*RRetail!H$102+Bucarest!H60*Bucarest!H$102+Magdalena!H60*Magdalena!H$102+BFC!H60*BFC!H$102</f>
        <v>0</v>
      </c>
      <c r="I60" s="3">
        <f>+Descubrimiento!I61*Descubrimiento!I$103+'Rentas SpA'!I60*'Rentas SpA'!I$102+'Pza Const'!I60*'Pza Const'!I$102+'Pza Arauc'!I60*'Pza Arauc'!I$102+RRetail!I60*RRetail!I$102+Bucarest!I60*Bucarest!I$102+Magdalena!I60*Magdalena!I$102+BFC!I60*BFC!I$102</f>
        <v>0</v>
      </c>
      <c r="J60" s="3">
        <f>+Descubrimiento!J61*Descubrimiento!J$103+'Rentas SpA'!J60*'Rentas SpA'!J$102+'Pza Const'!J60*'Pza Const'!J$102+'Pza Arauc'!J60*'Pza Arauc'!J$102+RRetail!J60*RRetail!J$102+Bucarest!J60*Bucarest!J$102+Magdalena!J60*Magdalena!J$102+BFC!J60*BFC!J$102</f>
        <v>0</v>
      </c>
      <c r="K60" s="3">
        <f>+Descubrimiento!K61*Descubrimiento!K$103+'Rentas SpA'!K60*'Rentas SpA'!K$102+'Pza Const'!K60*'Pza Const'!K$102+'Pza Arauc'!K60*'Pza Arauc'!K$102+RRetail!K60*RRetail!K$102+Bucarest!K60*Bucarest!K$102+Magdalena!K60*Magdalena!K$102+BFC!K60*BFC!K$102</f>
        <v>0</v>
      </c>
      <c r="L60" s="3">
        <f>+Descubrimiento!L61*Descubrimiento!L$103+'Rentas SpA'!L60*'Rentas SpA'!L$102+'Pza Const'!L60*'Pza Const'!L$102+'Pza Arauc'!L60*'Pza Arauc'!L$102+RRetail!L60*RRetail!L$102+Bucarest!L60*Bucarest!L$102+Magdalena!L60*Magdalena!L$102+BFC!L60*BFC!L$102</f>
        <v>0</v>
      </c>
      <c r="M60" s="3">
        <f>+Descubrimiento!M61*Descubrimiento!M$103+'Rentas SpA'!M60*'Rentas SpA'!M$102+'Pza Const'!M60*'Pza Const'!M$102+'Pza Arauc'!M60*'Pza Arauc'!M$102+RRetail!M60*RRetail!M$102+Bucarest!M60*Bucarest!M$102+Magdalena!M60*Magdalena!M$102+BFC!M60*BFC!M$102</f>
        <v>0</v>
      </c>
      <c r="N60" s="3">
        <f>+Descubrimiento!N61*Descubrimiento!N$103+'Rentas SpA'!N60*'Rentas SpA'!N$102+'Pza Const'!N60*'Pza Const'!N$102+'Pza Arauc'!N60*'Pza Arauc'!N$102+RRetail!N60*RRetail!N$102+Bucarest!N60*Bucarest!N$102+Magdalena!N60*Magdalena!N$102+BFC!N60*BFC!N$102</f>
        <v>0</v>
      </c>
      <c r="O60" s="3">
        <f>+Descubrimiento!O61*Descubrimiento!O$103+'Rentas SpA'!O60*'Rentas SpA'!O$102+'Pza Const'!O60*'Pza Const'!O$102+'Pza Arauc'!O60*'Pza Arauc'!O$102+RRetail!O60*RRetail!O$102+Bucarest!O60*Bucarest!O$102+Magdalena!O60*Magdalena!O$102+BFC!O60*BFC!O$102</f>
        <v>0</v>
      </c>
      <c r="P60" s="3">
        <f>+Descubrimiento!P61*Descubrimiento!P$103+'Rentas SpA'!P60*'Rentas SpA'!P$102+'Pza Const'!P60*'Pza Const'!P$102+'Pza Arauc'!P60*'Pza Arauc'!P$102+RRetail!P60*RRetail!P$102+Bucarest!P60*Bucarest!P$102+Magdalena!P60*Magdalena!P$102+BFC!P60*BFC!P$102</f>
        <v>0</v>
      </c>
      <c r="Q60" s="3">
        <f>+Descubrimiento!Q61*Descubrimiento!Q$103+'Rentas SpA'!Q60*'Rentas SpA'!Q$102+'Pza Const'!Q60*'Pza Const'!Q$102+'Pza Arauc'!Q60*'Pza Arauc'!Q$102+RRetail!Q60*RRetail!Q$102+Bucarest!Q60*Bucarest!Q$102+Magdalena!Q60*Magdalena!Q$102+BFC!Q60*BFC!Q$102</f>
        <v>0</v>
      </c>
      <c r="R60" s="3">
        <f>+Descubrimiento!R61*Descubrimiento!R$103+'Rentas SpA'!R60*'Rentas SpA'!R$102+'Pza Const'!R60*'Pza Const'!R$102+'Pza Arauc'!R60*'Pza Arauc'!R$102+RRetail!R60*RRetail!R$102+Bucarest!R60*Bucarest!R$102+Magdalena!R60*Magdalena!R$102+BFC!R60*BFC!R$102</f>
        <v>0</v>
      </c>
      <c r="S60" s="3">
        <f>+Descubrimiento!S61*Descubrimiento!S$103+'Rentas SpA'!S60*'Rentas SpA'!S$102+'Pza Const'!S60*'Pza Const'!S$102+'Pza Arauc'!S60*'Pza Arauc'!S$102+RRetail!S60*RRetail!S$102+Bucarest!S60*Bucarest!S$102+Magdalena!S60*Magdalena!S$102+BFC!S60*BFC!S$102</f>
        <v>0</v>
      </c>
      <c r="T60" s="3">
        <f>+Descubrimiento!T61*Descubrimiento!T$103+'Rentas SpA'!T60*'Rentas SpA'!T$102+'Pza Const'!T60*'Pza Const'!T$102+'Pza Arauc'!T60*'Pza Arauc'!T$102+RRetail!T60*RRetail!T$102+Bucarest!T60*Bucarest!T$102+Magdalena!T60*Magdalena!T$102+BFC!T60*BFC!T$102</f>
        <v>0</v>
      </c>
      <c r="U60" s="3">
        <f>+Descubrimiento!U61*Descubrimiento!U$103+'Rentas SpA'!U60*'Rentas SpA'!U$102+'Pza Const'!U60*'Pza Const'!U$102+'Pza Arauc'!U60*'Pza Arauc'!U$102+RRetail!U60*RRetail!U$102+Bucarest!U60*Bucarest!U$102+Magdalena!U60*Magdalena!U$102+BFC!U60*BFC!U$102</f>
        <v>0</v>
      </c>
      <c r="V60" s="3">
        <f>+Descubrimiento!V61*Descubrimiento!V$103+'Rentas SpA'!V60*'Rentas SpA'!V$102+'Pza Const'!V60*'Pza Const'!V$102+'Pza Arauc'!V60*'Pza Arauc'!V$102+RRetail!V60*RRetail!V$102+Bucarest!V60*Bucarest!V$102+Magdalena!V60*Magdalena!V$102+BFC!V60*BFC!V$102</f>
        <v>0</v>
      </c>
      <c r="W60" s="3">
        <f>+Descubrimiento!W61*Descubrimiento!W$103+'Rentas SpA'!W60*'Rentas SpA'!W$102+'Pza Const'!W60*'Pza Const'!W$102+'Pza Arauc'!W60*'Pza Arauc'!W$102+RRetail!W60*RRetail!W$102+Bucarest!W60*Bucarest!W$102+Magdalena!W60*Magdalena!W$102+BFC!W60*BFC!W$102</f>
        <v>0</v>
      </c>
      <c r="X60" s="3">
        <f>+Descubrimiento!X61*Descubrimiento!X$103+'Rentas SpA'!X60*'Rentas SpA'!X$102+'Pza Const'!X60*'Pza Const'!X$102+'Pza Arauc'!X60*'Pza Arauc'!X$102+RRetail!X60*RRetail!X$102+Bucarest!X60*Bucarest!X$102+Magdalena!X60*Magdalena!X$102+BFC!X60*BFC!X$102</f>
        <v>0</v>
      </c>
      <c r="Y60" s="3">
        <f>+Descubrimiento!Y61*Descubrimiento!Y$103+'Rentas SpA'!Y60*'Rentas SpA'!Y$102+'Pza Const'!Y60*'Pza Const'!Y$102+'Pza Arauc'!Y60*'Pza Arauc'!Y$102+RRetail!Y60*RRetail!Y$102+Bucarest!Y60*Bucarest!Y$102+Magdalena!Y60*Magdalena!Y$102+BFC!Y60*BFC!Y$102</f>
        <v>0</v>
      </c>
      <c r="Z60" s="3">
        <f>+Descubrimiento!Z61*Descubrimiento!Z$103+'Rentas SpA'!Z60*'Rentas SpA'!Z$102+'Pza Const'!Z60*'Pza Const'!Z$102+'Pza Arauc'!Z60*'Pza Arauc'!Z$102+RRetail!Z60*RRetail!Z$102+Bucarest!Z60*Bucarest!Z$102+Magdalena!Z60*Magdalena!Z$102+BFC!Z60*BFC!Z$102</f>
        <v>0</v>
      </c>
      <c r="AA60" s="3">
        <f>+Descubrimiento!AA61*Descubrimiento!AA$103+'Rentas SpA'!AA60*'Rentas SpA'!AA$102+'Pza Const'!AA60*'Pza Const'!AA$102+'Pza Arauc'!AA60*'Pza Arauc'!AA$102+RRetail!AA60*RRetail!AA$102+Bucarest!AA60*Bucarest!AA$102+Magdalena!AA60*Magdalena!AA$102+BFC!AA60*BFC!AA$102</f>
        <v>167852</v>
      </c>
      <c r="AB60" s="3">
        <f>+Descubrimiento!AB61*Descubrimiento!AB$103+'Rentas SpA'!AB60*'Rentas SpA'!AB$102+'Pza Const'!AB60*'Pza Const'!AB$102+'Pza Arauc'!AB60*'Pza Arauc'!AB$102+RRetail!AB60*RRetail!AB$102+Bucarest!AB60*Bucarest!AB$102+Magdalena!AB60*Magdalena!AB$102+BFC!AB60*BFC!AB$102</f>
        <v>-2111735</v>
      </c>
      <c r="AC60" s="3">
        <f>+Descubrimiento!AC61*Descubrimiento!AC$103+'Rentas SpA'!AC60*'Rentas SpA'!AC$102+'Pza Const'!AC60*'Pza Const'!AC$102+'Pza Arauc'!AC60*'Pza Arauc'!AC$102+RRetail!AC60*RRetail!AC$102+Bucarest!AC60*Bucarest!AC$102+Magdalena!AC60*Magdalena!AC$102+BFC!AC60*BFC!AC$102</f>
        <v>-2031231</v>
      </c>
      <c r="AD60" s="3">
        <f>+Descubrimiento!AD61*Descubrimiento!AD$103+'Rentas SpA'!AD60*'Rentas SpA'!AD$102+'Pza Const'!AD60*'Pza Const'!AD$102+'Pza Arauc'!AD60*'Pza Arauc'!AD$102+RRetail!AD60*RRetail!AD$102+Bucarest!AD60*Bucarest!AD$102+Magdalena!AD60*Magdalena!AD$102+BFC!AD60*BFC!AD$102</f>
        <v>-1059068</v>
      </c>
      <c r="AE60" s="3">
        <f>+Descubrimiento!AE61*Descubrimiento!AE$103+'Rentas SpA'!AE60*'Rentas SpA'!AE$102+'Pza Const'!AE60*'Pza Const'!AE$102+'Pza Arauc'!AE60*'Pza Arauc'!AE$102+RRetail!AE60*RRetail!AE$102+Bucarest!AE60*Bucarest!AE$102+Magdalena!AE60*Magdalena!AE$102+BFC!AE60*BFC!AE$102</f>
        <v>65373</v>
      </c>
      <c r="AF60" s="3">
        <f>+Descubrimiento!AF61*Descubrimiento!AF$103+'Rentas SpA'!AF60*'Rentas SpA'!AF$102+'Pza Const'!AF60*'Pza Const'!AF$102+'Pza Arauc'!AF60*'Pza Arauc'!AF$102+RRetail!AF60*RRetail!AF$102+Bucarest!AF60*Bucarest!AF$102+Magdalena!AF60*Magdalena!AF$102+BFC!AF60*BFC!AF$102</f>
        <v>-757400</v>
      </c>
      <c r="AG60" s="3">
        <f>+Descubrimiento!AG61*Descubrimiento!AG$103+'Rentas SpA'!AG60*'Rentas SpA'!AG$102+'Pza Const'!AG60*'Pza Const'!AG$102+'Pza Arauc'!AG60*'Pza Arauc'!AG$102+RRetail!AG60*RRetail!AG$102+Bucarest!AG60*Bucarest!AG$102+Magdalena!AG60*Magdalena!AG$102+BFC!AG60*BFC!AG$102</f>
        <v>-851454</v>
      </c>
      <c r="AH60" s="3">
        <f>+Descubrimiento!AH61*Descubrimiento!AH$103+'Rentas SpA'!AH60*'Rentas SpA'!AH$102+'Pza Const'!AH60*'Pza Const'!AH$102+'Pza Arauc'!AH60*'Pza Arauc'!AH$102+RRetail!AH60*RRetail!AH$102+Bucarest!AH60*Bucarest!AH$102+Magdalena!AH60*Magdalena!AH$102+BFC!AH60*BFC!AH$102</f>
        <v>-124502</v>
      </c>
      <c r="AI60" s="3">
        <f>+Descubrimiento!AI61*Descubrimiento!AI$103+'Rentas SpA'!AI60*'Rentas SpA'!AI$102+'Pza Const'!AI60*'Pza Const'!AI$102+'Pza Arauc'!AI60*'Pza Arauc'!AI$102+RRetail!AI60*RRetail!AI$102+Bucarest!AI60*Bucarest!AI$102+Magdalena!AI60*Magdalena!AI$102+BFC!AI60*BFC!AI$102</f>
        <v>-103564</v>
      </c>
    </row>
    <row r="61" spans="1:35" x14ac:dyDescent="0.3">
      <c r="A61" s="1" t="s">
        <v>145</v>
      </c>
      <c r="B61" s="3">
        <f>+Descubrimiento!B62*Descubrimiento!B$103+'Rentas SpA'!B61*'Rentas SpA'!B$102+'Pza Const'!B61*'Pza Const'!B$102+'Pza Arauc'!B61*'Pza Arauc'!B$102+RRetail!B61*RRetail!B$102+Bucarest!B61*Bucarest!B$102+Magdalena!B61*Magdalena!B$102+BFC!B61*BFC!B$102</f>
        <v>55131</v>
      </c>
      <c r="C61" s="3">
        <f>+Descubrimiento!C62*Descubrimiento!C$103+'Rentas SpA'!C61*'Rentas SpA'!C$102+'Pza Const'!C61*'Pza Const'!C$102+'Pza Arauc'!C61*'Pza Arauc'!C$102+RRetail!C61*RRetail!C$102+Bucarest!C61*Bucarest!C$102+Magdalena!C61*Magdalena!C$102+BFC!C61*BFC!C$102</f>
        <v>85229</v>
      </c>
      <c r="D61" s="3">
        <f>+Descubrimiento!D62*Descubrimiento!D$103+'Rentas SpA'!D61*'Rentas SpA'!D$102+'Pza Const'!D61*'Pza Const'!D$102+'Pza Arauc'!D61*'Pza Arauc'!D$102+RRetail!D61*RRetail!D$102+Bucarest!D61*Bucarest!D$102+Magdalena!D61*Magdalena!D$102+BFC!D61*BFC!D$102</f>
        <v>-28363</v>
      </c>
      <c r="E61" s="3">
        <f>+Descubrimiento!E62*Descubrimiento!E$103+'Rentas SpA'!E61*'Rentas SpA'!E$102+'Pza Const'!E61*'Pza Const'!E$102+'Pza Arauc'!E61*'Pza Arauc'!E$102+RRetail!E61*RRetail!E$102+Bucarest!E61*Bucarest!E$102+Magdalena!E61*Magdalena!E$102+BFC!E61*BFC!E$102</f>
        <v>0</v>
      </c>
      <c r="F61" s="3">
        <f>+Descubrimiento!F62*Descubrimiento!F$103+'Rentas SpA'!F61*'Rentas SpA'!F$102+'Pza Const'!F61*'Pza Const'!F$102+'Pza Arauc'!F61*'Pza Arauc'!F$102+RRetail!F61*RRetail!F$102+Bucarest!F61*Bucarest!F$102+Magdalena!F61*Magdalena!F$102+BFC!F61*BFC!F$102</f>
        <v>0</v>
      </c>
      <c r="G61" s="3">
        <f>+Descubrimiento!G62*Descubrimiento!G$103+'Rentas SpA'!G61*'Rentas SpA'!G$102+'Pza Const'!G61*'Pza Const'!G$102+'Pza Arauc'!G61*'Pza Arauc'!G$102+RRetail!G61*RRetail!G$102+Bucarest!G61*Bucarest!G$102+Magdalena!G61*Magdalena!G$102+BFC!G61*BFC!G$102</f>
        <v>0</v>
      </c>
      <c r="H61" s="3">
        <f>+Descubrimiento!H62*Descubrimiento!H$103+'Rentas SpA'!H61*'Rentas SpA'!H$102+'Pza Const'!H61*'Pza Const'!H$102+'Pza Arauc'!H61*'Pza Arauc'!H$102+RRetail!H61*RRetail!H$102+Bucarest!H61*Bucarest!H$102+Magdalena!H61*Magdalena!H$102+BFC!H61*BFC!H$102</f>
        <v>0</v>
      </c>
      <c r="I61" s="3">
        <f>+Descubrimiento!I62*Descubrimiento!I$103+'Rentas SpA'!I61*'Rentas SpA'!I$102+'Pza Const'!I61*'Pza Const'!I$102+'Pza Arauc'!I61*'Pza Arauc'!I$102+RRetail!I61*RRetail!I$102+Bucarest!I61*Bucarest!I$102+Magdalena!I61*Magdalena!I$102+BFC!I61*BFC!I$102</f>
        <v>0</v>
      </c>
      <c r="J61" s="3">
        <f>+Descubrimiento!J62*Descubrimiento!J$103+'Rentas SpA'!J61*'Rentas SpA'!J$102+'Pza Const'!J61*'Pza Const'!J$102+'Pza Arauc'!J61*'Pza Arauc'!J$102+RRetail!J61*RRetail!J$102+Bucarest!J61*Bucarest!J$102+Magdalena!J61*Magdalena!J$102+BFC!J61*BFC!J$102</f>
        <v>0</v>
      </c>
      <c r="K61" s="3">
        <f>+Descubrimiento!K62*Descubrimiento!K$103+'Rentas SpA'!K61*'Rentas SpA'!K$102+'Pza Const'!K61*'Pza Const'!K$102+'Pza Arauc'!K61*'Pza Arauc'!K$102+RRetail!K61*RRetail!K$102+Bucarest!K61*Bucarest!K$102+Magdalena!K61*Magdalena!K$102+BFC!K61*BFC!K$102</f>
        <v>0</v>
      </c>
      <c r="L61" s="3">
        <f>+Descubrimiento!L62*Descubrimiento!L$103+'Rentas SpA'!L61*'Rentas SpA'!L$102+'Pza Const'!L61*'Pza Const'!L$102+'Pza Arauc'!L61*'Pza Arauc'!L$102+RRetail!L61*RRetail!L$102+Bucarest!L61*Bucarest!L$102+Magdalena!L61*Magdalena!L$102+BFC!L61*BFC!L$102</f>
        <v>0</v>
      </c>
      <c r="M61" s="3">
        <f>+Descubrimiento!M62*Descubrimiento!M$103+'Rentas SpA'!M61*'Rentas SpA'!M$102+'Pza Const'!M61*'Pza Const'!M$102+'Pza Arauc'!M61*'Pza Arauc'!M$102+RRetail!M61*RRetail!M$102+Bucarest!M61*Bucarest!M$102+Magdalena!M61*Magdalena!M$102+BFC!M61*BFC!M$102</f>
        <v>0</v>
      </c>
      <c r="N61" s="3">
        <f>+Descubrimiento!N62*Descubrimiento!N$103+'Rentas SpA'!N61*'Rentas SpA'!N$102+'Pza Const'!N61*'Pza Const'!N$102+'Pza Arauc'!N61*'Pza Arauc'!N$102+RRetail!N61*RRetail!N$102+Bucarest!N61*Bucarest!N$102+Magdalena!N61*Magdalena!N$102+BFC!N61*BFC!N$102</f>
        <v>0</v>
      </c>
      <c r="O61" s="3">
        <f>+Descubrimiento!O62*Descubrimiento!O$103+'Rentas SpA'!O61*'Rentas SpA'!O$102+'Pza Const'!O61*'Pza Const'!O$102+'Pza Arauc'!O61*'Pza Arauc'!O$102+RRetail!O61*RRetail!O$102+Bucarest!O61*Bucarest!O$102+Magdalena!O61*Magdalena!O$102+BFC!O61*BFC!O$102</f>
        <v>0</v>
      </c>
      <c r="P61" s="3">
        <f>+Descubrimiento!P62*Descubrimiento!P$103+'Rentas SpA'!P61*'Rentas SpA'!P$102+'Pza Const'!P61*'Pza Const'!P$102+'Pza Arauc'!P61*'Pza Arauc'!P$102+RRetail!P61*RRetail!P$102+Bucarest!P61*Bucarest!P$102+Magdalena!P61*Magdalena!P$102+BFC!P61*BFC!P$102</f>
        <v>0</v>
      </c>
      <c r="Q61" s="3">
        <f>+Descubrimiento!Q62*Descubrimiento!Q$103+'Rentas SpA'!Q61*'Rentas SpA'!Q$102+'Pza Const'!Q61*'Pza Const'!Q$102+'Pza Arauc'!Q61*'Pza Arauc'!Q$102+RRetail!Q61*RRetail!Q$102+Bucarest!Q61*Bucarest!Q$102+Magdalena!Q61*Magdalena!Q$102+BFC!Q61*BFC!Q$102</f>
        <v>0</v>
      </c>
      <c r="R61" s="3">
        <f>+Descubrimiento!R62*Descubrimiento!R$103+'Rentas SpA'!R61*'Rentas SpA'!R$102+'Pza Const'!R61*'Pza Const'!R$102+'Pza Arauc'!R61*'Pza Arauc'!R$102+RRetail!R61*RRetail!R$102+Bucarest!R61*Bucarest!R$102+Magdalena!R61*Magdalena!R$102+BFC!R61*BFC!R$102</f>
        <v>0</v>
      </c>
      <c r="S61" s="3">
        <f>+Descubrimiento!S62*Descubrimiento!S$103+'Rentas SpA'!S61*'Rentas SpA'!S$102+'Pza Const'!S61*'Pza Const'!S$102+'Pza Arauc'!S61*'Pza Arauc'!S$102+RRetail!S61*RRetail!S$102+Bucarest!S61*Bucarest!S$102+Magdalena!S61*Magdalena!S$102+BFC!S61*BFC!S$102</f>
        <v>0</v>
      </c>
      <c r="T61" s="3">
        <f>+Descubrimiento!T62*Descubrimiento!T$103+'Rentas SpA'!T61*'Rentas SpA'!T$102+'Pza Const'!T61*'Pza Const'!T$102+'Pza Arauc'!T61*'Pza Arauc'!T$102+RRetail!T61*RRetail!T$102+Bucarest!T61*Bucarest!T$102+Magdalena!T61*Magdalena!T$102+BFC!T61*BFC!T$102</f>
        <v>409</v>
      </c>
      <c r="U61" s="3">
        <f>+Descubrimiento!U62*Descubrimiento!U$103+'Rentas SpA'!U61*'Rentas SpA'!U$102+'Pza Const'!U61*'Pza Const'!U$102+'Pza Arauc'!U61*'Pza Arauc'!U$102+RRetail!U61*RRetail!U$102+Bucarest!U61*Bucarest!U$102+Magdalena!U61*Magdalena!U$102+BFC!U61*BFC!U$102</f>
        <v>409</v>
      </c>
      <c r="V61" s="3">
        <f>+Descubrimiento!V62*Descubrimiento!V$103+'Rentas SpA'!V61*'Rentas SpA'!V$102+'Pza Const'!V61*'Pza Const'!V$102+'Pza Arauc'!V61*'Pza Arauc'!V$102+RRetail!V61*RRetail!V$102+Bucarest!V61*Bucarest!V$102+Magdalena!V61*Magdalena!V$102+BFC!V61*BFC!V$102</f>
        <v>0</v>
      </c>
      <c r="W61" s="3">
        <f>+Descubrimiento!W62*Descubrimiento!W$103+'Rentas SpA'!W61*'Rentas SpA'!W$102+'Pza Const'!W61*'Pza Const'!W$102+'Pza Arauc'!W61*'Pza Arauc'!W$102+RRetail!W61*RRetail!W$102+Bucarest!W61*Bucarest!W$102+Magdalena!W61*Magdalena!W$102+BFC!W61*BFC!W$102</f>
        <v>0</v>
      </c>
      <c r="X61" s="3">
        <f>+Descubrimiento!X62*Descubrimiento!X$103+'Rentas SpA'!X61*'Rentas SpA'!X$102+'Pza Const'!X61*'Pza Const'!X$102+'Pza Arauc'!X61*'Pza Arauc'!X$102+RRetail!X61*RRetail!X$102+Bucarest!X61*Bucarest!X$102+Magdalena!X61*Magdalena!X$102+BFC!X61*BFC!X$102</f>
        <v>0</v>
      </c>
      <c r="Y61" s="3">
        <f>+Descubrimiento!Y62*Descubrimiento!Y$103+'Rentas SpA'!Y61*'Rentas SpA'!Y$102+'Pza Const'!Y61*'Pza Const'!Y$102+'Pza Arauc'!Y61*'Pza Arauc'!Y$102+RRetail!Y61*RRetail!Y$102+Bucarest!Y61*Bucarest!Y$102+Magdalena!Y61*Magdalena!Y$102+BFC!Y61*BFC!Y$102</f>
        <v>0</v>
      </c>
      <c r="Z61" s="3">
        <f>+Descubrimiento!Z62*Descubrimiento!Z$103+'Rentas SpA'!Z61*'Rentas SpA'!Z$102+'Pza Const'!Z61*'Pza Const'!Z$102+'Pza Arauc'!Z61*'Pza Arauc'!Z$102+RRetail!Z61*RRetail!Z$102+Bucarest!Z61*Bucarest!Z$102+Magdalena!Z61*Magdalena!Z$102+BFC!Z61*BFC!Z$102</f>
        <v>0</v>
      </c>
      <c r="AA61" s="3">
        <f>+Descubrimiento!AA62*Descubrimiento!AA$103+'Rentas SpA'!AA61*'Rentas SpA'!AA$102+'Pza Const'!AA61*'Pza Const'!AA$102+'Pza Arauc'!AA61*'Pza Arauc'!AA$102+RRetail!AA61*RRetail!AA$102+Bucarest!AA61*Bucarest!AA$102+Magdalena!AA61*Magdalena!AA$102+BFC!AA61*BFC!AA$102</f>
        <v>0</v>
      </c>
      <c r="AB61" s="3">
        <f>+Descubrimiento!AB62*Descubrimiento!AB$103+'Rentas SpA'!AB61*'Rentas SpA'!AB$102+'Pza Const'!AB61*'Pza Const'!AB$102+'Pza Arauc'!AB61*'Pza Arauc'!AB$102+RRetail!AB61*RRetail!AB$102+Bucarest!AB61*Bucarest!AB$102+Magdalena!AB61*Magdalena!AB$102+BFC!AB61*BFC!AB$102</f>
        <v>0</v>
      </c>
      <c r="AC61" s="3">
        <f>+Descubrimiento!AC62*Descubrimiento!AC$103+'Rentas SpA'!AC61*'Rentas SpA'!AC$102+'Pza Const'!AC61*'Pza Const'!AC$102+'Pza Arauc'!AC61*'Pza Arauc'!AC$102+RRetail!AC61*RRetail!AC$102+Bucarest!AC61*Bucarest!AC$102+Magdalena!AC61*Magdalena!AC$102+BFC!AC61*BFC!AC$102</f>
        <v>0</v>
      </c>
      <c r="AD61" s="3">
        <f>+Descubrimiento!AD62*Descubrimiento!AD$103+'Rentas SpA'!AD61*'Rentas SpA'!AD$102+'Pza Const'!AD61*'Pza Const'!AD$102+'Pza Arauc'!AD61*'Pza Arauc'!AD$102+RRetail!AD61*RRetail!AD$102+Bucarest!AD61*Bucarest!AD$102+Magdalena!AD61*Magdalena!AD$102+BFC!AD61*BFC!AD$102</f>
        <v>0</v>
      </c>
      <c r="AE61" s="3">
        <f>+Descubrimiento!AE62*Descubrimiento!AE$103+'Rentas SpA'!AE61*'Rentas SpA'!AE$102+'Pza Const'!AE61*'Pza Const'!AE$102+'Pza Arauc'!AE61*'Pza Arauc'!AE$102+RRetail!AE61*RRetail!AE$102+Bucarest!AE61*Bucarest!AE$102+Magdalena!AE61*Magdalena!AE$102+BFC!AE61*BFC!AE$102</f>
        <v>0</v>
      </c>
      <c r="AF61" s="3">
        <f>+Descubrimiento!AF62*Descubrimiento!AF$103+'Rentas SpA'!AF61*'Rentas SpA'!AF$102+'Pza Const'!AF61*'Pza Const'!AF$102+'Pza Arauc'!AF61*'Pza Arauc'!AF$102+RRetail!AF61*RRetail!AF$102+Bucarest!AF61*Bucarest!AF$102+Magdalena!AF61*Magdalena!AF$102+BFC!AF61*BFC!AF$102</f>
        <v>-408</v>
      </c>
      <c r="AG61" s="3">
        <f>+Descubrimiento!AG62*Descubrimiento!AG$103+'Rentas SpA'!AG61*'Rentas SpA'!AG$102+'Pza Const'!AG61*'Pza Const'!AG$102+'Pza Arauc'!AG61*'Pza Arauc'!AG$102+RRetail!AG61*RRetail!AG$102+Bucarest!AG61*Bucarest!AG$102+Magdalena!AG61*Magdalena!AG$102+BFC!AG61*BFC!AG$102</f>
        <v>-408</v>
      </c>
      <c r="AH61" s="3">
        <f>+Descubrimiento!AH62*Descubrimiento!AH$103+'Rentas SpA'!AH61*'Rentas SpA'!AH$102+'Pza Const'!AH61*'Pza Const'!AH$102+'Pza Arauc'!AH61*'Pza Arauc'!AH$102+RRetail!AH61*RRetail!AH$102+Bucarest!AH61*Bucarest!AH$102+Magdalena!AH61*Magdalena!AH$102+BFC!AH61*BFC!AH$102</f>
        <v>0</v>
      </c>
      <c r="AI61" s="3">
        <f>+Descubrimiento!AI62*Descubrimiento!AI$103+'Rentas SpA'!AI61*'Rentas SpA'!AI$102+'Pza Const'!AI61*'Pza Const'!AI$102+'Pza Arauc'!AI61*'Pza Arauc'!AI$102+RRetail!AI61*RRetail!AI$102+Bucarest!AI61*Bucarest!AI$102+Magdalena!AI61*Magdalena!AI$102+BFC!AI61*BFC!AI$102</f>
        <v>0</v>
      </c>
    </row>
    <row r="62" spans="1:35" x14ac:dyDescent="0.3">
      <c r="A62" s="1" t="s">
        <v>146</v>
      </c>
      <c r="B62" s="3">
        <f>+Descubrimiento!B63*Descubrimiento!B$103+'Rentas SpA'!B62*'Rentas SpA'!B$102+'Pza Const'!B62*'Pza Const'!B$102+'Pza Arauc'!B62*'Pza Arauc'!B$102+RRetail!B62*RRetail!B$102+Bucarest!B62*Bucarest!B$102+Magdalena!B62*Magdalena!B$102+BFC!B62*BFC!B$102</f>
        <v>-13075276</v>
      </c>
      <c r="C62" s="3">
        <f>+Descubrimiento!C63*Descubrimiento!C$103+'Rentas SpA'!C62*'Rentas SpA'!C$102+'Pza Const'!C62*'Pza Const'!C$102+'Pza Arauc'!C62*'Pza Arauc'!C$102+RRetail!C62*RRetail!C$102+Bucarest!C62*Bucarest!C$102+Magdalena!C62*Magdalena!C$102+BFC!C62*BFC!C$102</f>
        <v>-10685121.5</v>
      </c>
      <c r="D62" s="3">
        <f>+Descubrimiento!D63*Descubrimiento!D$103+'Rentas SpA'!D62*'Rentas SpA'!D$102+'Pza Const'!D62*'Pza Const'!D$102+'Pza Arauc'!D62*'Pza Arauc'!D$102+RRetail!D62*RRetail!D$102+Bucarest!D62*Bucarest!D$102+Magdalena!D62*Magdalena!D$102+BFC!D62*BFC!D$102</f>
        <v>-8576801</v>
      </c>
      <c r="E62" s="3">
        <f>+Descubrimiento!E63*Descubrimiento!E$103+'Rentas SpA'!E62*'Rentas SpA'!E$102+'Pza Const'!E62*'Pza Const'!E$102+'Pza Arauc'!E62*'Pza Arauc'!E$102+RRetail!E62*RRetail!E$102+Bucarest!E62*Bucarest!E$102+Magdalena!E62*Magdalena!E$102+BFC!E62*BFC!E$102</f>
        <v>-5767929</v>
      </c>
      <c r="F62" s="3">
        <f>+Descubrimiento!F63*Descubrimiento!F$103+'Rentas SpA'!F62*'Rentas SpA'!F$102+'Pza Const'!F62*'Pza Const'!F$102+'Pza Arauc'!F62*'Pza Arauc'!F$102+RRetail!F62*RRetail!F$102+Bucarest!F62*Bucarest!F$102+Magdalena!F62*Magdalena!F$102+BFC!F62*BFC!F$102</f>
        <v>-9878323</v>
      </c>
      <c r="G62" s="3">
        <f>+Descubrimiento!G63*Descubrimiento!G$103+'Rentas SpA'!G62*'Rentas SpA'!G$102+'Pza Const'!G62*'Pza Const'!G$102+'Pza Arauc'!G62*'Pza Arauc'!G$102+RRetail!G62*RRetail!G$102+Bucarest!G62*Bucarest!G$102+Magdalena!G62*Magdalena!G$102+BFC!G62*BFC!G$102</f>
        <v>-3013</v>
      </c>
      <c r="H62" s="3">
        <f>+Descubrimiento!H63*Descubrimiento!H$103+'Rentas SpA'!H62*'Rentas SpA'!H$102+'Pza Const'!H62*'Pza Const'!H$102+'Pza Arauc'!H62*'Pza Arauc'!H$102+RRetail!H62*RRetail!H$102+Bucarest!H62*Bucarest!H$102+Magdalena!H62*Magdalena!H$102+BFC!H62*BFC!H$102</f>
        <v>-4632390</v>
      </c>
      <c r="I62" s="3">
        <f>+Descubrimiento!I63*Descubrimiento!I$103+'Rentas SpA'!I62*'Rentas SpA'!I$102+'Pza Const'!I62*'Pza Const'!I$102+'Pza Arauc'!I62*'Pza Arauc'!I$102+RRetail!I62*RRetail!I$102+Bucarest!I62*Bucarest!I$102+Magdalena!I62*Magdalena!I$102+BFC!I62*BFC!I$102</f>
        <v>-6637048</v>
      </c>
      <c r="J62" s="3">
        <f>+Descubrimiento!J63*Descubrimiento!J$103+'Rentas SpA'!J62*'Rentas SpA'!J$102+'Pza Const'!J62*'Pza Const'!J$102+'Pza Arauc'!J62*'Pza Arauc'!J$102+RRetail!J62*RRetail!J$102+Bucarest!J62*Bucarest!J$102+Magdalena!J62*Magdalena!J$102+BFC!J62*BFC!J$102</f>
        <v>-10337997</v>
      </c>
      <c r="K62" s="3">
        <f>+Descubrimiento!K63*Descubrimiento!K$103+'Rentas SpA'!K62*'Rentas SpA'!K$102+'Pza Const'!K62*'Pza Const'!K$102+'Pza Arauc'!K62*'Pza Arauc'!K$102+RRetail!K62*RRetail!K$102+Bucarest!K62*Bucarest!K$102+Magdalena!K62*Magdalena!K$102+BFC!K62*BFC!K$102</f>
        <v>-3984877</v>
      </c>
      <c r="L62" s="3">
        <f>+Descubrimiento!L63*Descubrimiento!L$103+'Rentas SpA'!L62*'Rentas SpA'!L$102+'Pza Const'!L62*'Pza Const'!L$102+'Pza Arauc'!L62*'Pza Arauc'!L$102+RRetail!L62*RRetail!L$102+Bucarest!L62*Bucarest!L$102+Magdalena!L62*Magdalena!L$102+BFC!L62*BFC!L$102</f>
        <v>-5404477</v>
      </c>
      <c r="M62" s="3">
        <f>+Descubrimiento!M63*Descubrimiento!M$103+'Rentas SpA'!M62*'Rentas SpA'!M$102+'Pza Const'!M62*'Pza Const'!M$102+'Pza Arauc'!M62*'Pza Arauc'!M$102+RRetail!M62*RRetail!M$102+Bucarest!M62*Bucarest!M$102+Magdalena!M62*Magdalena!M$102+BFC!M62*BFC!M$102</f>
        <v>-5588311</v>
      </c>
      <c r="N62" s="3">
        <f>+Descubrimiento!N63*Descubrimiento!N$103+'Rentas SpA'!N62*'Rentas SpA'!N$102+'Pza Const'!N62*'Pza Const'!N$102+'Pza Arauc'!N62*'Pza Arauc'!N$102+RRetail!N62*RRetail!N$102+Bucarest!N62*Bucarest!N$102+Magdalena!N62*Magdalena!N$102+BFC!N62*BFC!N$102</f>
        <v>-12506617.4</v>
      </c>
      <c r="O62" s="3">
        <f>+Descubrimiento!O63*Descubrimiento!O$103+'Rentas SpA'!O62*'Rentas SpA'!O$102+'Pza Const'!O62*'Pza Const'!O$102+'Pza Arauc'!O62*'Pza Arauc'!O$102+RRetail!O62*RRetail!O$102+Bucarest!O62*Bucarest!O$102+Magdalena!O62*Magdalena!O$102+BFC!O62*BFC!O$102</f>
        <v>-5253860.8</v>
      </c>
      <c r="P62" s="3">
        <f>+Descubrimiento!P63*Descubrimiento!P$103+'Rentas SpA'!P62*'Rentas SpA'!P$102+'Pza Const'!P62*'Pza Const'!P$102+'Pza Arauc'!P62*'Pza Arauc'!P$102+RRetail!P62*RRetail!P$102+Bucarest!P62*Bucarest!P$102+Magdalena!P62*Magdalena!P$102+BFC!P62*BFC!P$102</f>
        <v>-9195115</v>
      </c>
      <c r="Q62" s="3">
        <f>+Descubrimiento!Q63*Descubrimiento!Q$103+'Rentas SpA'!Q62*'Rentas SpA'!Q$102+'Pza Const'!Q62*'Pza Const'!Q$102+'Pza Arauc'!Q62*'Pza Arauc'!Q$102+RRetail!Q62*RRetail!Q$102+Bucarest!Q62*Bucarest!Q$102+Magdalena!Q62*Magdalena!Q$102+BFC!Q62*BFC!Q$102</f>
        <v>-14614744</v>
      </c>
      <c r="R62" s="3">
        <f>+Descubrimiento!R63*Descubrimiento!R$103+'Rentas SpA'!R62*'Rentas SpA'!R$102+'Pza Const'!R62*'Pza Const'!R$102+'Pza Arauc'!R62*'Pza Arauc'!R$102+RRetail!R62*RRetail!R$102+Bucarest!R62*Bucarest!R$102+Magdalena!R62*Magdalena!R$102+BFC!R62*BFC!R$102</f>
        <v>-33027346.399999999</v>
      </c>
      <c r="S62" s="3">
        <f>+Descubrimiento!S63*Descubrimiento!S$103+'Rentas SpA'!S62*'Rentas SpA'!S$102+'Pza Const'!S62*'Pza Const'!S$102+'Pza Arauc'!S62*'Pza Arauc'!S$102+RRetail!S62*RRetail!S$102+Bucarest!S62*Bucarest!S$102+Magdalena!S62*Magdalena!S$102+BFC!S62*BFC!S$102</f>
        <v>-12700984.300000001</v>
      </c>
      <c r="T62" s="3">
        <f>+Descubrimiento!T63*Descubrimiento!T$103+'Rentas SpA'!T62*'Rentas SpA'!T$102+'Pza Const'!T62*'Pza Const'!T$102+'Pza Arauc'!T62*'Pza Arauc'!T$102+RRetail!T62*RRetail!T$102+Bucarest!T62*Bucarest!T$102+Magdalena!T62*Magdalena!T$102+BFC!T62*BFC!T$102</f>
        <v>-30623674</v>
      </c>
      <c r="U62" s="3">
        <f>+Descubrimiento!U63*Descubrimiento!U$103+'Rentas SpA'!U62*'Rentas SpA'!U$102+'Pza Const'!U62*'Pza Const'!U$102+'Pza Arauc'!U62*'Pza Arauc'!U$102+RRetail!U62*RRetail!U$102+Bucarest!U62*Bucarest!U$102+Magdalena!U62*Magdalena!U$102+BFC!U62*BFC!U$102</f>
        <v>-47860683</v>
      </c>
      <c r="V62" s="3">
        <f>+Descubrimiento!V63*Descubrimiento!V$103+'Rentas SpA'!V62*'Rentas SpA'!V$102+'Pza Const'!V62*'Pza Const'!V$102+'Pza Arauc'!V62*'Pza Arauc'!V$102+RRetail!V62*RRetail!V$102+Bucarest!V62*Bucarest!V$102+Magdalena!V62*Magdalena!V$102+BFC!V62*BFC!V$102</f>
        <v>-74052049.200000003</v>
      </c>
      <c r="W62" s="3">
        <f>+Descubrimiento!W63*Descubrimiento!W$103+'Rentas SpA'!W62*'Rentas SpA'!W$102+'Pza Const'!W62*'Pza Const'!W$102+'Pza Arauc'!W62*'Pza Arauc'!W$102+RRetail!W62*RRetail!W$102+Bucarest!W62*Bucarest!W$102+Magdalena!W62*Magdalena!W$102+BFC!W62*BFC!W$102</f>
        <v>-8572740.6999999993</v>
      </c>
      <c r="X62" s="3">
        <f>+Descubrimiento!X63*Descubrimiento!X$103+'Rentas SpA'!X62*'Rentas SpA'!X$102+'Pza Const'!X62*'Pza Const'!X$102+'Pza Arauc'!X62*'Pza Arauc'!X$102+RRetail!X62*RRetail!X$102+Bucarest!X62*Bucarest!X$102+Magdalena!X62*Magdalena!X$102+BFC!X62*BFC!X$102</f>
        <v>-17676313.399999999</v>
      </c>
      <c r="Y62" s="3">
        <f>+Descubrimiento!Y63*Descubrimiento!Y$103+'Rentas SpA'!Y62*'Rentas SpA'!Y$102+'Pza Const'!Y62*'Pza Const'!Y$102+'Pza Arauc'!Y62*'Pza Arauc'!Y$102+RRetail!Y62*RRetail!Y$102+Bucarest!Y62*Bucarest!Y$102+Magdalena!Y62*Magdalena!Y$102+BFC!Y62*BFC!Y$102</f>
        <v>-19482439.399999999</v>
      </c>
      <c r="Z62" s="3">
        <f>+Descubrimiento!Z63*Descubrimiento!Z$103+'Rentas SpA'!Z62*'Rentas SpA'!Z$102+'Pza Const'!Z62*'Pza Const'!Z$102+'Pza Arauc'!Z62*'Pza Arauc'!Z$102+RRetail!Z62*RRetail!Z$102+Bucarest!Z62*Bucarest!Z$102+Magdalena!Z62*Magdalena!Z$102+BFC!Z62*BFC!Z$102</f>
        <v>-29784252</v>
      </c>
      <c r="AA62" s="3">
        <f>+Descubrimiento!AA63*Descubrimiento!AA$103+'Rentas SpA'!AA62*'Rentas SpA'!AA$102+'Pza Const'!AA62*'Pza Const'!AA$102+'Pza Arauc'!AA62*'Pza Arauc'!AA$102+RRetail!AA62*RRetail!AA$102+Bucarest!AA62*Bucarest!AA$102+Magdalena!AA62*Magdalena!AA$102+BFC!AA62*BFC!AA$102</f>
        <v>-5349276.8</v>
      </c>
      <c r="AB62" s="3">
        <f>+Descubrimiento!AB63*Descubrimiento!AB$103+'Rentas SpA'!AB62*'Rentas SpA'!AB$102+'Pza Const'!AB62*'Pza Const'!AB$102+'Pza Arauc'!AB62*'Pza Arauc'!AB$102+RRetail!AB62*RRetail!AB$102+Bucarest!AB62*Bucarest!AB$102+Magdalena!AB62*Magdalena!AB$102+BFC!AB62*BFC!AB$102</f>
        <v>-14121668.699999999</v>
      </c>
      <c r="AC62" s="3">
        <f>+Descubrimiento!AC63*Descubrimiento!AC$103+'Rentas SpA'!AC62*'Rentas SpA'!AC$102+'Pza Const'!AC62*'Pza Const'!AC$102+'Pza Arauc'!AC62*'Pza Arauc'!AC$102+RRetail!AC62*RRetail!AC$102+Bucarest!AC62*Bucarest!AC$102+Magdalena!AC62*Magdalena!AC$102+BFC!AC62*BFC!AC$102</f>
        <v>-20350465.399999999</v>
      </c>
      <c r="AD62" s="3">
        <f>+Descubrimiento!AD63*Descubrimiento!AD$103+'Rentas SpA'!AD62*'Rentas SpA'!AD$102+'Pza Const'!AD62*'Pza Const'!AD$102+'Pza Arauc'!AD62*'Pza Arauc'!AD$102+RRetail!AD62*RRetail!AD$102+Bucarest!AD62*Bucarest!AD$102+Magdalena!AD62*Magdalena!AD$102+BFC!AD62*BFC!AD$102</f>
        <v>-29425021.100000001</v>
      </c>
      <c r="AE62" s="3">
        <f>+Descubrimiento!AE63*Descubrimiento!AE$103+'Rentas SpA'!AE62*'Rentas SpA'!AE$102+'Pza Const'!AE62*'Pza Const'!AE$102+'Pza Arauc'!AE62*'Pza Arauc'!AE$102+RRetail!AE62*RRetail!AE$102+Bucarest!AE62*Bucarest!AE$102+Magdalena!AE62*Magdalena!AE$102+BFC!AE62*BFC!AE$102</f>
        <v>-8149333.5</v>
      </c>
      <c r="AF62" s="3">
        <f>+Descubrimiento!AF63*Descubrimiento!AF$103+'Rentas SpA'!AF62*'Rentas SpA'!AF$102+'Pza Const'!AF62*'Pza Const'!AF$102+'Pza Arauc'!AF62*'Pza Arauc'!AF$102+RRetail!AF62*RRetail!AF$102+Bucarest!AF62*Bucarest!AF$102+Magdalena!AF62*Magdalena!AF$102+BFC!AF62*BFC!AF$102</f>
        <v>-14677661.699999999</v>
      </c>
      <c r="AG62" s="3">
        <f>+Descubrimiento!AG63*Descubrimiento!AG$103+'Rentas SpA'!AG62*'Rentas SpA'!AG$102+'Pza Const'!AG62*'Pza Const'!AG$102+'Pza Arauc'!AG62*'Pza Arauc'!AG$102+RRetail!AG62*RRetail!AG$102+Bucarest!AG62*Bucarest!AG$102+Magdalena!AG62*Magdalena!AG$102+BFC!AG62*BFC!AG$102</f>
        <v>-18974973.399999999</v>
      </c>
      <c r="AH62" s="3">
        <f>+Descubrimiento!AH63*Descubrimiento!AH$103+'Rentas SpA'!AH62*'Rentas SpA'!AH$102+'Pza Const'!AH62*'Pza Const'!AH$102+'Pza Arauc'!AH62*'Pza Arauc'!AH$102+RRetail!AH62*RRetail!AH$102+Bucarest!AH62*Bucarest!AH$102+Magdalena!AH62*Magdalena!AH$102+BFC!AH62*BFC!AH$102</f>
        <v>-23160591.899999999</v>
      </c>
      <c r="AI62" s="3">
        <f>+Descubrimiento!AI63*Descubrimiento!AI$103+'Rentas SpA'!AI62*'Rentas SpA'!AI$102+'Pza Const'!AI62*'Pza Const'!AI$102+'Pza Arauc'!AI62*'Pza Arauc'!AI$102+RRetail!AI62*RRetail!AI$102+Bucarest!AI62*Bucarest!AI$102+Magdalena!AI62*Magdalena!AI$102+BFC!AI62*BFC!AI$102</f>
        <v>-1912389.7999999998</v>
      </c>
    </row>
    <row r="63" spans="1:35" x14ac:dyDescent="0.3">
      <c r="A63" s="1" t="s">
        <v>147</v>
      </c>
      <c r="B63" s="3">
        <f>+Descubrimiento!B64*Descubrimiento!B$103+'Rentas SpA'!B63*'Rentas SpA'!B$102+'Pza Const'!B63*'Pza Const'!B$102+'Pza Arauc'!B63*'Pza Arauc'!B$102+RRetail!B63*RRetail!B$102+Bucarest!B63*Bucarest!B$102+Magdalena!B63*Magdalena!B$102+BFC!B63*BFC!B$102</f>
        <v>11378130.5</v>
      </c>
      <c r="C63" s="3">
        <f>+Descubrimiento!C64*Descubrimiento!C$103+'Rentas SpA'!C63*'Rentas SpA'!C$102+'Pza Const'!C63*'Pza Const'!C$102+'Pza Arauc'!C63*'Pza Arauc'!C$102+RRetail!C63*RRetail!C$102+Bucarest!C63*Bucarest!C$102+Magdalena!C63*Magdalena!C$102+BFC!C63*BFC!C$102</f>
        <v>9048533.5</v>
      </c>
      <c r="D63" s="3">
        <f>+Descubrimiento!D64*Descubrimiento!D$103+'Rentas SpA'!D63*'Rentas SpA'!D$102+'Pza Const'!D63*'Pza Const'!D$102+'Pza Arauc'!D63*'Pza Arauc'!D$102+RRetail!D63*RRetail!D$102+Bucarest!D63*Bucarest!D$102+Magdalena!D63*Magdalena!D$102+BFC!D63*BFC!D$102</f>
        <v>16737729</v>
      </c>
      <c r="E63" s="3">
        <f>+Descubrimiento!E64*Descubrimiento!E$103+'Rentas SpA'!E63*'Rentas SpA'!E$102+'Pza Const'!E63*'Pza Const'!E$102+'Pza Arauc'!E63*'Pza Arauc'!E$102+RRetail!E63*RRetail!E$102+Bucarest!E63*Bucarest!E$102+Magdalena!E63*Magdalena!E$102+BFC!E63*BFC!E$102</f>
        <v>22749965</v>
      </c>
      <c r="F63" s="3">
        <f>+Descubrimiento!F64*Descubrimiento!F$103+'Rentas SpA'!F63*'Rentas SpA'!F$102+'Pza Const'!F63*'Pza Const'!F$102+'Pza Arauc'!F63*'Pza Arauc'!F$102+RRetail!F63*RRetail!F$102+Bucarest!F63*Bucarest!F$102+Magdalena!F63*Magdalena!F$102+BFC!F63*BFC!F$102</f>
        <v>27218844</v>
      </c>
      <c r="G63" s="3">
        <f>+Descubrimiento!G64*Descubrimiento!G$103+'Rentas SpA'!G63*'Rentas SpA'!G$102+'Pza Const'!G63*'Pza Const'!G$102+'Pza Arauc'!G63*'Pza Arauc'!G$102+RRetail!G63*RRetail!G$102+Bucarest!G63*Bucarest!G$102+Magdalena!G63*Magdalena!G$102+BFC!G63*BFC!G$102</f>
        <v>11410197</v>
      </c>
      <c r="H63" s="3">
        <f>+Descubrimiento!H64*Descubrimiento!H$103+'Rentas SpA'!H63*'Rentas SpA'!H$102+'Pza Const'!H63*'Pza Const'!H$102+'Pza Arauc'!H63*'Pza Arauc'!H$102+RRetail!H63*RRetail!H$102+Bucarest!H63*Bucarest!H$102+Magdalena!H63*Magdalena!H$102+BFC!H63*BFC!H$102</f>
        <v>17298507</v>
      </c>
      <c r="I63" s="3">
        <f>+Descubrimiento!I64*Descubrimiento!I$103+'Rentas SpA'!I63*'Rentas SpA'!I$102+'Pza Const'!I63*'Pza Const'!I$102+'Pza Arauc'!I63*'Pza Arauc'!I$102+RRetail!I63*RRetail!I$102+Bucarest!I63*Bucarest!I$102+Magdalena!I63*Magdalena!I$102+BFC!I63*BFC!I$102</f>
        <v>40455168</v>
      </c>
      <c r="J63" s="3">
        <f>+Descubrimiento!J64*Descubrimiento!J$103+'Rentas SpA'!J63*'Rentas SpA'!J$102+'Pza Const'!J63*'Pza Const'!J$102+'Pza Arauc'!J63*'Pza Arauc'!J$102+RRetail!J63*RRetail!J$102+Bucarest!J63*Bucarest!J$102+Magdalena!J63*Magdalena!J$102+BFC!J63*BFC!J$102</f>
        <v>40619965</v>
      </c>
      <c r="K63" s="3">
        <f>+Descubrimiento!K64*Descubrimiento!K$103+'Rentas SpA'!K63*'Rentas SpA'!K$102+'Pza Const'!K63*'Pza Const'!K$102+'Pza Arauc'!K63*'Pza Arauc'!K$102+RRetail!K63*RRetail!K$102+Bucarest!K63*Bucarest!K$102+Magdalena!K63*Magdalena!K$102+BFC!K63*BFC!K$102</f>
        <v>5261648</v>
      </c>
      <c r="L63" s="3">
        <f>+Descubrimiento!L64*Descubrimiento!L$103+'Rentas SpA'!L63*'Rentas SpA'!L$102+'Pza Const'!L63*'Pza Const'!L$102+'Pza Arauc'!L63*'Pza Arauc'!L$102+RRetail!L63*RRetail!L$102+Bucarest!L63*Bucarest!L$102+Magdalena!L63*Magdalena!L$102+BFC!L63*BFC!L$102</f>
        <v>5105312</v>
      </c>
      <c r="M63" s="3">
        <f>+Descubrimiento!M64*Descubrimiento!M$103+'Rentas SpA'!M63*'Rentas SpA'!M$102+'Pza Const'!M63*'Pza Const'!M$102+'Pza Arauc'!M63*'Pza Arauc'!M$102+RRetail!M63*RRetail!M$102+Bucarest!M63*Bucarest!M$102+Magdalena!M63*Magdalena!M$102+BFC!M63*BFC!M$102</f>
        <v>6471284</v>
      </c>
      <c r="N63" s="3">
        <f>+Descubrimiento!N64*Descubrimiento!N$103+'Rentas SpA'!N63*'Rentas SpA'!N$102+'Pza Const'!N63*'Pza Const'!N$102+'Pza Arauc'!N63*'Pza Arauc'!N$102+RRetail!N63*RRetail!N$102+Bucarest!N63*Bucarest!N$102+Magdalena!N63*Magdalena!N$102+BFC!N63*BFC!N$102</f>
        <v>39713161.799999997</v>
      </c>
      <c r="O63" s="3">
        <f>+Descubrimiento!O64*Descubrimiento!O$103+'Rentas SpA'!O63*'Rentas SpA'!O$102+'Pza Const'!O63*'Pza Const'!O$102+'Pza Arauc'!O63*'Pza Arauc'!O$102+RRetail!O63*RRetail!O$102+Bucarest!O63*Bucarest!O$102+Magdalena!O63*Magdalena!O$102+BFC!O63*BFC!O$102</f>
        <v>8021662.4000000004</v>
      </c>
      <c r="P63" s="3">
        <f>+Descubrimiento!P64*Descubrimiento!P$103+'Rentas SpA'!P63*'Rentas SpA'!P$102+'Pza Const'!P63*'Pza Const'!P$102+'Pza Arauc'!P63*'Pza Arauc'!P$102+RRetail!P63*RRetail!P$102+Bucarest!P63*Bucarest!P$102+Magdalena!P63*Magdalena!P$102+BFC!P63*BFC!P$102</f>
        <v>14052685.4</v>
      </c>
      <c r="Q63" s="3">
        <f>+Descubrimiento!Q64*Descubrimiento!Q$103+'Rentas SpA'!Q63*'Rentas SpA'!Q$102+'Pza Const'!Q63*'Pza Const'!Q$102+'Pza Arauc'!Q63*'Pza Arauc'!Q$102+RRetail!Q63*RRetail!Q$102+Bucarest!Q63*Bucarest!Q$102+Magdalena!Q63*Magdalena!Q$102+BFC!Q63*BFC!Q$102</f>
        <v>20618436.600000001</v>
      </c>
      <c r="R63" s="3">
        <f>+Descubrimiento!R64*Descubrimiento!R$103+'Rentas SpA'!R63*'Rentas SpA'!R$102+'Pza Const'!R63*'Pza Const'!R$102+'Pza Arauc'!R63*'Pza Arauc'!R$102+RRetail!R63*RRetail!R$102+Bucarest!R63*Bucarest!R$102+Magdalena!R63*Magdalena!R$102+BFC!R63*BFC!R$102</f>
        <v>46424945.799999997</v>
      </c>
      <c r="S63" s="3">
        <f>+Descubrimiento!S64*Descubrimiento!S$103+'Rentas SpA'!S63*'Rentas SpA'!S$102+'Pza Const'!S63*'Pza Const'!S$102+'Pza Arauc'!S63*'Pza Arauc'!S$102+RRetail!S63*RRetail!S$102+Bucarest!S63*Bucarest!S$102+Magdalena!S63*Magdalena!S$102+BFC!S63*BFC!S$102</f>
        <v>21803860.800000001</v>
      </c>
      <c r="T63" s="3">
        <f>+Descubrimiento!T64*Descubrimiento!T$103+'Rentas SpA'!T63*'Rentas SpA'!T$102+'Pza Const'!T63*'Pza Const'!T$102+'Pza Arauc'!T63*'Pza Arauc'!T$102+RRetail!T63*RRetail!T$102+Bucarest!T63*Bucarest!T$102+Magdalena!T63*Magdalena!T$102+BFC!T63*BFC!T$102</f>
        <v>50185045.799999997</v>
      </c>
      <c r="U63" s="3">
        <f>+Descubrimiento!U64*Descubrimiento!U$103+'Rentas SpA'!U63*'Rentas SpA'!U$102+'Pza Const'!U63*'Pza Const'!U$102+'Pza Arauc'!U63*'Pza Arauc'!U$102+RRetail!U63*RRetail!U$102+Bucarest!U63*Bucarest!U$102+Magdalena!U63*Magdalena!U$102+BFC!U63*BFC!U$102</f>
        <v>87724101.900000006</v>
      </c>
      <c r="V63" s="3">
        <f>+Descubrimiento!V64*Descubrimiento!V$103+'Rentas SpA'!V63*'Rentas SpA'!V$102+'Pza Const'!V63*'Pza Const'!V$102+'Pza Arauc'!V63*'Pza Arauc'!V$102+RRetail!V63*RRetail!V$102+Bucarest!V63*Bucarest!V$102+Magdalena!V63*Magdalena!V$102+BFC!V63*BFC!V$102</f>
        <v>118224200.90000001</v>
      </c>
      <c r="W63" s="3">
        <f>+Descubrimiento!W64*Descubrimiento!W$103+'Rentas SpA'!W63*'Rentas SpA'!W$102+'Pza Const'!W63*'Pza Const'!W$102+'Pza Arauc'!W63*'Pza Arauc'!W$102+RRetail!W63*RRetail!W$102+Bucarest!W63*Bucarest!W$102+Magdalena!W63*Magdalena!W$102+BFC!W63*BFC!W$102</f>
        <v>13971993.899999999</v>
      </c>
      <c r="X63" s="3">
        <f>+Descubrimiento!X64*Descubrimiento!X$103+'Rentas SpA'!X63*'Rentas SpA'!X$102+'Pza Const'!X63*'Pza Const'!X$102+'Pza Arauc'!X63*'Pza Arauc'!X$102+RRetail!X63*RRetail!X$102+Bucarest!X63*Bucarest!X$102+Magdalena!X63*Magdalena!X$102+BFC!X63*BFC!X$102</f>
        <v>28553433.5</v>
      </c>
      <c r="Y63" s="3">
        <f>+Descubrimiento!Y64*Descubrimiento!Y$103+'Rentas SpA'!Y63*'Rentas SpA'!Y$102+'Pza Const'!Y63*'Pza Const'!Y$102+'Pza Arauc'!Y63*'Pza Arauc'!Y$102+RRetail!Y63*RRetail!Y$102+Bucarest!Y63*Bucarest!Y$102+Magdalena!Y63*Magdalena!Y$102+BFC!Y63*BFC!Y$102</f>
        <v>40337633.399999999</v>
      </c>
      <c r="Z63" s="3">
        <f>+Descubrimiento!Z64*Descubrimiento!Z$103+'Rentas SpA'!Z63*'Rentas SpA'!Z$102+'Pza Const'!Z63*'Pza Const'!Z$102+'Pza Arauc'!Z63*'Pza Arauc'!Z$102+RRetail!Z63*RRetail!Z$102+Bucarest!Z63*Bucarest!Z$102+Magdalena!Z63*Magdalena!Z$102+BFC!Z63*BFC!Z$102</f>
        <v>55177823.799999997</v>
      </c>
      <c r="AA63" s="3">
        <f>+Descubrimiento!AA64*Descubrimiento!AA$103+'Rentas SpA'!AA63*'Rentas SpA'!AA$102+'Pza Const'!AA63*'Pza Const'!AA$102+'Pza Arauc'!AA63*'Pza Arauc'!AA$102+RRetail!AA63*RRetail!AA$102+Bucarest!AA63*Bucarest!AA$102+Magdalena!AA63*Magdalena!AA$102+BFC!AA63*BFC!AA$102</f>
        <v>16045942.299999999</v>
      </c>
      <c r="AB63" s="3">
        <f>+Descubrimiento!AB64*Descubrimiento!AB$103+'Rentas SpA'!AB63*'Rentas SpA'!AB$102+'Pza Const'!AB63*'Pza Const'!AB$102+'Pza Arauc'!AB63*'Pza Arauc'!AB$102+RRetail!AB63*RRetail!AB$102+Bucarest!AB63*Bucarest!AB$102+Magdalena!AB63*Magdalena!AB$102+BFC!AB63*BFC!AB$102</f>
        <v>28266733.199999999</v>
      </c>
      <c r="AC63" s="3">
        <f>+Descubrimiento!AC64*Descubrimiento!AC$103+'Rentas SpA'!AC63*'Rentas SpA'!AC$102+'Pza Const'!AC63*'Pza Const'!AC$102+'Pza Arauc'!AC63*'Pza Arauc'!AC$102+RRetail!AC63*RRetail!AC$102+Bucarest!AC63*Bucarest!AC$102+Magdalena!AC63*Magdalena!AC$102+BFC!AC63*BFC!AC$102</f>
        <v>50097020.599999994</v>
      </c>
      <c r="AD63" s="3">
        <f>+Descubrimiento!AD64*Descubrimiento!AD$103+'Rentas SpA'!AD63*'Rentas SpA'!AD$102+'Pza Const'!AD63*'Pza Const'!AD$102+'Pza Arauc'!AD63*'Pza Arauc'!AD$102+RRetail!AD63*RRetail!AD$102+Bucarest!AD63*Bucarest!AD$102+Magdalena!AD63*Magdalena!AD$102+BFC!AD63*BFC!AD$102</f>
        <v>57454370.099999994</v>
      </c>
      <c r="AE63" s="3">
        <f>+Descubrimiento!AE64*Descubrimiento!AE$103+'Rentas SpA'!AE63*'Rentas SpA'!AE$102+'Pza Const'!AE63*'Pza Const'!AE$102+'Pza Arauc'!AE63*'Pza Arauc'!AE$102+RRetail!AE63*RRetail!AE$102+Bucarest!AE63*Bucarest!AE$102+Magdalena!AE63*Magdalena!AE$102+BFC!AE63*BFC!AE$102</f>
        <v>14738031.6</v>
      </c>
      <c r="AF63" s="3">
        <f>+Descubrimiento!AF64*Descubrimiento!AF$103+'Rentas SpA'!AF63*'Rentas SpA'!AF$102+'Pza Const'!AF63*'Pza Const'!AF$102+'Pza Arauc'!AF63*'Pza Arauc'!AF$102+RRetail!AF63*RRetail!AF$102+Bucarest!AF63*Bucarest!AF$102+Magdalena!AF63*Magdalena!AF$102+BFC!AF63*BFC!AF$102</f>
        <v>28873364.799999997</v>
      </c>
      <c r="AG63" s="3">
        <f>+Descubrimiento!AG64*Descubrimiento!AG$103+'Rentas SpA'!AG63*'Rentas SpA'!AG$102+'Pza Const'!AG63*'Pza Const'!AG$102+'Pza Arauc'!AG63*'Pza Arauc'!AG$102+RRetail!AG63*RRetail!AG$102+Bucarest!AG63*Bucarest!AG$102+Magdalena!AG63*Magdalena!AG$102+BFC!AG63*BFC!AG$102</f>
        <v>63494628.799999997</v>
      </c>
      <c r="AH63" s="3">
        <f>+Descubrimiento!AH64*Descubrimiento!AH$103+'Rentas SpA'!AH63*'Rentas SpA'!AH$102+'Pza Const'!AH63*'Pza Const'!AH$102+'Pza Arauc'!AH63*'Pza Arauc'!AH$102+RRetail!AH63*RRetail!AH$102+Bucarest!AH63*Bucarest!AH$102+Magdalena!AH63*Magdalena!AH$102+BFC!AH63*BFC!AH$102</f>
        <v>71291088.5</v>
      </c>
      <c r="AI63" s="3">
        <f>+Descubrimiento!AI64*Descubrimiento!AI$103+'Rentas SpA'!AI63*'Rentas SpA'!AI$102+'Pza Const'!AI63*'Pza Const'!AI$102+'Pza Arauc'!AI63*'Pza Arauc'!AI$102+RRetail!AI63*RRetail!AI$102+Bucarest!AI63*Bucarest!AI$102+Magdalena!AI63*Magdalena!AI$102+BFC!AI63*BFC!AI$102</f>
        <v>3652278.8</v>
      </c>
    </row>
    <row r="64" spans="1:35" x14ac:dyDescent="0.3">
      <c r="A64" s="6" t="s">
        <v>148</v>
      </c>
      <c r="B64" s="7">
        <f>+SUM(B57:B63)</f>
        <v>3875937</v>
      </c>
      <c r="C64" s="7">
        <f t="shared" ref="C64:R64" si="122">+SUM(C57:C63)</f>
        <v>12021978.5</v>
      </c>
      <c r="D64" s="7">
        <f t="shared" si="122"/>
        <v>21290621</v>
      </c>
      <c r="E64" s="7">
        <f t="shared" si="122"/>
        <v>33521226</v>
      </c>
      <c r="F64" s="7">
        <f t="shared" si="122"/>
        <v>25722572</v>
      </c>
      <c r="G64" s="7">
        <f t="shared" ref="G64:I64" si="123">+SUM(G57:G63)</f>
        <v>12249473</v>
      </c>
      <c r="H64" s="7">
        <f t="shared" si="123"/>
        <v>14233052</v>
      </c>
      <c r="I64" s="7">
        <f t="shared" si="123"/>
        <v>36885646</v>
      </c>
      <c r="J64" s="7">
        <f t="shared" si="122"/>
        <v>34703115</v>
      </c>
      <c r="K64" s="7">
        <f t="shared" ref="K64:M64" si="124">+SUM(K57:K63)</f>
        <v>3289947</v>
      </c>
      <c r="L64" s="7">
        <f t="shared" si="124"/>
        <v>812773</v>
      </c>
      <c r="M64" s="7">
        <f t="shared" si="124"/>
        <v>3041884</v>
      </c>
      <c r="N64" s="7">
        <f t="shared" si="122"/>
        <v>39414980.399999991</v>
      </c>
      <c r="O64" s="7">
        <f t="shared" ref="O64:Q64" si="125">+SUM(O57:O63)</f>
        <v>7007895.8000000017</v>
      </c>
      <c r="P64" s="7">
        <f t="shared" si="125"/>
        <v>13209486.4</v>
      </c>
      <c r="Q64" s="7">
        <f t="shared" si="125"/>
        <v>18878759.399999999</v>
      </c>
      <c r="R64" s="7">
        <f t="shared" si="122"/>
        <v>42022021.399999999</v>
      </c>
      <c r="S64" s="7">
        <f t="shared" ref="S64:U64" si="126">+SUM(S57:S63)</f>
        <v>13514872.199999999</v>
      </c>
      <c r="T64" s="7">
        <f t="shared" si="126"/>
        <v>29281825.800000001</v>
      </c>
      <c r="U64" s="7">
        <f t="shared" si="126"/>
        <v>54406391.799999997</v>
      </c>
      <c r="V64" s="7">
        <f t="shared" ref="V64:Y64" si="127">+SUM(V57:V63)</f>
        <v>62154312.399999991</v>
      </c>
      <c r="W64" s="7">
        <f t="shared" si="127"/>
        <v>14658071.500000006</v>
      </c>
      <c r="X64" s="7">
        <f t="shared" si="127"/>
        <v>24503507.700000003</v>
      </c>
      <c r="Y64" s="7">
        <f t="shared" si="127"/>
        <v>40534422.700000003</v>
      </c>
      <c r="Z64" s="7">
        <f t="shared" ref="Z64:AA64" si="128">+SUM(Z57:Z63)</f>
        <v>49698275.800000004</v>
      </c>
      <c r="AA64" s="7">
        <f t="shared" si="128"/>
        <v>16172632.700000001</v>
      </c>
      <c r="AB64" s="7">
        <f t="shared" ref="AB64:AC64" si="129">+SUM(AB57:AB63)</f>
        <v>22869126.199999996</v>
      </c>
      <c r="AC64" s="7">
        <f t="shared" si="129"/>
        <v>43866867.999999993</v>
      </c>
      <c r="AD64" s="7">
        <f t="shared" ref="AD64:AE64" si="130">+SUM(AD57:AD63)</f>
        <v>48930808.299999997</v>
      </c>
      <c r="AE64" s="7">
        <f t="shared" si="130"/>
        <v>14250565.699999999</v>
      </c>
      <c r="AF64" s="7">
        <f t="shared" ref="AF64:AG64" si="131">+SUM(AF57:AF63)</f>
        <v>28528849.999999989</v>
      </c>
      <c r="AG64" s="7">
        <f t="shared" si="131"/>
        <v>67493592.799999997</v>
      </c>
      <c r="AH64" s="7">
        <f t="shared" ref="AH64:AI64" si="132">+SUM(AH57:AH63)</f>
        <v>80622614.5</v>
      </c>
      <c r="AI64" s="7">
        <f t="shared" si="132"/>
        <v>10706433.800000001</v>
      </c>
    </row>
    <row r="65" spans="1:35" x14ac:dyDescent="0.3">
      <c r="A65" s="1" t="s">
        <v>149</v>
      </c>
      <c r="B65" s="3">
        <f>+Descubrimiento!B66*Descubrimiento!B$103+'Rentas SpA'!B65*'Rentas SpA'!B$102+'Pza Const'!B65*'Pza Const'!B$102+'Pza Arauc'!B65*'Pza Arauc'!B$102+RRetail!B65*RRetail!B$102+Bucarest!B65*Bucarest!B$102+Magdalena!B65*Magdalena!B$102+BFC!B65*BFC!B$102</f>
        <v>-658491</v>
      </c>
      <c r="C65" s="3">
        <f>+Descubrimiento!C66*Descubrimiento!C$103+'Rentas SpA'!C65*'Rentas SpA'!C$102+'Pza Const'!C65*'Pza Const'!C$102+'Pza Arauc'!C65*'Pza Arauc'!C$102+RRetail!C65*RRetail!C$102+Bucarest!C65*Bucarest!C$102+Magdalena!C65*Magdalena!C$102+BFC!C65*BFC!C$102</f>
        <v>-1923097</v>
      </c>
      <c r="D65" s="3">
        <f>+Descubrimiento!D66*Descubrimiento!D$103+'Rentas SpA'!D65*'Rentas SpA'!D$102+'Pza Const'!D65*'Pza Const'!D$102+'Pza Arauc'!D65*'Pza Arauc'!D$102+RRetail!D65*RRetail!D$102+Bucarest!D65*Bucarest!D$102+Magdalena!D65*Magdalena!D$102+BFC!D65*BFC!D$102</f>
        <v>-5287587</v>
      </c>
      <c r="E65" s="3">
        <f>+Descubrimiento!E66*Descubrimiento!E$103+'Rentas SpA'!E65*'Rentas SpA'!E$102+'Pza Const'!E65*'Pza Const'!E$102+'Pza Arauc'!E65*'Pza Arauc'!E$102+RRetail!E65*RRetail!E$102+Bucarest!E65*Bucarest!E$102+Magdalena!E65*Magdalena!E$102+BFC!E65*BFC!E$102</f>
        <v>-7131552</v>
      </c>
      <c r="F65" s="3">
        <f>+Descubrimiento!F66*Descubrimiento!F$103+'Rentas SpA'!F65*'Rentas SpA'!F$102+'Pza Const'!F65*'Pza Const'!F$102+'Pza Arauc'!F65*'Pza Arauc'!F$102+RRetail!F65*RRetail!F$102+Bucarest!F65*Bucarest!F$102+Magdalena!F65*Magdalena!F$102+BFC!F65*BFC!F$102</f>
        <v>-7498787</v>
      </c>
      <c r="G65" s="3">
        <f>+Descubrimiento!G66*Descubrimiento!G$103+'Rentas SpA'!G65*'Rentas SpA'!G$102+'Pza Const'!G65*'Pza Const'!G$102+'Pza Arauc'!G65*'Pza Arauc'!G$102+RRetail!G65*RRetail!G$102+Bucarest!G65*Bucarest!G$102+Magdalena!G65*Magdalena!G$102+BFC!G65*BFC!G$102</f>
        <v>-3308002</v>
      </c>
      <c r="H65" s="3">
        <f>+Descubrimiento!H66*Descubrimiento!H$103+'Rentas SpA'!H65*'Rentas SpA'!H$102+'Pza Const'!H65*'Pza Const'!H$102+'Pza Arauc'!H65*'Pza Arauc'!H$102+RRetail!H65*RRetail!H$102+Bucarest!H65*Bucarest!H$102+Magdalena!H65*Magdalena!H$102+BFC!H65*BFC!H$102</f>
        <v>-3874359</v>
      </c>
      <c r="I65" s="3">
        <f>+Descubrimiento!I66*Descubrimiento!I$103+'Rentas SpA'!I65*'Rentas SpA'!I$102+'Pza Const'!I65*'Pza Const'!I$102+'Pza Arauc'!I65*'Pza Arauc'!I$102+RRetail!I65*RRetail!I$102+Bucarest!I65*Bucarest!I$102+Magdalena!I65*Magdalena!I$102+BFC!I65*BFC!I$102</f>
        <v>-9920968</v>
      </c>
      <c r="J65" s="3">
        <f>+Descubrimiento!J66*Descubrimiento!J$103+'Rentas SpA'!J65*'Rentas SpA'!J$102+'Pza Const'!J65*'Pza Const'!J$102+'Pza Arauc'!J65*'Pza Arauc'!J$102+RRetail!J65*RRetail!J$102+Bucarest!J65*Bucarest!J$102+Magdalena!J65*Magdalena!J$102+BFC!J65*BFC!J$102</f>
        <v>-9306176</v>
      </c>
      <c r="K65" s="3">
        <f>+Descubrimiento!K66*Descubrimiento!K$103+'Rentas SpA'!K65*'Rentas SpA'!K$102+'Pza Const'!K65*'Pza Const'!K$102+'Pza Arauc'!K65*'Pza Arauc'!K$102+RRetail!K65*RRetail!K$102+Bucarest!K65*Bucarest!K$102+Magdalena!K65*Magdalena!K$102+BFC!K65*BFC!K$102</f>
        <v>-836201</v>
      </c>
      <c r="L65" s="3">
        <f>+Descubrimiento!L66*Descubrimiento!L$103+'Rentas SpA'!L65*'Rentas SpA'!L$102+'Pza Const'!L65*'Pza Const'!L$102+'Pza Arauc'!L65*'Pza Arauc'!L$102+RRetail!L65*RRetail!L$102+Bucarest!L65*Bucarest!L$102+Magdalena!L65*Magdalena!L$102+BFC!L65*BFC!L$102</f>
        <v>-159607</v>
      </c>
      <c r="M65" s="3">
        <f>+Descubrimiento!M66*Descubrimiento!M$103+'Rentas SpA'!M65*'Rentas SpA'!M$102+'Pza Const'!M65*'Pza Const'!M$102+'Pza Arauc'!M65*'Pza Arauc'!M$102+RRetail!M65*RRetail!M$102+Bucarest!M65*Bucarest!M$102+Magdalena!M65*Magdalena!M$102+BFC!M65*BFC!M$102</f>
        <v>-756999</v>
      </c>
      <c r="N65" s="3">
        <f>+Descubrimiento!N66*Descubrimiento!N$103+'Rentas SpA'!N65*'Rentas SpA'!N$102+'Pza Const'!N65*'Pza Const'!N$102+'Pza Arauc'!N65*'Pza Arauc'!N$102+RRetail!N65*RRetail!N$102+Bucarest!N65*Bucarest!N$102+Magdalena!N65*Magdalena!N$102+BFC!N65*BFC!N$102</f>
        <v>-10739996.4</v>
      </c>
      <c r="O65" s="3">
        <f>+Descubrimiento!O66*Descubrimiento!O$103+'Rentas SpA'!O65*'Rentas SpA'!O$102+'Pza Const'!O65*'Pza Const'!O$102+'Pza Arauc'!O65*'Pza Arauc'!O$102+RRetail!O65*RRetail!O$102+Bucarest!O65*Bucarest!O$102+Magdalena!O65*Magdalena!O$102+BFC!O65*BFC!O$102</f>
        <v>-1570132</v>
      </c>
      <c r="P65" s="3">
        <f>+Descubrimiento!P66*Descubrimiento!P$103+'Rentas SpA'!P65*'Rentas SpA'!P$102+'Pza Const'!P65*'Pza Const'!P$102+'Pza Arauc'!P65*'Pza Arauc'!P$102+RRetail!P65*RRetail!P$102+Bucarest!P65*Bucarest!P$102+Magdalena!P65*Magdalena!P$102+BFC!P65*BFC!P$102</f>
        <v>-2887486.2</v>
      </c>
      <c r="Q65" s="3">
        <f>+Descubrimiento!Q66*Descubrimiento!Q$103+'Rentas SpA'!Q65*'Rentas SpA'!Q$102+'Pza Const'!Q65*'Pza Const'!Q$102+'Pza Arauc'!Q65*'Pza Arauc'!Q$102+RRetail!Q65*RRetail!Q$102+Bucarest!Q65*Bucarest!Q$102+Magdalena!Q65*Magdalena!Q$102+BFC!Q65*BFC!Q$102</f>
        <v>-3924565</v>
      </c>
      <c r="R65" s="3">
        <f>+Descubrimiento!R66*Descubrimiento!R$103+'Rentas SpA'!R65*'Rentas SpA'!R$102+'Pza Const'!R65*'Pza Const'!R$102+'Pza Arauc'!R65*'Pza Arauc'!R$102+RRetail!R65*RRetail!R$102+Bucarest!R65*Bucarest!R$102+Magdalena!R65*Magdalena!R$102+BFC!R65*BFC!R$102</f>
        <v>-10375796.300000001</v>
      </c>
      <c r="S65" s="3">
        <f>+Descubrimiento!S66*Descubrimiento!S$103+'Rentas SpA'!S65*'Rentas SpA'!S$102+'Pza Const'!S65*'Pza Const'!S$102+'Pza Arauc'!S65*'Pza Arauc'!S$102+RRetail!S65*RRetail!S$102+Bucarest!S65*Bucarest!S$102+Magdalena!S65*Magdalena!S$102+BFC!S65*BFC!S$102</f>
        <v>-2851905.4</v>
      </c>
      <c r="T65" s="3">
        <f>+Descubrimiento!T66*Descubrimiento!T$103+'Rentas SpA'!T65*'Rentas SpA'!T$102+'Pza Const'!T65*'Pza Const'!T$102+'Pza Arauc'!T65*'Pza Arauc'!T$102+RRetail!T65*RRetail!T$102+Bucarest!T65*Bucarest!T$102+Magdalena!T65*Magdalena!T$102+BFC!T65*BFC!T$102</f>
        <v>-6372759.0999999996</v>
      </c>
      <c r="U65" s="3">
        <f>+Descubrimiento!U66*Descubrimiento!U$103+'Rentas SpA'!U65*'Rentas SpA'!U$102+'Pza Const'!U65*'Pza Const'!U$102+'Pza Arauc'!U65*'Pza Arauc'!U$102+RRetail!U65*RRetail!U$102+Bucarest!U65*Bucarest!U$102+Magdalena!U65*Magdalena!U$102+BFC!U65*BFC!U$102</f>
        <v>-13148787.699999999</v>
      </c>
      <c r="V65" s="3">
        <f>+Descubrimiento!V66*Descubrimiento!V$103+'Rentas SpA'!V65*'Rentas SpA'!V$102+'Pza Const'!V65*'Pza Const'!V$102+'Pza Arauc'!V65*'Pza Arauc'!V$102+RRetail!V65*RRetail!V$102+Bucarest!V65*Bucarest!V$102+Magdalena!V65*Magdalena!V$102+BFC!V65*BFC!V$102</f>
        <v>-15952591.899999999</v>
      </c>
      <c r="W65" s="3">
        <f>+Descubrimiento!W66*Descubrimiento!W$103+'Rentas SpA'!W65*'Rentas SpA'!W$102+'Pza Const'!W65*'Pza Const'!W$102+'Pza Arauc'!W65*'Pza Arauc'!W$102+RRetail!W65*RRetail!W$102+Bucarest!W65*Bucarest!W$102+Magdalena!W65*Magdalena!W$102+BFC!W65*BFC!W$102</f>
        <v>-3162804.3</v>
      </c>
      <c r="X65" s="3">
        <f>+Descubrimiento!X66*Descubrimiento!X$103+'Rentas SpA'!X65*'Rentas SpA'!X$102+'Pza Const'!X65*'Pza Const'!X$102+'Pza Arauc'!X65*'Pza Arauc'!X$102+RRetail!X65*RRetail!X$102+Bucarest!X65*Bucarest!X$102+Magdalena!X65*Magdalena!X$102+BFC!X65*BFC!X$102</f>
        <v>-5448828.1999999993</v>
      </c>
      <c r="Y65" s="3">
        <f>+Descubrimiento!Y66*Descubrimiento!Y$103+'Rentas SpA'!Y65*'Rentas SpA'!Y$102+'Pza Const'!Y65*'Pza Const'!Y$102+'Pza Arauc'!Y65*'Pza Arauc'!Y$102+RRetail!Y65*RRetail!Y$102+Bucarest!Y65*Bucarest!Y$102+Magdalena!Y65*Magdalena!Y$102+BFC!Y65*BFC!Y$102</f>
        <v>-12705112.899999999</v>
      </c>
      <c r="Z65" s="3">
        <f>+Descubrimiento!Z66*Descubrimiento!Z$103+'Rentas SpA'!Z65*'Rentas SpA'!Z$102+'Pza Const'!Z65*'Pza Const'!Z$102+'Pza Arauc'!Z65*'Pza Arauc'!Z$102+RRetail!Z65*RRetail!Z$102+Bucarest!Z65*Bucarest!Z$102+Magdalena!Z65*Magdalena!Z$102+BFC!Z65*BFC!Z$102</f>
        <v>-12702974.6</v>
      </c>
      <c r="AA65" s="3">
        <f>+Descubrimiento!AA66*Descubrimiento!AA$103+'Rentas SpA'!AA65*'Rentas SpA'!AA$102+'Pza Const'!AA65*'Pza Const'!AA$102+'Pza Arauc'!AA65*'Pza Arauc'!AA$102+RRetail!AA65*RRetail!AA$102+Bucarest!AA65*Bucarest!AA$102+Magdalena!AA65*Magdalena!AA$102+BFC!AA65*BFC!AA$102</f>
        <v>-5368554.5999999996</v>
      </c>
      <c r="AB65" s="3">
        <f>+Descubrimiento!AB66*Descubrimiento!AB$103+'Rentas SpA'!AB65*'Rentas SpA'!AB$102+'Pza Const'!AB65*'Pza Const'!AB$102+'Pza Arauc'!AB65*'Pza Arauc'!AB$102+RRetail!AB65*RRetail!AB$102+Bucarest!AB65*Bucarest!AB$102+Magdalena!AB65*Magdalena!AB$102+BFC!AB65*BFC!AB$102</f>
        <v>-7208502.6999999993</v>
      </c>
      <c r="AC65" s="3">
        <f>+Descubrimiento!AC66*Descubrimiento!AC$103+'Rentas SpA'!AC65*'Rentas SpA'!AC$102+'Pza Const'!AC65*'Pza Const'!AC$102+'Pza Arauc'!AC65*'Pza Arauc'!AC$102+RRetail!AC65*RRetail!AC$102+Bucarest!AC65*Bucarest!AC$102+Magdalena!AC65*Magdalena!AC$102+BFC!AC65*BFC!AC$102</f>
        <v>-13081184.399999999</v>
      </c>
      <c r="AD65" s="3">
        <f>+Descubrimiento!AD66*Descubrimiento!AD$103+'Rentas SpA'!AD65*'Rentas SpA'!AD$102+'Pza Const'!AD65*'Pza Const'!AD$102+'Pza Arauc'!AD65*'Pza Arauc'!AD$102+RRetail!AD65*RRetail!AD$102+Bucarest!AD65*Bucarest!AD$102+Magdalena!AD65*Magdalena!AD$102+BFC!AD65*BFC!AD$102</f>
        <v>-14419745.399999999</v>
      </c>
      <c r="AE65" s="3">
        <f>+Descubrimiento!AE66*Descubrimiento!AE$103+'Rentas SpA'!AE65*'Rentas SpA'!AE$102+'Pza Const'!AE65*'Pza Const'!AE$102+'Pza Arauc'!AE65*'Pza Arauc'!AE$102+RRetail!AE65*RRetail!AE$102+Bucarest!AE65*Bucarest!AE$102+Magdalena!AE65*Magdalena!AE$102+BFC!AE65*BFC!AE$102</f>
        <v>-3244511.5999999996</v>
      </c>
      <c r="AF65" s="3">
        <f>+Descubrimiento!AF66*Descubrimiento!AF$103+'Rentas SpA'!AF65*'Rentas SpA'!AF$102+'Pza Const'!AF65*'Pza Const'!AF$102+'Pza Arauc'!AF65*'Pza Arauc'!AF$102+RRetail!AF65*RRetail!AF$102+Bucarest!AF65*Bucarest!AF$102+Magdalena!AF65*Magdalena!AF$102+BFC!AF65*BFC!AF$102</f>
        <v>-6966855.2999999989</v>
      </c>
      <c r="AG65" s="3">
        <f>+Descubrimiento!AG66*Descubrimiento!AG$103+'Rentas SpA'!AG65*'Rentas SpA'!AG$102+'Pza Const'!AG65*'Pza Const'!AG$102+'Pza Arauc'!AG65*'Pza Arauc'!AG$102+RRetail!AG65*RRetail!AG$102+Bucarest!AG65*Bucarest!AG$102+Magdalena!AG65*Magdalena!AG$102+BFC!AG65*BFC!AG$102</f>
        <v>-17450765.699999999</v>
      </c>
      <c r="AH65" s="3">
        <f>+Descubrimiento!AH66*Descubrimiento!AH$103+'Rentas SpA'!AH65*'Rentas SpA'!AH$102+'Pza Const'!AH65*'Pza Const'!AH$102+'Pza Arauc'!AH65*'Pza Arauc'!AH$102+RRetail!AH65*RRetail!AH$102+Bucarest!AH65*Bucarest!AH$102+Magdalena!AH65*Magdalena!AH$102+BFC!AH65*BFC!AH$102</f>
        <v>-20967423.299999997</v>
      </c>
      <c r="AI65" s="3">
        <f>+Descubrimiento!AI66*Descubrimiento!AI$103+'Rentas SpA'!AI65*'Rentas SpA'!AI$102+'Pza Const'!AI65*'Pza Const'!AI$102+'Pza Arauc'!AI65*'Pza Arauc'!AI$102+RRetail!AI65*RRetail!AI$102+Bucarest!AI65*Bucarest!AI$102+Magdalena!AI65*Magdalena!AI$102+BFC!AI65*BFC!AI$102</f>
        <v>-2899108.6999999997</v>
      </c>
    </row>
    <row r="66" spans="1:35" x14ac:dyDescent="0.3">
      <c r="A66" s="1" t="s">
        <v>150</v>
      </c>
      <c r="B66" s="7">
        <f>+SUM(B64:B65)</f>
        <v>3217446</v>
      </c>
      <c r="C66" s="7">
        <f t="shared" ref="C66:R66" si="133">+SUM(C64:C65)</f>
        <v>10098881.5</v>
      </c>
      <c r="D66" s="7">
        <f t="shared" si="133"/>
        <v>16003034</v>
      </c>
      <c r="E66" s="7">
        <f t="shared" si="133"/>
        <v>26389674</v>
      </c>
      <c r="F66" s="7">
        <f t="shared" si="133"/>
        <v>18223785</v>
      </c>
      <c r="G66" s="7">
        <f t="shared" ref="G66:I66" si="134">+SUM(G64:G65)</f>
        <v>8941471</v>
      </c>
      <c r="H66" s="7">
        <f t="shared" si="134"/>
        <v>10358693</v>
      </c>
      <c r="I66" s="7">
        <f t="shared" si="134"/>
        <v>26964678</v>
      </c>
      <c r="J66" s="7">
        <f t="shared" si="133"/>
        <v>25396939</v>
      </c>
      <c r="K66" s="7">
        <f t="shared" ref="K66:M66" si="135">+SUM(K64:K65)</f>
        <v>2453746</v>
      </c>
      <c r="L66" s="7">
        <f t="shared" si="135"/>
        <v>653166</v>
      </c>
      <c r="M66" s="7">
        <f t="shared" si="135"/>
        <v>2284885</v>
      </c>
      <c r="N66" s="7">
        <f t="shared" si="133"/>
        <v>28674983.999999993</v>
      </c>
      <c r="O66" s="7">
        <f t="shared" ref="O66:Q66" si="136">+SUM(O64:O65)</f>
        <v>5437763.8000000017</v>
      </c>
      <c r="P66" s="7">
        <f t="shared" si="136"/>
        <v>10322000.199999999</v>
      </c>
      <c r="Q66" s="7">
        <f t="shared" si="136"/>
        <v>14954194.399999999</v>
      </c>
      <c r="R66" s="7">
        <f t="shared" si="133"/>
        <v>31646225.099999998</v>
      </c>
      <c r="S66" s="7">
        <f t="shared" ref="S66:U66" si="137">+SUM(S64:S65)</f>
        <v>10662966.799999999</v>
      </c>
      <c r="T66" s="7">
        <f t="shared" si="137"/>
        <v>22909066.700000003</v>
      </c>
      <c r="U66" s="7">
        <f t="shared" si="137"/>
        <v>41257604.099999994</v>
      </c>
      <c r="V66" s="7">
        <f t="shared" ref="V66:Y66" si="138">+SUM(V64:V65)</f>
        <v>46201720.499999993</v>
      </c>
      <c r="W66" s="7">
        <f t="shared" si="138"/>
        <v>11495267.200000007</v>
      </c>
      <c r="X66" s="7">
        <f t="shared" si="138"/>
        <v>19054679.500000004</v>
      </c>
      <c r="Y66" s="7">
        <f t="shared" si="138"/>
        <v>27829309.800000004</v>
      </c>
      <c r="Z66" s="7">
        <f t="shared" ref="Z66:AA66" si="139">+SUM(Z64:Z65)</f>
        <v>36995301.200000003</v>
      </c>
      <c r="AA66" s="7">
        <f t="shared" si="139"/>
        <v>10804078.100000001</v>
      </c>
      <c r="AB66" s="7">
        <f t="shared" ref="AB66:AC66" si="140">+SUM(AB64:AB65)</f>
        <v>15660623.499999996</v>
      </c>
      <c r="AC66" s="7">
        <f t="shared" si="140"/>
        <v>30785683.599999994</v>
      </c>
      <c r="AD66" s="7">
        <f t="shared" ref="AD66:AE66" si="141">+SUM(AD64:AD65)</f>
        <v>34511062.899999999</v>
      </c>
      <c r="AE66" s="7">
        <f t="shared" si="141"/>
        <v>11006054.1</v>
      </c>
      <c r="AF66" s="7">
        <f t="shared" ref="AF66:AG66" si="142">+SUM(AF64:AF65)</f>
        <v>21561994.699999988</v>
      </c>
      <c r="AG66" s="7">
        <f t="shared" si="142"/>
        <v>50042827.099999994</v>
      </c>
      <c r="AH66" s="7">
        <f t="shared" ref="AH66:AI66" si="143">+SUM(AH64:AH65)</f>
        <v>59655191.200000003</v>
      </c>
      <c r="AI66" s="7">
        <f t="shared" si="143"/>
        <v>7807325.1000000015</v>
      </c>
    </row>
    <row r="67" spans="1:35" x14ac:dyDescent="0.3">
      <c r="A67" s="1" t="s">
        <v>151</v>
      </c>
      <c r="B67" s="3">
        <f>+Descubrimiento!B68*Descubrimiento!B$103+'Rentas SpA'!B67*'Rentas SpA'!B$102+'Pza Const'!B67*'Pza Const'!B$102+'Pza Arauc'!B67*'Pza Arauc'!B$102+RRetail!B67*RRetail!B$102+Bucarest!B67*Bucarest!B$102+Magdalena!B67*Magdalena!B$102+BFC!B67*BFC!B$102</f>
        <v>0</v>
      </c>
      <c r="C67" s="3">
        <f>+Descubrimiento!C68*Descubrimiento!C$103+'Rentas SpA'!C67*'Rentas SpA'!C$102+'Pza Const'!C67*'Pza Const'!C$102+'Pza Arauc'!C67*'Pza Arauc'!C$102+RRetail!C67*RRetail!C$102+Bucarest!C67*Bucarest!C$102+Magdalena!C67*Magdalena!C$102+BFC!C67*BFC!C$102</f>
        <v>0</v>
      </c>
      <c r="D67" s="3">
        <f>+Descubrimiento!D68*Descubrimiento!D$103+'Rentas SpA'!D67*'Rentas SpA'!D$102+'Pza Const'!D67*'Pza Const'!D$102+'Pza Arauc'!D67*'Pza Arauc'!D$102+RRetail!D67*RRetail!D$102+Bucarest!D67*Bucarest!D$102+Magdalena!D67*Magdalena!D$102+BFC!D67*BFC!D$102</f>
        <v>0</v>
      </c>
      <c r="E67" s="3">
        <f>+Descubrimiento!E68*Descubrimiento!E$103+'Rentas SpA'!E67*'Rentas SpA'!E$102+'Pza Const'!E67*'Pza Const'!E$102+'Pza Arauc'!E67*'Pza Arauc'!E$102+RRetail!E67*RRetail!E$102+Bucarest!E67*Bucarest!E$102+Magdalena!E67*Magdalena!E$102+BFC!E67*BFC!E$102</f>
        <v>0</v>
      </c>
      <c r="F67" s="3">
        <f>+Descubrimiento!F68*Descubrimiento!F$103+'Rentas SpA'!F67*'Rentas SpA'!F$102+'Pza Const'!F67*'Pza Const'!F$102+'Pza Arauc'!F67*'Pza Arauc'!F$102+RRetail!F67*RRetail!F$102+Bucarest!F67*Bucarest!F$102+Magdalena!F67*Magdalena!F$102+BFC!F67*BFC!F$102</f>
        <v>0</v>
      </c>
      <c r="G67" s="3">
        <f>+Descubrimiento!G68*Descubrimiento!G$103+'Rentas SpA'!G67*'Rentas SpA'!G$102+'Pza Const'!G67*'Pza Const'!G$102+'Pza Arauc'!G67*'Pza Arauc'!G$102+RRetail!G67*RRetail!G$102+Bucarest!G67*Bucarest!G$102+Magdalena!G67*Magdalena!G$102+BFC!G67*BFC!G$102</f>
        <v>0</v>
      </c>
      <c r="H67" s="3">
        <f>+Descubrimiento!H68*Descubrimiento!H$103+'Rentas SpA'!H67*'Rentas SpA'!H$102+'Pza Const'!H67*'Pza Const'!H$102+'Pza Arauc'!H67*'Pza Arauc'!H$102+RRetail!H67*RRetail!H$102+Bucarest!H67*Bucarest!H$102+Magdalena!H67*Magdalena!H$102+BFC!H67*BFC!H$102</f>
        <v>0</v>
      </c>
      <c r="I67" s="3">
        <f>+Descubrimiento!I68*Descubrimiento!I$103+'Rentas SpA'!I67*'Rentas SpA'!I$102+'Pza Const'!I67*'Pza Const'!I$102+'Pza Arauc'!I67*'Pza Arauc'!I$102+RRetail!I67*RRetail!I$102+Bucarest!I67*Bucarest!I$102+Magdalena!I67*Magdalena!I$102+BFC!I67*BFC!I$102</f>
        <v>0</v>
      </c>
      <c r="J67" s="3">
        <f>+Descubrimiento!J68*Descubrimiento!J$103+'Rentas SpA'!J67*'Rentas SpA'!J$102+'Pza Const'!J67*'Pza Const'!J$102+'Pza Arauc'!J67*'Pza Arauc'!J$102+RRetail!J67*RRetail!J$102+Bucarest!J67*Bucarest!J$102+Magdalena!J67*Magdalena!J$102+BFC!J67*BFC!J$102</f>
        <v>0</v>
      </c>
      <c r="K67" s="3">
        <f>+Descubrimiento!K68*Descubrimiento!K$103+'Rentas SpA'!K67*'Rentas SpA'!K$102+'Pza Const'!K67*'Pza Const'!K$102+'Pza Arauc'!K67*'Pza Arauc'!K$102+RRetail!K67*RRetail!K$102+Bucarest!K67*Bucarest!K$102+Magdalena!K67*Magdalena!K$102+BFC!K67*BFC!K$102</f>
        <v>0</v>
      </c>
      <c r="L67" s="3">
        <f>+Descubrimiento!L68*Descubrimiento!L$103+'Rentas SpA'!L67*'Rentas SpA'!L$102+'Pza Const'!L67*'Pza Const'!L$102+'Pza Arauc'!L67*'Pza Arauc'!L$102+RRetail!L67*RRetail!L$102+Bucarest!L67*Bucarest!L$102+Magdalena!L67*Magdalena!L$102+BFC!L67*BFC!L$102</f>
        <v>0</v>
      </c>
      <c r="M67" s="3">
        <f>+Descubrimiento!M68*Descubrimiento!M$103+'Rentas SpA'!M67*'Rentas SpA'!M$102+'Pza Const'!M67*'Pza Const'!M$102+'Pza Arauc'!M67*'Pza Arauc'!M$102+RRetail!M67*RRetail!M$102+Bucarest!M67*Bucarest!M$102+Magdalena!M67*Magdalena!M$102+BFC!M67*BFC!M$102</f>
        <v>0</v>
      </c>
      <c r="N67" s="3">
        <f>+Descubrimiento!N68*Descubrimiento!N$103+'Rentas SpA'!N67*'Rentas SpA'!N$102+'Pza Const'!N67*'Pza Const'!N$102+'Pza Arauc'!N67*'Pza Arauc'!N$102+RRetail!N67*RRetail!N$102+Bucarest!N67*Bucarest!N$102+Magdalena!N67*Magdalena!N$102+BFC!N67*BFC!N$102</f>
        <v>0</v>
      </c>
      <c r="O67" s="3">
        <f>+Descubrimiento!O68*Descubrimiento!O$103+'Rentas SpA'!O67*'Rentas SpA'!O$102+'Pza Const'!O67*'Pza Const'!O$102+'Pza Arauc'!O67*'Pza Arauc'!O$102+RRetail!O67*RRetail!O$102+Bucarest!O67*Bucarest!O$102+Magdalena!O67*Magdalena!O$102+BFC!O67*BFC!O$102</f>
        <v>0</v>
      </c>
      <c r="P67" s="3">
        <f>+Descubrimiento!P68*Descubrimiento!P$103+'Rentas SpA'!P67*'Rentas SpA'!P$102+'Pza Const'!P67*'Pza Const'!P$102+'Pza Arauc'!P67*'Pza Arauc'!P$102+RRetail!P67*RRetail!P$102+Bucarest!P67*Bucarest!P$102+Magdalena!P67*Magdalena!P$102+BFC!P67*BFC!P$102</f>
        <v>0</v>
      </c>
      <c r="Q67" s="3">
        <f>+Descubrimiento!Q68*Descubrimiento!Q$103+'Rentas SpA'!Q67*'Rentas SpA'!Q$102+'Pza Const'!Q67*'Pza Const'!Q$102+'Pza Arauc'!Q67*'Pza Arauc'!Q$102+RRetail!Q67*RRetail!Q$102+Bucarest!Q67*Bucarest!Q$102+Magdalena!Q67*Magdalena!Q$102+BFC!Q67*BFC!Q$102</f>
        <v>0</v>
      </c>
      <c r="R67" s="3">
        <f>+Descubrimiento!R68*Descubrimiento!R$103+'Rentas SpA'!R67*'Rentas SpA'!R$102+'Pza Const'!R67*'Pza Const'!R$102+'Pza Arauc'!R67*'Pza Arauc'!R$102+RRetail!R67*RRetail!R$102+Bucarest!R67*Bucarest!R$102+Magdalena!R67*Magdalena!R$102+BFC!R67*BFC!R$102</f>
        <v>0</v>
      </c>
      <c r="S67" s="3">
        <f>+Descubrimiento!S68*Descubrimiento!S$103+'Rentas SpA'!S67*'Rentas SpA'!S$102+'Pza Const'!S67*'Pza Const'!S$102+'Pza Arauc'!S67*'Pza Arauc'!S$102+RRetail!S67*RRetail!S$102+Bucarest!S67*Bucarest!S$102+Magdalena!S67*Magdalena!S$102+BFC!S67*BFC!S$102</f>
        <v>0</v>
      </c>
      <c r="T67" s="3">
        <f>+Descubrimiento!T68*Descubrimiento!T$103+'Rentas SpA'!T67*'Rentas SpA'!T$102+'Pza Const'!T67*'Pza Const'!T$102+'Pza Arauc'!T67*'Pza Arauc'!T$102+RRetail!T67*RRetail!T$102+Bucarest!T67*Bucarest!T$102+Magdalena!T67*Magdalena!T$102+BFC!T67*BFC!T$102</f>
        <v>0</v>
      </c>
      <c r="U67" s="3">
        <f>+Descubrimiento!U68*Descubrimiento!U$103+'Rentas SpA'!U67*'Rentas SpA'!U$102+'Pza Const'!U67*'Pza Const'!U$102+'Pza Arauc'!U67*'Pza Arauc'!U$102+RRetail!U67*RRetail!U$102+Bucarest!U67*Bucarest!U$102+Magdalena!U67*Magdalena!U$102+BFC!U67*BFC!U$102</f>
        <v>0</v>
      </c>
      <c r="V67" s="3">
        <f>+Descubrimiento!V68*Descubrimiento!V$103+'Rentas SpA'!V67*'Rentas SpA'!V$102+'Pza Const'!V67*'Pza Const'!V$102+'Pza Arauc'!V67*'Pza Arauc'!V$102+RRetail!V67*RRetail!V$102+Bucarest!V67*Bucarest!V$102+Magdalena!V67*Magdalena!V$102+BFC!V67*BFC!V$102</f>
        <v>0</v>
      </c>
      <c r="W67" s="3">
        <f>+Descubrimiento!W68*Descubrimiento!W$103+'Rentas SpA'!W67*'Rentas SpA'!W$102+'Pza Const'!W67*'Pza Const'!W$102+'Pza Arauc'!W67*'Pza Arauc'!W$102+RRetail!W67*RRetail!W$102+Bucarest!W67*Bucarest!W$102+Magdalena!W67*Magdalena!W$102+BFC!W67*BFC!W$102</f>
        <v>0</v>
      </c>
      <c r="X67" s="3">
        <f>+Descubrimiento!X68*Descubrimiento!X$103+'Rentas SpA'!X67*'Rentas SpA'!X$102+'Pza Const'!X67*'Pza Const'!X$102+'Pza Arauc'!X67*'Pza Arauc'!X$102+RRetail!X67*RRetail!X$102+Bucarest!X67*Bucarest!X$102+Magdalena!X67*Magdalena!X$102+BFC!X67*BFC!X$102</f>
        <v>0</v>
      </c>
      <c r="Y67" s="3">
        <f>+Descubrimiento!Y68*Descubrimiento!Y$103+'Rentas SpA'!Y67*'Rentas SpA'!Y$102+'Pza Const'!Y67*'Pza Const'!Y$102+'Pza Arauc'!Y67*'Pza Arauc'!Y$102+RRetail!Y67*RRetail!Y$102+Bucarest!Y67*Bucarest!Y$102+Magdalena!Y67*Magdalena!Y$102+BFC!Y67*BFC!Y$102</f>
        <v>0</v>
      </c>
      <c r="Z67" s="3">
        <f>+Descubrimiento!Z68*Descubrimiento!Z$103+'Rentas SpA'!Z67*'Rentas SpA'!Z$102+'Pza Const'!Z67*'Pza Const'!Z$102+'Pza Arauc'!Z67*'Pza Arauc'!Z$102+RRetail!Z67*RRetail!Z$102+Bucarest!Z67*Bucarest!Z$102+Magdalena!Z67*Magdalena!Z$102+BFC!Z67*BFC!Z$102</f>
        <v>0</v>
      </c>
      <c r="AA67" s="3">
        <f>+Descubrimiento!AA68*Descubrimiento!AA$103+'Rentas SpA'!AA67*'Rentas SpA'!AA$102+'Pza Const'!AA67*'Pza Const'!AA$102+'Pza Arauc'!AA67*'Pza Arauc'!AA$102+RRetail!AA67*RRetail!AA$102+Bucarest!AA67*Bucarest!AA$102+Magdalena!AA67*Magdalena!AA$102+BFC!AA67*BFC!AA$102</f>
        <v>0</v>
      </c>
      <c r="AB67" s="3">
        <f>+Descubrimiento!AB68*Descubrimiento!AB$103+'Rentas SpA'!AB67*'Rentas SpA'!AB$102+'Pza Const'!AB67*'Pza Const'!AB$102+'Pza Arauc'!AB67*'Pza Arauc'!AB$102+RRetail!AB67*RRetail!AB$102+Bucarest!AB67*Bucarest!AB$102+Magdalena!AB67*Magdalena!AB$102+BFC!AB67*BFC!AB$102</f>
        <v>0</v>
      </c>
      <c r="AC67" s="3">
        <f>+Descubrimiento!AC68*Descubrimiento!AC$103+'Rentas SpA'!AC67*'Rentas SpA'!AC$102+'Pza Const'!AC67*'Pza Const'!AC$102+'Pza Arauc'!AC67*'Pza Arauc'!AC$102+RRetail!AC67*RRetail!AC$102+Bucarest!AC67*Bucarest!AC$102+Magdalena!AC67*Magdalena!AC$102+BFC!AC67*BFC!AC$102</f>
        <v>0</v>
      </c>
      <c r="AD67" s="3">
        <f>+Descubrimiento!AD68*Descubrimiento!AD$103+'Rentas SpA'!AD67*'Rentas SpA'!AD$102+'Pza Const'!AD67*'Pza Const'!AD$102+'Pza Arauc'!AD67*'Pza Arauc'!AD$102+RRetail!AD67*RRetail!AD$102+Bucarest!AD67*Bucarest!AD$102+Magdalena!AD67*Magdalena!AD$102+BFC!AD67*BFC!AD$102</f>
        <v>0</v>
      </c>
      <c r="AE67" s="3">
        <f>+Descubrimiento!AE68*Descubrimiento!AE$103+'Rentas SpA'!AE67*'Rentas SpA'!AE$102+'Pza Const'!AE67*'Pza Const'!AE$102+'Pza Arauc'!AE67*'Pza Arauc'!AE$102+RRetail!AE67*RRetail!AE$102+Bucarest!AE67*Bucarest!AE$102+Magdalena!AE67*Magdalena!AE$102+BFC!AE67*BFC!AE$102</f>
        <v>0</v>
      </c>
      <c r="AF67" s="3">
        <f>+Descubrimiento!AF68*Descubrimiento!AF$103+'Rentas SpA'!AF67*'Rentas SpA'!AF$102+'Pza Const'!AF67*'Pza Const'!AF$102+'Pza Arauc'!AF67*'Pza Arauc'!AF$102+RRetail!AF67*RRetail!AF$102+Bucarest!AF67*Bucarest!AF$102+Magdalena!AF67*Magdalena!AF$102+BFC!AF67*BFC!AF$102</f>
        <v>0</v>
      </c>
      <c r="AG67" s="3">
        <f>+Descubrimiento!AG68*Descubrimiento!AG$103+'Rentas SpA'!AG67*'Rentas SpA'!AG$102+'Pza Const'!AG67*'Pza Const'!AG$102+'Pza Arauc'!AG67*'Pza Arauc'!AG$102+RRetail!AG67*RRetail!AG$102+Bucarest!AG67*Bucarest!AG$102+Magdalena!AG67*Magdalena!AG$102+BFC!AG67*BFC!AG$102</f>
        <v>0</v>
      </c>
      <c r="AH67" s="3">
        <f>+Descubrimiento!AH68*Descubrimiento!AH$103+'Rentas SpA'!AH67*'Rentas SpA'!AH$102+'Pza Const'!AH67*'Pza Const'!AH$102+'Pza Arauc'!AH67*'Pza Arauc'!AH$102+RRetail!AH67*RRetail!AH$102+Bucarest!AH67*Bucarest!AH$102+Magdalena!AH67*Magdalena!AH$102+BFC!AH67*BFC!AH$102</f>
        <v>0</v>
      </c>
      <c r="AI67" s="3">
        <f>+Descubrimiento!AI68*Descubrimiento!AI$103+'Rentas SpA'!AI67*'Rentas SpA'!AI$102+'Pza Const'!AI67*'Pza Const'!AI$102+'Pza Arauc'!AI67*'Pza Arauc'!AI$102+RRetail!AI67*RRetail!AI$102+Bucarest!AI67*Bucarest!AI$102+Magdalena!AI67*Magdalena!AI$102+BFC!AI67*BFC!AI$102</f>
        <v>0</v>
      </c>
    </row>
    <row r="68" spans="1:35" x14ac:dyDescent="0.3">
      <c r="A68" s="6" t="s">
        <v>152</v>
      </c>
      <c r="B68" s="7">
        <f>+SUM(B66:B67)</f>
        <v>3217446</v>
      </c>
      <c r="C68" s="7">
        <f t="shared" ref="C68:R68" si="144">+SUM(C66:C67)</f>
        <v>10098881.5</v>
      </c>
      <c r="D68" s="7">
        <f t="shared" si="144"/>
        <v>16003034</v>
      </c>
      <c r="E68" s="7">
        <f t="shared" si="144"/>
        <v>26389674</v>
      </c>
      <c r="F68" s="7">
        <f t="shared" si="144"/>
        <v>18223785</v>
      </c>
      <c r="G68" s="7">
        <f t="shared" ref="G68:I68" si="145">+SUM(G66:G67)</f>
        <v>8941471</v>
      </c>
      <c r="H68" s="7">
        <f t="shared" si="145"/>
        <v>10358693</v>
      </c>
      <c r="I68" s="7">
        <f t="shared" si="145"/>
        <v>26964678</v>
      </c>
      <c r="J68" s="7">
        <f t="shared" si="144"/>
        <v>25396939</v>
      </c>
      <c r="K68" s="7">
        <f t="shared" ref="K68:M68" si="146">+SUM(K66:K67)</f>
        <v>2453746</v>
      </c>
      <c r="L68" s="7">
        <f t="shared" si="146"/>
        <v>653166</v>
      </c>
      <c r="M68" s="7">
        <f t="shared" si="146"/>
        <v>2284885</v>
      </c>
      <c r="N68" s="7">
        <f t="shared" si="144"/>
        <v>28674983.999999993</v>
      </c>
      <c r="O68" s="7">
        <f t="shared" ref="O68:Q68" si="147">+SUM(O66:O67)</f>
        <v>5437763.8000000017</v>
      </c>
      <c r="P68" s="7">
        <f t="shared" si="147"/>
        <v>10322000.199999999</v>
      </c>
      <c r="Q68" s="7">
        <f t="shared" si="147"/>
        <v>14954194.399999999</v>
      </c>
      <c r="R68" s="7">
        <f t="shared" si="144"/>
        <v>31646225.099999998</v>
      </c>
      <c r="S68" s="7">
        <f t="shared" ref="S68:U68" si="148">+SUM(S66:S67)</f>
        <v>10662966.799999999</v>
      </c>
      <c r="T68" s="7">
        <f t="shared" si="148"/>
        <v>22909066.700000003</v>
      </c>
      <c r="U68" s="7">
        <f t="shared" si="148"/>
        <v>41257604.099999994</v>
      </c>
      <c r="V68" s="7">
        <f t="shared" ref="V68:Y68" si="149">+SUM(V66:V67)</f>
        <v>46201720.499999993</v>
      </c>
      <c r="W68" s="7">
        <f t="shared" si="149"/>
        <v>11495267.200000007</v>
      </c>
      <c r="X68" s="7">
        <f t="shared" si="149"/>
        <v>19054679.500000004</v>
      </c>
      <c r="Y68" s="7">
        <f t="shared" si="149"/>
        <v>27829309.800000004</v>
      </c>
      <c r="Z68" s="7">
        <f t="shared" ref="Z68:AA68" si="150">+SUM(Z66:Z67)</f>
        <v>36995301.200000003</v>
      </c>
      <c r="AA68" s="7">
        <f t="shared" si="150"/>
        <v>10804078.100000001</v>
      </c>
      <c r="AB68" s="7">
        <f t="shared" ref="AB68:AC68" si="151">+SUM(AB66:AB67)</f>
        <v>15660623.499999996</v>
      </c>
      <c r="AC68" s="7">
        <f t="shared" si="151"/>
        <v>30785683.599999994</v>
      </c>
      <c r="AD68" s="7">
        <f t="shared" ref="AD68:AE68" si="152">+SUM(AD66:AD67)</f>
        <v>34511062.899999999</v>
      </c>
      <c r="AE68" s="7">
        <f t="shared" si="152"/>
        <v>11006054.1</v>
      </c>
      <c r="AF68" s="7">
        <f t="shared" ref="AF68:AG68" si="153">+SUM(AF66:AF67)</f>
        <v>21561994.699999988</v>
      </c>
      <c r="AG68" s="7">
        <f t="shared" si="153"/>
        <v>50042827.099999994</v>
      </c>
      <c r="AH68" s="7">
        <f t="shared" ref="AH68:AI68" si="154">+SUM(AH66:AH67)</f>
        <v>59655191.200000003</v>
      </c>
      <c r="AI68" s="7">
        <f t="shared" si="154"/>
        <v>7807325.1000000015</v>
      </c>
    </row>
    <row r="71" spans="1:35" s="1" customFormat="1" x14ac:dyDescent="0.3">
      <c r="A71" s="6" t="s">
        <v>79</v>
      </c>
      <c r="B71" s="3"/>
      <c r="C71" s="3"/>
      <c r="D71" s="3"/>
      <c r="E71" s="3"/>
      <c r="F71" s="3"/>
      <c r="G71" s="3"/>
      <c r="H71" s="3"/>
      <c r="I71" s="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row>
    <row r="72" spans="1:35" s="1" customFormat="1" x14ac:dyDescent="0.3">
      <c r="A72" s="1" t="s">
        <v>80</v>
      </c>
      <c r="B72" s="3">
        <f>+Descubrimiento!B73*Descubrimiento!B$103+'Rentas SpA'!B72*'Rentas SpA'!B$102+'Pza Const'!B72*'Pza Const'!B$102+'Pza Arauc'!B72*'Pza Arauc'!B$102+RRetail!B72*RRetail!B$102+Bucarest!B72*Bucarest!B$102+Magdalena!B72*Magdalena!B$102+BFC!B72*BFC!B$102</f>
        <v>0</v>
      </c>
      <c r="C72" s="3">
        <f>+Descubrimiento!C73*Descubrimiento!C$103+'Rentas SpA'!C72*'Rentas SpA'!C$102+'Pza Const'!C72*'Pza Const'!C$102+'Pza Arauc'!C72*'Pza Arauc'!C$102+RRetail!C72*RRetail!C$102+Bucarest!C72*Bucarest!C$102+Magdalena!C72*Magdalena!C$102+BFC!C72*BFC!C$102</f>
        <v>0</v>
      </c>
      <c r="D72" s="3">
        <f>+Descubrimiento!D73*Descubrimiento!D$103+'Rentas SpA'!D72*'Rentas SpA'!D$102+'Pza Const'!D72*'Pza Const'!D$102+'Pza Arauc'!D72*'Pza Arauc'!D$102+RRetail!D72*RRetail!D$102+Bucarest!D72*Bucarest!D$102+Magdalena!D72*Magdalena!D$102+BFC!D72*BFC!D$102</f>
        <v>2843220</v>
      </c>
      <c r="E72" s="3">
        <f>+Descubrimiento!E73*Descubrimiento!E$103+'Rentas SpA'!E72*'Rentas SpA'!E$102+'Pza Const'!E72*'Pza Const'!E$102+'Pza Arauc'!E72*'Pza Arauc'!E$102+RRetail!E72*RRetail!E$102+Bucarest!E72*Bucarest!E$102+Magdalena!E72*Magdalena!E$102+BFC!E72*BFC!E$102</f>
        <v>3352643</v>
      </c>
      <c r="F72" s="3">
        <f>+Descubrimiento!F73*Descubrimiento!F$103+'Rentas SpA'!F72*'Rentas SpA'!F$102+'Pza Const'!F72*'Pza Const'!F$102+'Pza Arauc'!F72*'Pza Arauc'!F$102+RRetail!F72*RRetail!F$102+Bucarest!F72*Bucarest!F$102+Magdalena!F72*Magdalena!F$102+BFC!F72*BFC!F$102</f>
        <v>3610376</v>
      </c>
      <c r="G72" s="3">
        <f>+Descubrimiento!G73*Descubrimiento!G$103+'Rentas SpA'!G72*'Rentas SpA'!G$102+'Pza Const'!G72*'Pza Const'!G$102+'Pza Arauc'!G72*'Pza Arauc'!G$102+RRetail!G72*RRetail!G$102+Bucarest!G72*Bucarest!G$102+Magdalena!G72*Magdalena!G$102+BFC!G72*BFC!G$102</f>
        <v>904170.375</v>
      </c>
      <c r="H72" s="3">
        <f>+Descubrimiento!H73*Descubrimiento!H$103+'Rentas SpA'!H72*'Rentas SpA'!H$102+'Pza Const'!H72*'Pza Const'!H$102+'Pza Arauc'!H72*'Pza Arauc'!H$102+RRetail!H72*RRetail!H$102+Bucarest!H72*Bucarest!H$102+Magdalena!H72*Magdalena!H$102+BFC!H72*BFC!H$102</f>
        <v>1765894.848</v>
      </c>
      <c r="I72" s="3">
        <f>+Descubrimiento!I73*Descubrimiento!I$103+'Rentas SpA'!I72*'Rentas SpA'!I$102+'Pza Const'!I72*'Pza Const'!I$102+'Pza Arauc'!I72*'Pza Arauc'!I$102+RRetail!I72*RRetail!I$102+Bucarest!I72*Bucarest!I$102+Magdalena!I72*Magdalena!I$102+BFC!I72*BFC!I$102</f>
        <v>2729988</v>
      </c>
      <c r="J72" s="3">
        <f>+Descubrimiento!J73*Descubrimiento!J$103+'Rentas SpA'!J72*'Rentas SpA'!J$102+'Pza Const'!J72*'Pza Const'!J$102+'Pza Arauc'!J72*'Pza Arauc'!J$102+RRetail!J72*RRetail!J$102+Bucarest!J72*Bucarest!J$102+Magdalena!J72*Magdalena!J$102+BFC!J72*BFC!J$102</f>
        <v>3654976</v>
      </c>
      <c r="K72" s="3">
        <f>+Descubrimiento!K73*Descubrimiento!K$103+'Rentas SpA'!K72*'Rentas SpA'!K$102+'Pza Const'!K72*'Pza Const'!K$102+'Pza Arauc'!K72*'Pza Arauc'!K$102+RRetail!K72*RRetail!K$102+Bucarest!K72*Bucarest!K$102+Magdalena!K72*Magdalena!K$102+BFC!K72*BFC!K$102</f>
        <v>931780</v>
      </c>
      <c r="L72" s="3">
        <f>+Descubrimiento!L73*Descubrimiento!L$103+'Rentas SpA'!L72*'Rentas SpA'!L$102+'Pza Const'!L72*'Pza Const'!L$102+'Pza Arauc'!L72*'Pza Arauc'!L$102+RRetail!L72*RRetail!L$102+Bucarest!L72*Bucarest!L$102+Magdalena!L72*Magdalena!L$102+BFC!L72*BFC!L$102</f>
        <v>1871894</v>
      </c>
      <c r="M72" s="3">
        <f>+Descubrimiento!M73*Descubrimiento!M$103+'Rentas SpA'!M72*'Rentas SpA'!M$102+'Pza Const'!M72*'Pza Const'!M$102+'Pza Arauc'!M72*'Pza Arauc'!M$102+RRetail!M72*RRetail!M$102+Bucarest!M72*Bucarest!M$102+Magdalena!M72*Magdalena!M$102+BFC!M72*BFC!M$102</f>
        <v>2801523</v>
      </c>
      <c r="N72" s="3">
        <f>+Descubrimiento!N73*Descubrimiento!N$103+'Rentas SpA'!N72*'Rentas SpA'!N$102+'Pza Const'!N72*'Pza Const'!N$102+'Pza Arauc'!N72*'Pza Arauc'!N$102+RRetail!N72*RRetail!N$102+Bucarest!N72*Bucarest!N$102+Magdalena!N72*Magdalena!N$102+BFC!N72*BFC!N$102</f>
        <v>3762432</v>
      </c>
      <c r="O72" s="3">
        <f>+Descubrimiento!O73*Descubrimiento!O$103+'Rentas SpA'!O72*'Rentas SpA'!O$102+'Pza Const'!O72*'Pza Const'!O$102+'Pza Arauc'!O72*'Pza Arauc'!O$102+RRetail!O72*RRetail!O$102+Bucarest!O72*Bucarest!O$102+Magdalena!O72*Magdalena!O$102+BFC!O72*BFC!O$102</f>
        <v>920909</v>
      </c>
      <c r="P72" s="3">
        <f>+Descubrimiento!P73*Descubrimiento!P$103+'Rentas SpA'!P72*'Rentas SpA'!P$102+'Pza Const'!P72*'Pza Const'!P$102+'Pza Arauc'!P72*'Pza Arauc'!P$102+RRetail!P72*RRetail!P$102+Bucarest!P72*Bucarest!P$102+Magdalena!P72*Magdalena!P$102+BFC!P72*BFC!P$102</f>
        <v>1932931</v>
      </c>
      <c r="Q72" s="3">
        <f>+Descubrimiento!Q73*Descubrimiento!Q$103+'Rentas SpA'!Q72*'Rentas SpA'!Q$102+'Pza Const'!Q72*'Pza Const'!Q$102+'Pza Arauc'!Q72*'Pza Arauc'!Q$102+RRetail!Q72*RRetail!Q$102+Bucarest!Q72*Bucarest!Q$102+Magdalena!Q72*Magdalena!Q$102+BFC!Q72*BFC!Q$102</f>
        <v>2915925</v>
      </c>
      <c r="R72" s="3">
        <f>+Descubrimiento!R73*Descubrimiento!R$103+'Rentas SpA'!R72*'Rentas SpA'!R$102+'Pza Const'!R72*'Pza Const'!R$102+'Pza Arauc'!R72*'Pza Arauc'!R$102+RRetail!R72*RRetail!R$102+Bucarest!R72*Bucarest!R$102+Magdalena!R72*Magdalena!R$102+BFC!R72*BFC!R$102</f>
        <v>3923955</v>
      </c>
      <c r="S72" s="3">
        <f>+Descubrimiento!S73*Descubrimiento!S$103+'Rentas SpA'!S72*'Rentas SpA'!S$102+'Pza Const'!S72*'Pza Const'!S$102+'Pza Arauc'!S72*'Pza Arauc'!S$102+RRetail!S72*RRetail!S$102+Bucarest!S72*Bucarest!S$102+Magdalena!S72*Magdalena!S$102+BFC!S72*BFC!S$102</f>
        <v>1011411</v>
      </c>
      <c r="T72" s="3">
        <f>+Descubrimiento!T73*Descubrimiento!T$103+'Rentas SpA'!T72*'Rentas SpA'!T$102+'Pza Const'!T72*'Pza Const'!T$102+'Pza Arauc'!T72*'Pza Arauc'!T$102+RRetail!T72*RRetail!T$102+Bucarest!T72*Bucarest!T$102+Magdalena!T72*Magdalena!T$102+BFC!T72*BFC!T$102</f>
        <v>2103120</v>
      </c>
      <c r="U72" s="3">
        <f>+Descubrimiento!U73*Descubrimiento!U$103+'Rentas SpA'!U72*'Rentas SpA'!U$102+'Pza Const'!U72*'Pza Const'!U$102+'Pza Arauc'!U72*'Pza Arauc'!U$102+RRetail!U72*RRetail!U$102+Bucarest!U72*Bucarest!U$102+Magdalena!U72*Magdalena!U$102+BFC!U72*BFC!U$102</f>
        <v>3218815</v>
      </c>
      <c r="V72" s="3">
        <f>+Descubrimiento!V73*Descubrimiento!V$103+'Rentas SpA'!V72*'Rentas SpA'!V$102+'Pza Const'!V72*'Pza Const'!V$102+'Pza Arauc'!V72*'Pza Arauc'!V$102+RRetail!V72*RRetail!V$102+Bucarest!V72*Bucarest!V$102+Magdalena!V72*Magdalena!V$102+BFC!V72*BFC!V$102</f>
        <v>4367947</v>
      </c>
      <c r="W72" s="3">
        <f>+Descubrimiento!W73*Descubrimiento!W$103+'Rentas SpA'!W72*'Rentas SpA'!W$102+'Pza Const'!W72*'Pza Const'!W$102+'Pza Arauc'!W72*'Pza Arauc'!W$102+RRetail!W72*RRetail!W$102+Bucarest!W72*Bucarest!W$102+Magdalena!W72*Magdalena!W$102+BFC!W72*BFC!W$102</f>
        <v>1166189</v>
      </c>
      <c r="X72" s="3">
        <f>+Descubrimiento!X73*Descubrimiento!X$103+'Rentas SpA'!X72*'Rentas SpA'!X$102+'Pza Const'!X72*'Pza Const'!X$102+'Pza Arauc'!X72*'Pza Arauc'!X$102+RRetail!X72*RRetail!X$102+Bucarest!X72*Bucarest!X$102+Magdalena!X72*Magdalena!X$102+BFC!X72*BFC!X$102</f>
        <v>2342182</v>
      </c>
      <c r="Y72" s="3">
        <f>+Descubrimiento!Y73*Descubrimiento!Y$103+'Rentas SpA'!Y72*'Rentas SpA'!Y$102+'Pza Const'!Y72*'Pza Const'!Y$102+'Pza Arauc'!Y72*'Pza Arauc'!Y$102+RRetail!Y72*RRetail!Y$102+Bucarest!Y72*Bucarest!Y$102+Magdalena!Y72*Magdalena!Y$102+BFC!Y72*BFC!Y$102</f>
        <v>3521126</v>
      </c>
      <c r="Z72" s="3">
        <f>+Descubrimiento!Z73*Descubrimiento!Z$103+'Rentas SpA'!Z72*'Rentas SpA'!Z$102+'Pza Const'!Z72*'Pza Const'!Z$102+'Pza Arauc'!Z72*'Pza Arauc'!Z$102+RRetail!Z72*RRetail!Z$102+Bucarest!Z72*Bucarest!Z$102+Magdalena!Z72*Magdalena!Z$102+BFC!Z72*BFC!Z$102</f>
        <v>4717860</v>
      </c>
      <c r="AA72" s="3">
        <f>+Descubrimiento!AA73*Descubrimiento!AA$103+'Rentas SpA'!AA72*'Rentas SpA'!AA$102+'Pza Const'!AA72*'Pza Const'!AA$102+'Pza Arauc'!AA72*'Pza Arauc'!AA$102+RRetail!AA72*RRetail!AA$102+Bucarest!AA72*Bucarest!AA$102+Magdalena!AA72*Magdalena!AA$102+BFC!AA72*BFC!AA$102</f>
        <v>1274135</v>
      </c>
      <c r="AB72" s="3">
        <f>+Descubrimiento!AB73*Descubrimiento!AB$103+'Rentas SpA'!AB72*'Rentas SpA'!AB$102+'Pza Const'!AB72*'Pza Const'!AB$102+'Pza Arauc'!AB72*'Pza Arauc'!AB$102+RRetail!AB72*RRetail!AB$102+Bucarest!AB72*Bucarest!AB$102+Magdalena!AB72*Magdalena!AB$102+BFC!AB72*BFC!AB$102</f>
        <v>2579238</v>
      </c>
      <c r="AC72" s="3">
        <f>+Descubrimiento!AC73*Descubrimiento!AC$103+'Rentas SpA'!AC72*'Rentas SpA'!AC$102+'Pza Const'!AC72*'Pza Const'!AC$102+'Pza Arauc'!AC72*'Pza Arauc'!AC$102+RRetail!AC72*RRetail!AC$102+Bucarest!AC72*Bucarest!AC$102+Magdalena!AC72*Magdalena!AC$102+BFC!AC72*BFC!AC$102</f>
        <v>3905079</v>
      </c>
      <c r="AD72" s="3">
        <f>+Descubrimiento!AD73*Descubrimiento!AD$103+'Rentas SpA'!AD72*'Rentas SpA'!AD$102+'Pza Const'!AD72*'Pza Const'!AD$102+'Pza Arauc'!AD72*'Pza Arauc'!AD$102+RRetail!AD72*RRetail!AD$102+Bucarest!AD72*Bucarest!AD$102+Magdalena!AD72*Magdalena!AD$102+BFC!AD72*BFC!AD$102</f>
        <v>5269062</v>
      </c>
      <c r="AE72" s="3">
        <f>+Descubrimiento!AE73*Descubrimiento!AE$103+'Rentas SpA'!AE72*'Rentas SpA'!AE$102+'Pza Const'!AE72*'Pza Const'!AE$102+'Pza Arauc'!AE72*'Pza Arauc'!AE$102+RRetail!AE72*RRetail!AE$102+Bucarest!AE72*Bucarest!AE$102+Magdalena!AE72*Magdalena!AE$102+BFC!AE72*BFC!AE$102</f>
        <v>1373384</v>
      </c>
      <c r="AF72" s="3">
        <f>+Descubrimiento!AF73*Descubrimiento!AF$103+'Rentas SpA'!AF72*'Rentas SpA'!AF$102+'Pza Const'!AF72*'Pza Const'!AF$102+'Pza Arauc'!AF72*'Pza Arauc'!AF$102+RRetail!AF72*RRetail!AF$102+Bucarest!AF72*Bucarest!AF$102+Magdalena!AF72*Magdalena!AF$102+BFC!AF72*BFC!AF$102</f>
        <v>2764718</v>
      </c>
      <c r="AG72" s="3">
        <f>+Descubrimiento!AG73*Descubrimiento!AG$103+'Rentas SpA'!AG72*'Rentas SpA'!AG$102+'Pza Const'!AG72*'Pza Const'!AG$102+'Pza Arauc'!AG72*'Pza Arauc'!AG$102+RRetail!AG72*RRetail!AG$102+Bucarest!AG72*Bucarest!AG$102+Magdalena!AG72*Magdalena!AG$102+BFC!AG72*BFC!AG$102</f>
        <v>4161965</v>
      </c>
      <c r="AH72" s="3">
        <f>+Descubrimiento!AH73*Descubrimiento!AH$103+'Rentas SpA'!AH72*'Rentas SpA'!AH$102+'Pza Const'!AH72*'Pza Const'!AH$102+'Pza Arauc'!AH72*'Pza Arauc'!AH$102+RRetail!AH72*RRetail!AH$102+Bucarest!AH72*Bucarest!AH$102+Magdalena!AH72*Magdalena!AH$102+BFC!AH72*BFC!AH$102</f>
        <v>5569940</v>
      </c>
      <c r="AI72" s="3">
        <f>+Descubrimiento!AI73*Descubrimiento!AI$103+'Rentas SpA'!AI72*'Rentas SpA'!AI$102+'Pza Const'!AI72*'Pza Const'!AI$102+'Pza Arauc'!AI72*'Pza Arauc'!AI$102+RRetail!AI72*RRetail!AI$102+Bucarest!AI72*Bucarest!AI$102+Magdalena!AI72*Magdalena!AI$102+BFC!AI72*BFC!AI$102</f>
        <v>1410384</v>
      </c>
    </row>
    <row r="73" spans="1:35" s="1" customFormat="1" x14ac:dyDescent="0.3">
      <c r="A73" s="1" t="s">
        <v>154</v>
      </c>
      <c r="B73" s="3">
        <f>+Descubrimiento!B85*Descubrimiento!B$103+'Rentas SpA'!B84*'Rentas SpA'!B$102+'Pza Const'!B84*'Pza Const'!B$102+'Pza Arauc'!B84*'Pza Arauc'!B$102+RRetail!B84*RRetail!B$102+Bucarest!B84*Bucarest!B$102+Magdalena!B84*Magdalena!B$102+BFC!B84*BFC!B$102</f>
        <v>1212235</v>
      </c>
      <c r="C73" s="3">
        <f>+Descubrimiento!C85*Descubrimiento!C$103+'Rentas SpA'!C84*'Rentas SpA'!C$102+'Pza Const'!C84*'Pza Const'!C$102+'Pza Arauc'!C84*'Pza Arauc'!C$102+RRetail!C84*RRetail!C$102+Bucarest!C84*Bucarest!C$102+Magdalena!C84*Magdalena!C$102+BFC!C84*BFC!C$102</f>
        <v>1630955.5</v>
      </c>
      <c r="D73" s="3">
        <f>+Descubrimiento!D85*Descubrimiento!D$103+'Rentas SpA'!D84*'Rentas SpA'!D$102+'Pza Const'!D84*'Pza Const'!D$102+'Pza Arauc'!D84*'Pza Arauc'!D$102+RRetail!D84*RRetail!D$102+Bucarest!D84*Bucarest!D$102+Magdalena!D84*Magdalena!D$102+BFC!D84*BFC!D$102</f>
        <v>2311892</v>
      </c>
      <c r="E73" s="3">
        <f>+Descubrimiento!E85*Descubrimiento!E$103+'Rentas SpA'!E84*'Rentas SpA'!E$102+'Pza Const'!E84*'Pza Const'!E$102+'Pza Arauc'!E84*'Pza Arauc'!E$102+RRetail!E84*RRetail!E$102+Bucarest!E84*Bucarest!E$102+Magdalena!E84*Magdalena!E$102+BFC!E84*BFC!E$102</f>
        <v>2717347</v>
      </c>
      <c r="F73" s="3">
        <f>+Descubrimiento!F85*Descubrimiento!F$103+'Rentas SpA'!F84*'Rentas SpA'!F$102+'Pza Const'!F84*'Pza Const'!F$102+'Pza Arauc'!F84*'Pza Arauc'!F$102+RRetail!F84*RRetail!F$102+Bucarest!F84*Bucarest!F$102+Magdalena!F84*Magdalena!F$102+BFC!F84*BFC!F$102</f>
        <v>2681227</v>
      </c>
      <c r="G73" s="3">
        <f>+Descubrimiento!G85*Descubrimiento!G$103+'Rentas SpA'!G84*'Rentas SpA'!G$102+'Pza Const'!G84*'Pza Const'!G$102+'Pza Arauc'!G84*'Pza Arauc'!G$102+RRetail!G84*RRetail!G$102+Bucarest!G84*Bucarest!G$102+Magdalena!G84*Magdalena!G$102+BFC!G84*BFC!G$102</f>
        <v>692187</v>
      </c>
      <c r="H73" s="3">
        <f>+Descubrimiento!H85*Descubrimiento!H$103+'Rentas SpA'!H84*'Rentas SpA'!H$102+'Pza Const'!H84*'Pza Const'!H$102+'Pza Arauc'!H84*'Pza Arauc'!H$102+RRetail!H84*RRetail!H$102+Bucarest!H84*Bucarest!H$102+Magdalena!H84*Magdalena!H$102+BFC!H84*BFC!H$102</f>
        <v>1386574</v>
      </c>
      <c r="I73" s="3">
        <f>+Descubrimiento!I85*Descubrimiento!I$103+'Rentas SpA'!I84*'Rentas SpA'!I$102+'Pza Const'!I84*'Pza Const'!I$102+'Pza Arauc'!I84*'Pza Arauc'!I$102+RRetail!I84*RRetail!I$102+Bucarest!I84*Bucarest!I$102+Magdalena!I84*Magdalena!I$102+BFC!I84*BFC!I$102</f>
        <v>2058013</v>
      </c>
      <c r="J73" s="3">
        <f>+Descubrimiento!J85*Descubrimiento!J$103+'Rentas SpA'!J84*'Rentas SpA'!J$102+'Pza Const'!J84*'Pza Const'!J$102+'Pza Arauc'!J84*'Pza Arauc'!J$102+RRetail!J84*RRetail!J$102+Bucarest!J84*Bucarest!J$102+Magdalena!J84*Magdalena!J$102+BFC!J84*BFC!J$102</f>
        <v>2744840</v>
      </c>
      <c r="K73" s="3">
        <f>+Descubrimiento!K85*Descubrimiento!K$103+'Rentas SpA'!K84*'Rentas SpA'!K$102+'Pza Const'!K84*'Pza Const'!K$102+'Pza Arauc'!K84*'Pza Arauc'!K$102+RRetail!K84*RRetail!K$102+Bucarest!K84*Bucarest!K$102+Magdalena!K84*Magdalena!K$102+BFC!K84*BFC!K$102</f>
        <v>759551.80200000003</v>
      </c>
      <c r="L73" s="3">
        <f>+Descubrimiento!L85*Descubrimiento!L$103+'Rentas SpA'!L84*'Rentas SpA'!L$102+'Pza Const'!L84*'Pza Const'!L$102+'Pza Arauc'!L84*'Pza Arauc'!L$102+RRetail!L84*RRetail!L$102+Bucarest!L84*Bucarest!L$102+Magdalena!L84*Magdalena!L$102+BFC!L84*BFC!L$102</f>
        <v>1970649</v>
      </c>
      <c r="M73" s="3">
        <f>+Descubrimiento!M85*Descubrimiento!M$103+'Rentas SpA'!M84*'Rentas SpA'!M$102+'Pza Const'!M84*'Pza Const'!M$102+'Pza Arauc'!M84*'Pza Arauc'!M$102+RRetail!M84*RRetail!M$102+Bucarest!M84*Bucarest!M$102+Magdalena!M84*Magdalena!M$102+BFC!M84*BFC!M$102</f>
        <v>2888070</v>
      </c>
      <c r="N73" s="3">
        <f>+Descubrimiento!N85*Descubrimiento!N$103+'Rentas SpA'!N84*'Rentas SpA'!N$102+'Pza Const'!N84*'Pza Const'!N$102+'Pza Arauc'!N84*'Pza Arauc'!N$102+RRetail!N84*RRetail!N$102+Bucarest!N84*Bucarest!N$102+Magdalena!N84*Magdalena!N$102+BFC!N84*BFC!N$102</f>
        <v>5370215.5999999996</v>
      </c>
      <c r="O73" s="3">
        <f>+Descubrimiento!O85*Descubrimiento!O$103+'Rentas SpA'!O84*'Rentas SpA'!O$102+'Pza Const'!O84*'Pza Const'!O$102+'Pza Arauc'!O84*'Pza Arauc'!O$102+RRetail!O84*RRetail!O$102+Bucarest!O84*Bucarest!O$102+Magdalena!O84*Magdalena!O$102+BFC!O84*BFC!O$102</f>
        <v>1345867.2</v>
      </c>
      <c r="P73" s="3">
        <f>+Descubrimiento!P85*Descubrimiento!P$103+'Rentas SpA'!P84*'Rentas SpA'!P$102+'Pza Const'!P84*'Pza Const'!P$102+'Pza Arauc'!P84*'Pza Arauc'!P$102+RRetail!P84*RRetail!P$102+Bucarest!P84*Bucarest!P$102+Magdalena!P84*Magdalena!P$102+BFC!P84*BFC!P$102</f>
        <v>2805362</v>
      </c>
      <c r="Q73" s="3">
        <f>+Descubrimiento!Q85*Descubrimiento!Q$103+'Rentas SpA'!Q84*'Rentas SpA'!Q$102+'Pza Const'!Q84*'Pza Const'!Q$102+'Pza Arauc'!Q84*'Pza Arauc'!Q$102+RRetail!Q84*RRetail!Q$102+Bucarest!Q84*Bucarest!Q$102+Magdalena!Q84*Magdalena!Q$102+BFC!Q84*BFC!Q$102</f>
        <v>4157498.6</v>
      </c>
      <c r="R73" s="3">
        <f>+Descubrimiento!R85*Descubrimiento!R$103+'Rentas SpA'!R84*'Rentas SpA'!R$102+'Pza Const'!R84*'Pza Const'!R$102+'Pza Arauc'!R84*'Pza Arauc'!R$102+RRetail!R84*RRetail!R$102+Bucarest!R84*Bucarest!R$102+Magdalena!R84*Magdalena!R$102+BFC!R84*BFC!R$102</f>
        <v>6813819.9000000004</v>
      </c>
      <c r="S73" s="3">
        <f>+Descubrimiento!S85*Descubrimiento!S$103+'Rentas SpA'!S84*'Rentas SpA'!S$102+'Pza Const'!S84*'Pza Const'!S$102+'Pza Arauc'!S84*'Pza Arauc'!S$102+RRetail!S84*RRetail!S$102+Bucarest!S84*Bucarest!S$102+Magdalena!S84*Magdalena!S$102+BFC!S84*BFC!S$102</f>
        <v>1769301.2999999998</v>
      </c>
      <c r="T73" s="3">
        <f>+Descubrimiento!T85*Descubrimiento!T$103+'Rentas SpA'!T84*'Rentas SpA'!T$102+'Pza Const'!T84*'Pza Const'!T$102+'Pza Arauc'!T84*'Pza Arauc'!T$102+RRetail!T84*RRetail!T$102+Bucarest!T84*Bucarest!T$102+Magdalena!T84*Magdalena!T$102+BFC!T84*BFC!T$102</f>
        <v>3909429.3</v>
      </c>
      <c r="U73" s="3">
        <f>+Descubrimiento!U85*Descubrimiento!U$103+'Rentas SpA'!U84*'Rentas SpA'!U$102+'Pza Const'!U84*'Pza Const'!U$102+'Pza Arauc'!U84*'Pza Arauc'!U$102+RRetail!U84*RRetail!U$102+Bucarest!U84*Bucarest!U$102+Magdalena!U84*Magdalena!U$102+BFC!U84*BFC!U$102</f>
        <v>5956854.5</v>
      </c>
      <c r="V73" s="3">
        <f>+Descubrimiento!V85*Descubrimiento!V$103+'Rentas SpA'!V84*'Rentas SpA'!V$102+'Pza Const'!V84*'Pza Const'!V$102+'Pza Arauc'!V84*'Pza Arauc'!V$102+RRetail!V84*RRetail!V$102+Bucarest!V84*Bucarest!V$102+Magdalena!V84*Magdalena!V$102+BFC!V84*BFC!V$102</f>
        <v>8076612.7999999998</v>
      </c>
      <c r="W73" s="3">
        <f>+Descubrimiento!W85*Descubrimiento!W$103+'Rentas SpA'!W84*'Rentas SpA'!W$102+'Pza Const'!W84*'Pza Const'!W$102+'Pza Arauc'!W84*'Pza Arauc'!W$102+RRetail!W84*RRetail!W$102+Bucarest!W84*Bucarest!W$102+Magdalena!W84*Magdalena!W$102+BFC!W84*BFC!W$102</f>
        <v>2505935.9</v>
      </c>
      <c r="X73" s="3">
        <f>+Descubrimiento!X85*Descubrimiento!X$103+'Rentas SpA'!X84*'Rentas SpA'!X$102+'Pza Const'!X84*'Pza Const'!X$102+'Pza Arauc'!X84*'Pza Arauc'!X$102+RRetail!X84*RRetail!X$102+Bucarest!X84*Bucarest!X$102+Magdalena!X84*Magdalena!X$102+BFC!X84*BFC!X$102</f>
        <v>5132024</v>
      </c>
      <c r="Y73" s="3">
        <f>+Descubrimiento!Y85*Descubrimiento!Y$103+'Rentas SpA'!Y84*'Rentas SpA'!Y$102+'Pza Const'!Y84*'Pza Const'!Y$102+'Pza Arauc'!Y84*'Pza Arauc'!Y$102+RRetail!Y84*RRetail!Y$102+Bucarest!Y84*Bucarest!Y$102+Magdalena!Y84*Magdalena!Y$102+BFC!Y84*BFC!Y$102</f>
        <v>7267660.4000000004</v>
      </c>
      <c r="Z73" s="3">
        <f>+Descubrimiento!Z85*Descubrimiento!Z$103+'Rentas SpA'!Z84*'Rentas SpA'!Z$102+'Pza Const'!Z84*'Pza Const'!Z$102+'Pza Arauc'!Z84*'Pza Arauc'!Z$102+RRetail!Z84*RRetail!Z$102+Bucarest!Z84*Bucarest!Z$102+Magdalena!Z84*Magdalena!Z$102+BFC!Z84*BFC!Z$102</f>
        <v>10370812.300000001</v>
      </c>
      <c r="AA73" s="3">
        <f>+Descubrimiento!AA85*Descubrimiento!AA$103+'Rentas SpA'!AA84*'Rentas SpA'!AA$102+'Pza Const'!AA84*'Pza Const'!AA$102+'Pza Arauc'!AA84*'Pza Arauc'!AA$102+RRetail!AA84*RRetail!AA$102+Bucarest!AA84*Bucarest!AA$102+Magdalena!AA84*Magdalena!AA$102+BFC!AA84*BFC!AA$102</f>
        <v>2695582.5</v>
      </c>
      <c r="AB73" s="3">
        <f>+Descubrimiento!AB85*Descubrimiento!AB$103+'Rentas SpA'!AB84*'Rentas SpA'!AB$102+'Pza Const'!AB84*'Pza Const'!AB$102+'Pza Arauc'!AB84*'Pza Arauc'!AB$102+RRetail!AB84*RRetail!AB$102+Bucarest!AB84*Bucarest!AB$102+Magdalena!AB84*Magdalena!AB$102+BFC!AB84*BFC!AB$102</f>
        <v>5301425.3</v>
      </c>
      <c r="AC73" s="3">
        <f>+Descubrimiento!AC85*Descubrimiento!AC$103+'Rentas SpA'!AC84*'Rentas SpA'!AC$102+'Pza Const'!AC84*'Pza Const'!AC$102+'Pza Arauc'!AC84*'Pza Arauc'!AC$102+RRetail!AC84*RRetail!AC$102+Bucarest!AC84*Bucarest!AC$102+Magdalena!AC84*Magdalena!AC$102+BFC!AC84*BFC!AC$102</f>
        <v>8221610.7000000002</v>
      </c>
      <c r="AD73" s="3">
        <f>+Descubrimiento!AD85*Descubrimiento!AD$103+'Rentas SpA'!AD84*'Rentas SpA'!AD$102+'Pza Const'!AD84*'Pza Const'!AD$102+'Pza Arauc'!AD84*'Pza Arauc'!AD$102+RRetail!AD84*RRetail!AD$102+Bucarest!AD84*Bucarest!AD$102+Magdalena!AD84*Magdalena!AD$102+BFC!AD84*BFC!AD$102</f>
        <v>11460164.1</v>
      </c>
      <c r="AE73" s="3">
        <f>+Descubrimiento!AE85*Descubrimiento!AE$103+'Rentas SpA'!AE84*'Rentas SpA'!AE$102+'Pza Const'!AE84*'Pza Const'!AE$102+'Pza Arauc'!AE84*'Pza Arauc'!AE$102+RRetail!AE84*RRetail!AE$102+Bucarest!AE84*Bucarest!AE$102+Magdalena!AE84*Magdalena!AE$102+BFC!AE84*BFC!AE$102</f>
        <v>3143335.3</v>
      </c>
      <c r="AF73" s="3">
        <f>+Descubrimiento!AF85*Descubrimiento!AF$103+'Rentas SpA'!AF84*'Rentas SpA'!AF$102+'Pza Const'!AF84*'Pza Const'!AF$102+'Pza Arauc'!AF84*'Pza Arauc'!AF$102+RRetail!AF84*RRetail!AF$102+Bucarest!AF84*Bucarest!AF$102+Magdalena!AF84*Magdalena!AF$102+BFC!AF84*BFC!AF$102</f>
        <v>6311246</v>
      </c>
      <c r="AG73" s="3">
        <f>+Descubrimiento!AG85*Descubrimiento!AG$103+'Rentas SpA'!AG84*'Rentas SpA'!AG$102+'Pza Const'!AG84*'Pza Const'!AG$102+'Pza Arauc'!AG84*'Pza Arauc'!AG$102+RRetail!AG84*RRetail!AG$102+Bucarest!AG84*Bucarest!AG$102+Magdalena!AG84*Magdalena!AG$102+BFC!AG84*BFC!AG$102</f>
        <v>9476608.8999999985</v>
      </c>
      <c r="AH73" s="3">
        <f>+Descubrimiento!AH85*Descubrimiento!AH$103+'Rentas SpA'!AH84*'Rentas SpA'!AH$102+'Pza Const'!AH84*'Pza Const'!AH$102+'Pza Arauc'!AH84*'Pza Arauc'!AH$102+RRetail!AH84*RRetail!AH$102+Bucarest!AH84*Bucarest!AH$102+Magdalena!AH84*Magdalena!AH$102+BFC!AH84*BFC!AH$102</f>
        <v>13015851.899999999</v>
      </c>
      <c r="AI73" s="3">
        <f>+Descubrimiento!AI85*Descubrimiento!AI$103+'Rentas SpA'!AI84*'Rentas SpA'!AI$102+'Pza Const'!AI84*'Pza Const'!AI$102+'Pza Arauc'!AI84*'Pza Arauc'!AI$102+RRetail!AI84*RRetail!AI$102+Bucarest!AI84*Bucarest!AI$102+Magdalena!AI84*Magdalena!AI$102+BFC!AI84*BFC!AI$102</f>
        <v>3183169</v>
      </c>
    </row>
    <row r="74" spans="1:35" s="1" customFormat="1" x14ac:dyDescent="0.3">
      <c r="A74" s="1" t="s">
        <v>181</v>
      </c>
      <c r="B74" s="3">
        <f>+Descubrimiento!B90*Descubrimiento!B$103+'Rentas SpA'!B89*'Rentas SpA'!B$102+'Pza Const'!B89*'Pza Const'!B$102+'Pza Arauc'!B89*'Pza Arauc'!B$102+RRetail!B89*RRetail!B$102+Bucarest!B89*Bucarest!B$102+Magdalena!B89*Magdalena!B$102+BFC!B89*BFC!B$102+Descubrimiento!B86*Descubrimiento!B$103+'Rentas SpA'!B85*'Rentas SpA'!B$102+'Pza Const'!B85*'Pza Const'!B$102+'Pza Arauc'!B85*'Pza Arauc'!B$102+RRetail!B85*RRetail!B$102+Bucarest!B85*Bucarest!B$102+Magdalena!B85*Magdalena!B$102+BFC!B85*BFC!B$102+Descubrimiento!B88*Descubrimiento!B$103+'Rentas SpA'!B87*'Rentas SpA'!B$102+'Pza Const'!B87*'Pza Const'!B$102+'Pza Arauc'!B87*'Pza Arauc'!B$102+RRetail!B87*RRetail!B$102+Bucarest!B87*Bucarest!B$102+Magdalena!B87*Magdalena!B$102+BFC!B87*BFC!B$102</f>
        <v>603569</v>
      </c>
      <c r="C74" s="3">
        <f>+Descubrimiento!C90*Descubrimiento!C$103+'Rentas SpA'!C89*'Rentas SpA'!C$102+'Pza Const'!C89*'Pza Const'!C$102+'Pza Arauc'!C89*'Pza Arauc'!C$102+RRetail!C89*RRetail!C$102+Bucarest!C89*Bucarest!C$102+Magdalena!C89*Magdalena!C$102+BFC!C89*BFC!C$102+Descubrimiento!C86*Descubrimiento!C$103+'Rentas SpA'!C85*'Rentas SpA'!C$102+'Pza Const'!C85*'Pza Const'!C$102+'Pza Arauc'!C85*'Pza Arauc'!C$102+RRetail!C85*RRetail!C$102+Bucarest!C85*Bucarest!C$102+Magdalena!C85*Magdalena!C$102+BFC!C85*BFC!C$102+Descubrimiento!C88*Descubrimiento!C$103+'Rentas SpA'!C87*'Rentas SpA'!C$102+'Pza Const'!C87*'Pza Const'!C$102+'Pza Arauc'!C87*'Pza Arauc'!C$102+RRetail!C87*RRetail!C$102+Bucarest!C87*Bucarest!C$102+Magdalena!C87*Magdalena!C$102+BFC!C87*BFC!C$102</f>
        <v>2076121.5</v>
      </c>
      <c r="D74" s="3">
        <f>+Descubrimiento!D90*Descubrimiento!D$103+'Rentas SpA'!D89*'Rentas SpA'!D$102+'Pza Const'!D89*'Pza Const'!D$102+'Pza Arauc'!D89*'Pza Arauc'!D$102+RRetail!D89*RRetail!D$102+Bucarest!D89*Bucarest!D$102+Magdalena!D89*Magdalena!D$102+BFC!D89*BFC!D$102+Descubrimiento!D86*Descubrimiento!D$103+'Rentas SpA'!D85*'Rentas SpA'!D$102+'Pza Const'!D85*'Pza Const'!D$102+'Pza Arauc'!D85*'Pza Arauc'!D$102+RRetail!D85*RRetail!D$102+Bucarest!D85*Bucarest!D$102+Magdalena!D85*Magdalena!D$102+BFC!D85*BFC!D$102+Descubrimiento!D88*Descubrimiento!D$103+'Rentas SpA'!D87*'Rentas SpA'!D$102+'Pza Const'!D87*'Pza Const'!D$102+'Pza Arauc'!D87*'Pza Arauc'!D$102+RRetail!D87*RRetail!D$102+Bucarest!D87*Bucarest!D$102+Magdalena!D87*Magdalena!D$102+BFC!D87*BFC!D$102</f>
        <v>784627</v>
      </c>
      <c r="E74" s="3">
        <f>+Descubrimiento!E90*Descubrimiento!E$103+'Rentas SpA'!E89*'Rentas SpA'!E$102+'Pza Const'!E89*'Pza Const'!E$102+'Pza Arauc'!E89*'Pza Arauc'!E$102+RRetail!E89*RRetail!E$102+Bucarest!E89*Bucarest!E$102+Magdalena!E89*Magdalena!E$102+BFC!E89*BFC!E$102+Descubrimiento!E86*Descubrimiento!E$103+'Rentas SpA'!E85*'Rentas SpA'!E$102+'Pza Const'!E85*'Pza Const'!E$102+'Pza Arauc'!E85*'Pza Arauc'!E$102+RRetail!E85*RRetail!E$102+Bucarest!E85*Bucarest!E$102+Magdalena!E85*Magdalena!E$102+BFC!E85*BFC!E$102+Descubrimiento!E88*Descubrimiento!E$103+'Rentas SpA'!E87*'Rentas SpA'!E$102+'Pza Const'!E87*'Pza Const'!E$102+'Pza Arauc'!E87*'Pza Arauc'!E$102+RRetail!E87*RRetail!E$102+Bucarest!E87*Bucarest!E$102+Magdalena!E87*Magdalena!E$102+BFC!E87*BFC!E$102</f>
        <v>659043</v>
      </c>
      <c r="F74" s="3">
        <f>+Descubrimiento!F90*Descubrimiento!F$103+'Rentas SpA'!F89*'Rentas SpA'!F$102+'Pza Const'!F89*'Pza Const'!F$102+'Pza Arauc'!F89*'Pza Arauc'!F$102+RRetail!F89*RRetail!F$102+Bucarest!F89*Bucarest!F$102+Magdalena!F89*Magdalena!F$102+BFC!F89*BFC!F$102+Descubrimiento!F86*Descubrimiento!F$103+'Rentas SpA'!F85*'Rentas SpA'!F$102+'Pza Const'!F85*'Pza Const'!F$102+'Pza Arauc'!F85*'Pza Arauc'!F$102+RRetail!F85*RRetail!F$102+Bucarest!F85*Bucarest!F$102+Magdalena!F85*Magdalena!F$102+BFC!F85*BFC!F$102+Descubrimiento!F88*Descubrimiento!F$103+'Rentas SpA'!F87*'Rentas SpA'!F$102+'Pza Const'!F87*'Pza Const'!F$102+'Pza Arauc'!F87*'Pza Arauc'!F$102+RRetail!F87*RRetail!F$102+Bucarest!F87*Bucarest!F$102+Magdalena!F87*Magdalena!F$102+BFC!F87*BFC!F$102</f>
        <v>709024</v>
      </c>
      <c r="G74" s="3">
        <f>+Descubrimiento!G90*Descubrimiento!G$103+'Rentas SpA'!G89*'Rentas SpA'!G$102+'Pza Const'!G89*'Pza Const'!G$102+'Pza Arauc'!G89*'Pza Arauc'!G$102+RRetail!G89*RRetail!G$102+Bucarest!G89*Bucarest!G$102+Magdalena!G89*Magdalena!G$102+BFC!G89*BFC!G$102+Descubrimiento!G86*Descubrimiento!G$103+'Rentas SpA'!G85*'Rentas SpA'!G$102+'Pza Const'!G85*'Pza Const'!G$102+'Pza Arauc'!G85*'Pza Arauc'!G$102+RRetail!G85*RRetail!G$102+Bucarest!G85*Bucarest!G$102+Magdalena!G85*Magdalena!G$102+BFC!G85*BFC!G$102+Descubrimiento!G88*Descubrimiento!G$103+'Rentas SpA'!G87*'Rentas SpA'!G$102+'Pza Const'!G87*'Pza Const'!G$102+'Pza Arauc'!G87*'Pza Arauc'!G$102+RRetail!G87*RRetail!G$102+Bucarest!G87*Bucarest!G$102+Magdalena!G87*Magdalena!G$102+BFC!G87*BFC!G$102</f>
        <v>45587</v>
      </c>
      <c r="H74" s="3">
        <f>+Descubrimiento!H90*Descubrimiento!H$103+'Rentas SpA'!H89*'Rentas SpA'!H$102+'Pza Const'!H89*'Pza Const'!H$102+'Pza Arauc'!H89*'Pza Arauc'!H$102+RRetail!H89*RRetail!H$102+Bucarest!H89*Bucarest!H$102+Magdalena!H89*Magdalena!H$102+BFC!H89*BFC!H$102+Descubrimiento!H86*Descubrimiento!H$103+'Rentas SpA'!H85*'Rentas SpA'!H$102+'Pza Const'!H85*'Pza Const'!H$102+'Pza Arauc'!H85*'Pza Arauc'!H$102+RRetail!H85*RRetail!H$102+Bucarest!H85*Bucarest!H$102+Magdalena!H85*Magdalena!H$102+BFC!H85*BFC!H$102+Descubrimiento!H88*Descubrimiento!H$103+'Rentas SpA'!H87*'Rentas SpA'!H$102+'Pza Const'!H87*'Pza Const'!H$102+'Pza Arauc'!H87*'Pza Arauc'!H$102+RRetail!H87*RRetail!H$102+Bucarest!H87*Bucarest!H$102+Magdalena!H87*Magdalena!H$102+BFC!H87*BFC!H$102</f>
        <v>126476.33</v>
      </c>
      <c r="I74" s="3">
        <f>+Descubrimiento!I90*Descubrimiento!I$103+'Rentas SpA'!I89*'Rentas SpA'!I$102+'Pza Const'!I89*'Pza Const'!I$102+'Pza Arauc'!I89*'Pza Arauc'!I$102+RRetail!I89*RRetail!I$102+Bucarest!I89*Bucarest!I$102+Magdalena!I89*Magdalena!I$102+BFC!I89*BFC!I$102+Descubrimiento!I86*Descubrimiento!I$103+'Rentas SpA'!I85*'Rentas SpA'!I$102+'Pza Const'!I85*'Pza Const'!I$102+'Pza Arauc'!I85*'Pza Arauc'!I$102+RRetail!I85*RRetail!I$102+Bucarest!I85*Bucarest!I$102+Magdalena!I85*Magdalena!I$102+BFC!I85*BFC!I$102+Descubrimiento!I88*Descubrimiento!I$103+'Rentas SpA'!I87*'Rentas SpA'!I$102+'Pza Const'!I87*'Pza Const'!I$102+'Pza Arauc'!I87*'Pza Arauc'!I$102+RRetail!I87*RRetail!I$102+Bucarest!I87*Bucarest!I$102+Magdalena!I87*Magdalena!I$102+BFC!I87*BFC!I$102</f>
        <v>267255</v>
      </c>
      <c r="J74" s="3">
        <f>+Descubrimiento!J90*Descubrimiento!J$103+'Rentas SpA'!J89*'Rentas SpA'!J$102+'Pza Const'!J89*'Pza Const'!J$102+'Pza Arauc'!J89*'Pza Arauc'!J$102+RRetail!J89*RRetail!J$102+Bucarest!J89*Bucarest!J$102+Magdalena!J89*Magdalena!J$102+BFC!J89*BFC!J$102+Descubrimiento!J86*Descubrimiento!J$103+'Rentas SpA'!J85*'Rentas SpA'!J$102+'Pza Const'!J85*'Pza Const'!J$102+'Pza Arauc'!J85*'Pza Arauc'!J$102+RRetail!J85*RRetail!J$102+Bucarest!J85*Bucarest!J$102+Magdalena!J85*Magdalena!J$102+BFC!J85*BFC!J$102+Descubrimiento!J88*Descubrimiento!J$103+'Rentas SpA'!J87*'Rentas SpA'!J$102+'Pza Const'!J87*'Pza Const'!J$102+'Pza Arauc'!J87*'Pza Arauc'!J$102+RRetail!J87*RRetail!J$102+Bucarest!J87*Bucarest!J$102+Magdalena!J87*Magdalena!J$102+BFC!J87*BFC!J$102</f>
        <v>1104842</v>
      </c>
      <c r="K74" s="3">
        <f>+Descubrimiento!K90*Descubrimiento!K$103+'Rentas SpA'!K89*'Rentas SpA'!K$102+'Pza Const'!K89*'Pza Const'!K$102+'Pza Arauc'!K89*'Pza Arauc'!K$102+RRetail!K89*RRetail!K$102+Bucarest!K89*Bucarest!K$102+Magdalena!K89*Magdalena!K$102+BFC!K89*BFC!K$102+Descubrimiento!K86*Descubrimiento!K$103+'Rentas SpA'!K85*'Rentas SpA'!K$102+'Pza Const'!K85*'Pza Const'!K$102+'Pza Arauc'!K85*'Pza Arauc'!K$102+RRetail!K85*RRetail!K$102+Bucarest!K85*Bucarest!K$102+Magdalena!K85*Magdalena!K$102+BFC!K85*BFC!K$102+Descubrimiento!K88*Descubrimiento!K$103+'Rentas SpA'!K87*'Rentas SpA'!K$102+'Pza Const'!K87*'Pza Const'!K$102+'Pza Arauc'!K87*'Pza Arauc'!K$102+RRetail!K87*RRetail!K$102+Bucarest!K87*Bucarest!K$102+Magdalena!K87*Magdalena!K$102+BFC!K87*BFC!K$102</f>
        <v>188516.44200000001</v>
      </c>
      <c r="L74" s="3">
        <f>+Descubrimiento!L90*Descubrimiento!L$103+'Rentas SpA'!L89*'Rentas SpA'!L$102+'Pza Const'!L89*'Pza Const'!L$102+'Pza Arauc'!L89*'Pza Arauc'!L$102+RRetail!L89*RRetail!L$102+Bucarest!L89*Bucarest!L$102+Magdalena!L89*Magdalena!L$102+BFC!L89*BFC!L$102+Descubrimiento!L86*Descubrimiento!L$103+'Rentas SpA'!L85*'Rentas SpA'!L$102+'Pza Const'!L85*'Pza Const'!L$102+'Pza Arauc'!L85*'Pza Arauc'!L$102+RRetail!L85*RRetail!L$102+Bucarest!L85*Bucarest!L$102+Magdalena!L85*Magdalena!L$102+BFC!L85*BFC!L$102+Descubrimiento!L88*Descubrimiento!L$103+'Rentas SpA'!L87*'Rentas SpA'!L$102+'Pza Const'!L87*'Pza Const'!L$102+'Pza Arauc'!L87*'Pza Arauc'!L$102+RRetail!L87*RRetail!L$102+Bucarest!L87*Bucarest!L$102+Magdalena!L87*Magdalena!L$102+BFC!L87*BFC!L$102</f>
        <v>413536</v>
      </c>
      <c r="M74" s="3">
        <f>+Descubrimiento!M90*Descubrimiento!M$103+'Rentas SpA'!M89*'Rentas SpA'!M$102+'Pza Const'!M89*'Pza Const'!M$102+'Pza Arauc'!M89*'Pza Arauc'!M$102+RRetail!M89*RRetail!M$102+Bucarest!M89*Bucarest!M$102+Magdalena!M89*Magdalena!M$102+BFC!M89*BFC!M$102+Descubrimiento!M86*Descubrimiento!M$103+'Rentas SpA'!M85*'Rentas SpA'!M$102+'Pza Const'!M85*'Pza Const'!M$102+'Pza Arauc'!M85*'Pza Arauc'!M$102+RRetail!M85*RRetail!M$102+Bucarest!M85*Bucarest!M$102+Magdalena!M85*Magdalena!M$102+BFC!M85*BFC!M$102+Descubrimiento!M88*Descubrimiento!M$103+'Rentas SpA'!M87*'Rentas SpA'!M$102+'Pza Const'!M87*'Pza Const'!M$102+'Pza Arauc'!M87*'Pza Arauc'!M$102+RRetail!M87*RRetail!M$102+Bucarest!M87*Bucarest!M$102+Magdalena!M87*Magdalena!M$102+BFC!M87*BFC!M$102</f>
        <v>582813</v>
      </c>
      <c r="N74" s="3">
        <f>+Descubrimiento!N90*Descubrimiento!N$103+'Rentas SpA'!N89*'Rentas SpA'!N$102+'Pza Const'!N89*'Pza Const'!N$102+'Pza Arauc'!N89*'Pza Arauc'!N$102+RRetail!N89*RRetail!N$102+Bucarest!N89*Bucarest!N$102+Magdalena!N89*Magdalena!N$102+BFC!N89*BFC!N$102+Descubrimiento!N86*Descubrimiento!N$103+'Rentas SpA'!N85*'Rentas SpA'!N$102+'Pza Const'!N85*'Pza Const'!N$102+'Pza Arauc'!N85*'Pza Arauc'!N$102+RRetail!N85*RRetail!N$102+Bucarest!N85*Bucarest!N$102+Magdalena!N85*Magdalena!N$102+BFC!N85*BFC!N$102+Descubrimiento!N88*Descubrimiento!N$103+'Rentas SpA'!N87*'Rentas SpA'!N$102+'Pza Const'!N87*'Pza Const'!N$102+'Pza Arauc'!N87*'Pza Arauc'!N$102+RRetail!N87*RRetail!N$102+Bucarest!N87*Bucarest!N$102+Magdalena!N87*Magdalena!N$102+BFC!N87*BFC!N$102</f>
        <v>1855143.4</v>
      </c>
      <c r="O74" s="3">
        <f>+Descubrimiento!O90*Descubrimiento!O$103+'Rentas SpA'!O89*'Rentas SpA'!O$102+'Pza Const'!O89*'Pza Const'!O$102+'Pza Arauc'!O89*'Pza Arauc'!O$102+RRetail!O89*RRetail!O$102+Bucarest!O89*Bucarest!O$102+Magdalena!O89*Magdalena!O$102+BFC!O89*BFC!O$102+Descubrimiento!O86*Descubrimiento!O$103+'Rentas SpA'!O85*'Rentas SpA'!O$102+'Pza Const'!O85*'Pza Const'!O$102+'Pza Arauc'!O85*'Pza Arauc'!O$102+RRetail!O85*RRetail!O$102+Bucarest!O85*Bucarest!O$102+Magdalena!O85*Magdalena!O$102+BFC!O85*BFC!O$102+Descubrimiento!O88*Descubrimiento!O$103+'Rentas SpA'!O87*'Rentas SpA'!O$102+'Pza Const'!O87*'Pza Const'!O$102+'Pza Arauc'!O87*'Pza Arauc'!O$102+RRetail!O87*RRetail!O$102+Bucarest!O87*Bucarest!O$102+Magdalena!O87*Magdalena!O$102+BFC!O87*BFC!O$102</f>
        <v>879946.39999999991</v>
      </c>
      <c r="P74" s="3">
        <f>+Descubrimiento!P90*Descubrimiento!P$103+'Rentas SpA'!P89*'Rentas SpA'!P$102+'Pza Const'!P89*'Pza Const'!P$102+'Pza Arauc'!P89*'Pza Arauc'!P$102+RRetail!P89*RRetail!P$102+Bucarest!P89*Bucarest!P$102+Magdalena!P89*Magdalena!P$102+BFC!P89*BFC!P$102+Descubrimiento!P86*Descubrimiento!P$103+'Rentas SpA'!P85*'Rentas SpA'!P$102+'Pza Const'!P85*'Pza Const'!P$102+'Pza Arauc'!P85*'Pza Arauc'!P$102+RRetail!P85*RRetail!P$102+Bucarest!P85*Bucarest!P$102+Magdalena!P85*Magdalena!P$102+BFC!P85*BFC!P$102+Descubrimiento!P88*Descubrimiento!P$103+'Rentas SpA'!P87*'Rentas SpA'!P$102+'Pza Const'!P87*'Pza Const'!P$102+'Pza Arauc'!P87*'Pza Arauc'!P$102+RRetail!P87*RRetail!P$102+Bucarest!P87*Bucarest!P$102+Magdalena!P87*Magdalena!P$102+BFC!P87*BFC!P$102</f>
        <v>1354636</v>
      </c>
      <c r="Q74" s="3">
        <f>+Descubrimiento!Q90*Descubrimiento!Q$103+'Rentas SpA'!Q89*'Rentas SpA'!Q$102+'Pza Const'!Q89*'Pza Const'!Q$102+'Pza Arauc'!Q89*'Pza Arauc'!Q$102+RRetail!Q89*RRetail!Q$102+Bucarest!Q89*Bucarest!Q$102+Magdalena!Q89*Magdalena!Q$102+BFC!Q89*BFC!Q$102+Descubrimiento!Q86*Descubrimiento!Q$103+'Rentas SpA'!Q85*'Rentas SpA'!Q$102+'Pza Const'!Q85*'Pza Const'!Q$102+'Pza Arauc'!Q85*'Pza Arauc'!Q$102+RRetail!Q85*RRetail!Q$102+Bucarest!Q85*Bucarest!Q$102+Magdalena!Q85*Magdalena!Q$102+BFC!Q85*BFC!Q$102+Descubrimiento!Q88*Descubrimiento!Q$103+'Rentas SpA'!Q87*'Rentas SpA'!Q$102+'Pza Const'!Q87*'Pza Const'!Q$102+'Pza Arauc'!Q87*'Pza Arauc'!Q$102+RRetail!Q87*RRetail!Q$102+Bucarest!Q87*Bucarest!Q$102+Magdalena!Q87*Magdalena!Q$102+BFC!Q87*BFC!Q$102</f>
        <v>1940091.8000000003</v>
      </c>
      <c r="R74" s="3">
        <f>+Descubrimiento!R90*Descubrimiento!R$103+'Rentas SpA'!R89*'Rentas SpA'!R$102+'Pza Const'!R89*'Pza Const'!R$102+'Pza Arauc'!R89*'Pza Arauc'!R$102+RRetail!R89*RRetail!R$102+Bucarest!R89*Bucarest!R$102+Magdalena!R89*Magdalena!R$102+BFC!R89*BFC!R$102+Descubrimiento!R86*Descubrimiento!R$103+'Rentas SpA'!R85*'Rentas SpA'!R$102+'Pza Const'!R85*'Pza Const'!R$102+'Pza Arauc'!R85*'Pza Arauc'!R$102+RRetail!R85*RRetail!R$102+Bucarest!R85*Bucarest!R$102+Magdalena!R85*Magdalena!R$102+BFC!R85*BFC!R$102+Descubrimiento!R88*Descubrimiento!R$103+'Rentas SpA'!R87*'Rentas SpA'!R$102+'Pza Const'!R87*'Pza Const'!R$102+'Pza Arauc'!R87*'Pza Arauc'!R$102+RRetail!R87*RRetail!R$102+Bucarest!R87*Bucarest!R$102+Magdalena!R87*Magdalena!R$102+BFC!R87*BFC!R$102</f>
        <v>2599180.1</v>
      </c>
      <c r="S74" s="3">
        <f>+Descubrimiento!S90*Descubrimiento!S$103+'Rentas SpA'!S89*'Rentas SpA'!S$102+'Pza Const'!S89*'Pza Const'!S$102+'Pza Arauc'!S89*'Pza Arauc'!S$102+RRetail!S89*RRetail!S$102+Bucarest!S89*Bucarest!S$102+Magdalena!S89*Magdalena!S$102+BFC!S89*BFC!S$102+Descubrimiento!S86*Descubrimiento!S$103+'Rentas SpA'!S85*'Rentas SpA'!S$102+'Pza Const'!S85*'Pza Const'!S$102+'Pza Arauc'!S85*'Pza Arauc'!S$102+RRetail!S85*RRetail!S$102+Bucarest!S85*Bucarest!S$102+Magdalena!S85*Magdalena!S$102+BFC!S85*BFC!S$102+Descubrimiento!S88*Descubrimiento!S$103+'Rentas SpA'!S87*'Rentas SpA'!S$102+'Pza Const'!S87*'Pza Const'!S$102+'Pza Arauc'!S87*'Pza Arauc'!S$102+RRetail!S87*RRetail!S$102+Bucarest!S87*Bucarest!S$102+Magdalena!S87*Magdalena!S$102+BFC!S87*BFC!S$102</f>
        <v>1163678.7</v>
      </c>
      <c r="T74" s="3">
        <f>+Descubrimiento!T90*Descubrimiento!T$103+'Rentas SpA'!T89*'Rentas SpA'!T$102+'Pza Const'!T89*'Pza Const'!T$102+'Pza Arauc'!T89*'Pza Arauc'!T$102+RRetail!T89*RRetail!T$102+Bucarest!T89*Bucarest!T$102+Magdalena!T89*Magdalena!T$102+BFC!T89*BFC!T$102+Descubrimiento!T86*Descubrimiento!T$103+'Rentas SpA'!T85*'Rentas SpA'!T$102+'Pza Const'!T85*'Pza Const'!T$102+'Pza Arauc'!T85*'Pza Arauc'!T$102+RRetail!T85*RRetail!T$102+Bucarest!T85*Bucarest!T$102+Magdalena!T85*Magdalena!T$102+BFC!T85*BFC!T$102+Descubrimiento!T88*Descubrimiento!T$103+'Rentas SpA'!T87*'Rentas SpA'!T$102+'Pza Const'!T87*'Pza Const'!T$102+'Pza Arauc'!T87*'Pza Arauc'!T$102+RRetail!T87*RRetail!T$102+Bucarest!T87*Bucarest!T$102+Magdalena!T87*Magdalena!T$102+BFC!T87*BFC!T$102</f>
        <v>2097649.2999999998</v>
      </c>
      <c r="U74" s="3">
        <f>+Descubrimiento!U90*Descubrimiento!U$103+'Rentas SpA'!U89*'Rentas SpA'!U$102+'Pza Const'!U89*'Pza Const'!U$102+'Pza Arauc'!U89*'Pza Arauc'!U$102+RRetail!U89*RRetail!U$102+Bucarest!U89*Bucarest!U$102+Magdalena!U89*Magdalena!U$102+BFC!U89*BFC!U$102+Descubrimiento!U86*Descubrimiento!U$103+'Rentas SpA'!U85*'Rentas SpA'!U$102+'Pza Const'!U85*'Pza Const'!U$102+'Pza Arauc'!U85*'Pza Arauc'!U$102+RRetail!U85*RRetail!U$102+Bucarest!U85*Bucarest!U$102+Magdalena!U85*Magdalena!U$102+BFC!U85*BFC!U$102+Descubrimiento!U88*Descubrimiento!U$103+'Rentas SpA'!U87*'Rentas SpA'!U$102+'Pza Const'!U87*'Pza Const'!U$102+'Pza Arauc'!U87*'Pza Arauc'!U$102+RRetail!U87*RRetail!U$102+Bucarest!U87*Bucarest!U$102+Magdalena!U87*Magdalena!U$102+BFC!U87*BFC!U$102</f>
        <v>3336265.5</v>
      </c>
      <c r="V74" s="3">
        <f>+Descubrimiento!V90*Descubrimiento!V$103+'Rentas SpA'!V89*'Rentas SpA'!V$102+'Pza Const'!V89*'Pza Const'!V$102+'Pza Arauc'!V89*'Pza Arauc'!V$102+RRetail!V89*RRetail!V$102+Bucarest!V89*Bucarest!V$102+Magdalena!V89*Magdalena!V$102+BFC!V89*BFC!V$102+Descubrimiento!V86*Descubrimiento!V$103+'Rentas SpA'!V85*'Rentas SpA'!V$102+'Pza Const'!V85*'Pza Const'!V$102+'Pza Arauc'!V85*'Pza Arauc'!V$102+RRetail!V85*RRetail!V$102+Bucarest!V85*Bucarest!V$102+Magdalena!V85*Magdalena!V$102+BFC!V85*BFC!V$102+Descubrimiento!V88*Descubrimiento!V$103+'Rentas SpA'!V87*'Rentas SpA'!V$102+'Pza Const'!V87*'Pza Const'!V$102+'Pza Arauc'!V87*'Pza Arauc'!V$102+RRetail!V87*RRetail!V$102+Bucarest!V87*Bucarest!V$102+Magdalena!V87*Magdalena!V$102+BFC!V87*BFC!V$102</f>
        <v>3375590.9</v>
      </c>
      <c r="W74" s="3">
        <f>+Descubrimiento!W90*Descubrimiento!W$103+'Rentas SpA'!W89*'Rentas SpA'!W$102+'Pza Const'!W89*'Pza Const'!W$102+'Pza Arauc'!W89*'Pza Arauc'!W$102+RRetail!W89*RRetail!W$102+Bucarest!W89*Bucarest!W$102+Magdalena!W89*Magdalena!W$102+BFC!W89*BFC!W$102+Descubrimiento!W86*Descubrimiento!W$103+'Rentas SpA'!W85*'Rentas SpA'!W$102+'Pza Const'!W85*'Pza Const'!W$102+'Pza Arauc'!W85*'Pza Arauc'!W$102+RRetail!W85*RRetail!W$102+Bucarest!W85*Bucarest!W$102+Magdalena!W85*Magdalena!W$102+BFC!W85*BFC!W$102+Descubrimiento!W88*Descubrimiento!W$103+'Rentas SpA'!W87*'Rentas SpA'!W$102+'Pza Const'!W87*'Pza Const'!W$102+'Pza Arauc'!W87*'Pza Arauc'!W$102+RRetail!W87*RRetail!W$102+Bucarest!W87*Bucarest!W$102+Magdalena!W87*Magdalena!W$102+BFC!W87*BFC!W$102</f>
        <v>500828.6</v>
      </c>
      <c r="X74" s="3">
        <f>+Descubrimiento!X90*Descubrimiento!X$103+'Rentas SpA'!X89*'Rentas SpA'!X$102+'Pza Const'!X89*'Pza Const'!X$102+'Pza Arauc'!X89*'Pza Arauc'!X$102+RRetail!X89*RRetail!X$102+Bucarest!X89*Bucarest!X$102+Magdalena!X89*Magdalena!X$102+BFC!X89*BFC!X$102+Descubrimiento!X86*Descubrimiento!X$103+'Rentas SpA'!X85*'Rentas SpA'!X$102+'Pza Const'!X85*'Pza Const'!X$102+'Pza Arauc'!X85*'Pza Arauc'!X$102+RRetail!X85*RRetail!X$102+Bucarest!X85*Bucarest!X$102+Magdalena!X85*Magdalena!X$102+BFC!X85*BFC!X$102+Descubrimiento!X88*Descubrimiento!X$103+'Rentas SpA'!X87*'Rentas SpA'!X$102+'Pza Const'!X87*'Pza Const'!X$102+'Pza Arauc'!X87*'Pza Arauc'!X$102+RRetail!X87*RRetail!X$102+Bucarest!X87*Bucarest!X$102+Magdalena!X87*Magdalena!X$102+BFC!X87*BFC!X$102</f>
        <v>1646765.7999999998</v>
      </c>
      <c r="Y74" s="3">
        <f>+Descubrimiento!Y90*Descubrimiento!Y$103+'Rentas SpA'!Y89*'Rentas SpA'!Y$102+'Pza Const'!Y89*'Pza Const'!Y$102+'Pza Arauc'!Y89*'Pza Arauc'!Y$102+RRetail!Y89*RRetail!Y$102+Bucarest!Y89*Bucarest!Y$102+Magdalena!Y89*Magdalena!Y$102+BFC!Y89*BFC!Y$102+Descubrimiento!Y86*Descubrimiento!Y$103+'Rentas SpA'!Y85*'Rentas SpA'!Y$102+'Pza Const'!Y85*'Pza Const'!Y$102+'Pza Arauc'!Y85*'Pza Arauc'!Y$102+RRetail!Y85*RRetail!Y$102+Bucarest!Y85*Bucarest!Y$102+Magdalena!Y85*Magdalena!Y$102+BFC!Y85*BFC!Y$102+Descubrimiento!Y88*Descubrimiento!Y$103+'Rentas SpA'!Y87*'Rentas SpA'!Y$102+'Pza Const'!Y87*'Pza Const'!Y$102+'Pza Arauc'!Y87*'Pza Arauc'!Y$102+RRetail!Y87*RRetail!Y$102+Bucarest!Y87*Bucarest!Y$102+Magdalena!Y87*Magdalena!Y$102+BFC!Y87*BFC!Y$102</f>
        <v>1840058.4999999998</v>
      </c>
      <c r="Z74" s="3">
        <f>+Descubrimiento!Z90*Descubrimiento!Z$103+'Rentas SpA'!Z89*'Rentas SpA'!Z$102+'Pza Const'!Z89*'Pza Const'!Z$102+'Pza Arauc'!Z89*'Pza Arauc'!Z$102+RRetail!Z89*RRetail!Z$102+Bucarest!Z89*Bucarest!Z$102+Magdalena!Z89*Magdalena!Z$102+BFC!Z89*BFC!Z$102+Descubrimiento!Z86*Descubrimiento!Z$103+'Rentas SpA'!Z85*'Rentas SpA'!Z$102+'Pza Const'!Z85*'Pza Const'!Z$102+'Pza Arauc'!Z85*'Pza Arauc'!Z$102+RRetail!Z85*RRetail!Z$102+Bucarest!Z85*Bucarest!Z$102+Magdalena!Z85*Magdalena!Z$102+BFC!Z85*BFC!Z$102+Descubrimiento!Z88*Descubrimiento!Z$103+'Rentas SpA'!Z87*'Rentas SpA'!Z$102+'Pza Const'!Z87*'Pza Const'!Z$102+'Pza Arauc'!Z87*'Pza Arauc'!Z$102+RRetail!Z87*RRetail!Z$102+Bucarest!Z87*Bucarest!Z$102+Magdalena!Z87*Magdalena!Z$102+BFC!Z87*BFC!Z$102</f>
        <v>4682446.3999999994</v>
      </c>
      <c r="AA74" s="3">
        <f>+Descubrimiento!AA90*Descubrimiento!AA$103+'Rentas SpA'!AA89*'Rentas SpA'!AA$102+'Pza Const'!AA89*'Pza Const'!AA$102+'Pza Arauc'!AA89*'Pza Arauc'!AA$102+RRetail!AA89*RRetail!AA$102+Bucarest!AA89*Bucarest!AA$102+Magdalena!AA89*Magdalena!AA$102+BFC!AA89*BFC!AA$102+Descubrimiento!AA86*Descubrimiento!AA$103+'Rentas SpA'!AA85*'Rentas SpA'!AA$102+'Pza Const'!AA85*'Pza Const'!AA$102+'Pza Arauc'!AA85*'Pza Arauc'!AA$102+RRetail!AA85*RRetail!AA$102+Bucarest!AA85*Bucarest!AA$102+Magdalena!AA85*Magdalena!AA$102+BFC!AA85*BFC!AA$102+Descubrimiento!AA88*Descubrimiento!AA$103+'Rentas SpA'!AA87*'Rentas SpA'!AA$102+'Pza Const'!AA87*'Pza Const'!AA$102+'Pza Arauc'!AA87*'Pza Arauc'!AA$102+RRetail!AA87*RRetail!AA$102+Bucarest!AA87*Bucarest!AA$102+Magdalena!AA87*Magdalena!AA$102+BFC!AA87*BFC!AA$102</f>
        <v>803306</v>
      </c>
      <c r="AB74" s="3">
        <f>+Descubrimiento!AB90*Descubrimiento!AB$103+'Rentas SpA'!AB89*'Rentas SpA'!AB$102+'Pza Const'!AB89*'Pza Const'!AB$102+'Pza Arauc'!AB89*'Pza Arauc'!AB$102+RRetail!AB89*RRetail!AB$102+Bucarest!AB89*Bucarest!AB$102+Magdalena!AB89*Magdalena!AB$102+BFC!AB89*BFC!AB$102+Descubrimiento!AB86*Descubrimiento!AB$103+'Rentas SpA'!AB85*'Rentas SpA'!AB$102+'Pza Const'!AB85*'Pza Const'!AB$102+'Pza Arauc'!AB85*'Pza Arauc'!AB$102+RRetail!AB85*RRetail!AB$102+Bucarest!AB85*Bucarest!AB$102+Magdalena!AB85*Magdalena!AB$102+BFC!AB85*BFC!AB$102+Descubrimiento!AB88*Descubrimiento!AB$103+'Rentas SpA'!AB87*'Rentas SpA'!AB$102+'Pza Const'!AB87*'Pza Const'!AB$102+'Pza Arauc'!AB87*'Pza Arauc'!AB$102+RRetail!AB87*RRetail!AB$102+Bucarest!AB87*Bucarest!AB$102+Magdalena!AB87*Magdalena!AB$102+BFC!AB87*BFC!AB$102</f>
        <v>2053599.7</v>
      </c>
      <c r="AC74" s="3">
        <f>+Descubrimiento!AC90*Descubrimiento!AC$103+'Rentas SpA'!AC89*'Rentas SpA'!AC$102+'Pza Const'!AC89*'Pza Const'!AC$102+'Pza Arauc'!AC89*'Pza Arauc'!AC$102+RRetail!AC89*RRetail!AC$102+Bucarest!AC89*Bucarest!AC$102+Magdalena!AC89*Magdalena!AC$102+BFC!AC89*BFC!AC$102+Descubrimiento!AC86*Descubrimiento!AC$103+'Rentas SpA'!AC85*'Rentas SpA'!AC$102+'Pza Const'!AC85*'Pza Const'!AC$102+'Pza Arauc'!AC85*'Pza Arauc'!AC$102+RRetail!AC85*RRetail!AC$102+Bucarest!AC85*Bucarest!AC$102+Magdalena!AC85*Magdalena!AC$102+BFC!AC85*BFC!AC$102+Descubrimiento!AC88*Descubrimiento!AC$103+'Rentas SpA'!AC87*'Rentas SpA'!AC$102+'Pza Const'!AC87*'Pza Const'!AC$102+'Pza Arauc'!AC87*'Pza Arauc'!AC$102+RRetail!AC87*RRetail!AC$102+Bucarest!AC87*Bucarest!AC$102+Magdalena!AC87*Magdalena!AC$102+BFC!AC87*BFC!AC$102</f>
        <v>4688882.0999999996</v>
      </c>
      <c r="AD74" s="3">
        <f>+Descubrimiento!AD90*Descubrimiento!AD$103+'Rentas SpA'!AD89*'Rentas SpA'!AD$102+'Pza Const'!AD89*'Pza Const'!AD$102+'Pza Arauc'!AD89*'Pza Arauc'!AD$102+RRetail!AD89*RRetail!AD$102+Bucarest!AD89*Bucarest!AD$102+Magdalena!AD89*Magdalena!AD$102+BFC!AD89*BFC!AD$102+Descubrimiento!AD86*Descubrimiento!AD$103+'Rentas SpA'!AD85*'Rentas SpA'!AD$102+'Pza Const'!AD85*'Pza Const'!AD$102+'Pza Arauc'!AD85*'Pza Arauc'!AD$102+RRetail!AD85*RRetail!AD$102+Bucarest!AD85*Bucarest!AD$102+Magdalena!AD85*Magdalena!AD$102+BFC!AD85*BFC!AD$102+Descubrimiento!AD88*Descubrimiento!AD$103+'Rentas SpA'!AD87*'Rentas SpA'!AD$102+'Pza Const'!AD87*'Pza Const'!AD$102+'Pza Arauc'!AD87*'Pza Arauc'!AD$102+RRetail!AD87*RRetail!AD$102+Bucarest!AD87*Bucarest!AD$102+Magdalena!AD87*Magdalena!AD$102+BFC!AD87*BFC!AD$102</f>
        <v>3511284.0999999996</v>
      </c>
      <c r="AE74" s="3">
        <f>+Descubrimiento!AE90*Descubrimiento!AE$103+'Rentas SpA'!AE89*'Rentas SpA'!AE$102+'Pza Const'!AE89*'Pza Const'!AE$102+'Pza Arauc'!AE89*'Pza Arauc'!AE$102+RRetail!AE89*RRetail!AE$102+Bucarest!AE89*Bucarest!AE$102+Magdalena!AE89*Magdalena!AE$102+BFC!AE89*BFC!AE$102+Descubrimiento!AE86*Descubrimiento!AE$103+'Rentas SpA'!AE85*'Rentas SpA'!AE$102+'Pza Const'!AE85*'Pza Const'!AE$102+'Pza Arauc'!AE85*'Pza Arauc'!AE$102+RRetail!AE85*RRetail!AE$102+Bucarest!AE85*Bucarest!AE$102+Magdalena!AE85*Magdalena!AE$102+BFC!AE85*BFC!AE$102+Descubrimiento!AE88*Descubrimiento!AE$103+'Rentas SpA'!AE87*'Rentas SpA'!AE$102+'Pza Const'!AE87*'Pza Const'!AE$102+'Pza Arauc'!AE87*'Pza Arauc'!AE$102+RRetail!AE87*RRetail!AE$102+Bucarest!AE87*Bucarest!AE$102+Magdalena!AE87*Magdalena!AE$102+BFC!AE87*BFC!AE$102</f>
        <v>991829.6</v>
      </c>
      <c r="AF74" s="3">
        <f>+Descubrimiento!AF90*Descubrimiento!AF$103+'Rentas SpA'!AF89*'Rentas SpA'!AF$102+'Pza Const'!AF89*'Pza Const'!AF$102+'Pza Arauc'!AF89*'Pza Arauc'!AF$102+RRetail!AF89*RRetail!AF$102+Bucarest!AF89*Bucarest!AF$102+Magdalena!AF89*Magdalena!AF$102+BFC!AF89*BFC!AF$102+Descubrimiento!AF86*Descubrimiento!AF$103+'Rentas SpA'!AF85*'Rentas SpA'!AF$102+'Pza Const'!AF85*'Pza Const'!AF$102+'Pza Arauc'!AF85*'Pza Arauc'!AF$102+RRetail!AF85*RRetail!AF$102+Bucarest!AF85*Bucarest!AF$102+Magdalena!AF85*Magdalena!AF$102+BFC!AF85*BFC!AF$102+Descubrimiento!AF88*Descubrimiento!AF$103+'Rentas SpA'!AF87*'Rentas SpA'!AF$102+'Pza Const'!AF87*'Pza Const'!AF$102+'Pza Arauc'!AF87*'Pza Arauc'!AF$102+RRetail!AF87*RRetail!AF$102+Bucarest!AF87*Bucarest!AF$102+Magdalena!AF87*Magdalena!AF$102+BFC!AF87*BFC!AF$102</f>
        <v>1670206.9</v>
      </c>
      <c r="AG74" s="3">
        <f>+Descubrimiento!AG90*Descubrimiento!AG$103+'Rentas SpA'!AG89*'Rentas SpA'!AG$102+'Pza Const'!AG89*'Pza Const'!AG$102+'Pza Arauc'!AG89*'Pza Arauc'!AG$102+RRetail!AG89*RRetail!AG$102+Bucarest!AG89*Bucarest!AG$102+Magdalena!AG89*Magdalena!AG$102+BFC!AG89*BFC!AG$102+Descubrimiento!AG86*Descubrimiento!AG$103+'Rentas SpA'!AG85*'Rentas SpA'!AG$102+'Pza Const'!AG85*'Pza Const'!AG$102+'Pza Arauc'!AG85*'Pza Arauc'!AG$102+RRetail!AG85*RRetail!AG$102+Bucarest!AG85*Bucarest!AG$102+Magdalena!AG85*Magdalena!AG$102+BFC!AG85*BFC!AG$102+Descubrimiento!AG88*Descubrimiento!AG$103+'Rentas SpA'!AG87*'Rentas SpA'!AG$102+'Pza Const'!AG87*'Pza Const'!AG$102+'Pza Arauc'!AG87*'Pza Arauc'!AG$102+RRetail!AG87*RRetail!AG$102+Bucarest!AG87*Bucarest!AG$102+Magdalena!AG87*Magdalena!AG$102+BFC!AG87*BFC!AG$102</f>
        <v>2201295</v>
      </c>
      <c r="AH74" s="3">
        <f>+Descubrimiento!AH90*Descubrimiento!AH$103+'Rentas SpA'!AH89*'Rentas SpA'!AH$102+'Pza Const'!AH89*'Pza Const'!AH$102+'Pza Arauc'!AH89*'Pza Arauc'!AH$102+RRetail!AH89*RRetail!AH$102+Bucarest!AH89*Bucarest!AH$102+Magdalena!AH89*Magdalena!AH$102+BFC!AH89*BFC!AH$102+Descubrimiento!AH86*Descubrimiento!AH$103+'Rentas SpA'!AH85*'Rentas SpA'!AH$102+'Pza Const'!AH85*'Pza Const'!AH$102+'Pza Arauc'!AH85*'Pza Arauc'!AH$102+RRetail!AH85*RRetail!AH$102+Bucarest!AH85*Bucarest!AH$102+Magdalena!AH85*Magdalena!AH$102+BFC!AH85*BFC!AH$102+Descubrimiento!AH88*Descubrimiento!AH$103+'Rentas SpA'!AH87*'Rentas SpA'!AH$102+'Pza Const'!AH87*'Pza Const'!AH$102+'Pza Arauc'!AH87*'Pza Arauc'!AH$102+RRetail!AH87*RRetail!AH$102+Bucarest!AH87*Bucarest!AH$102+Magdalena!AH87*Magdalena!AH$102+BFC!AH87*BFC!AH$102</f>
        <v>2796425.7</v>
      </c>
      <c r="AI74" s="3">
        <f>+Descubrimiento!AI90*Descubrimiento!AI$103+'Rentas SpA'!AI89*'Rentas SpA'!AI$102+'Pza Const'!AI89*'Pza Const'!AI$102+'Pza Arauc'!AI89*'Pza Arauc'!AI$102+RRetail!AI89*RRetail!AI$102+Bucarest!AI89*Bucarest!AI$102+Magdalena!AI89*Magdalena!AI$102+BFC!AI89*BFC!AI$102+Descubrimiento!AI86*Descubrimiento!AI$103+'Rentas SpA'!AI85*'Rentas SpA'!AI$102+'Pza Const'!AI85*'Pza Const'!AI$102+'Pza Arauc'!AI85*'Pza Arauc'!AI$102+RRetail!AI85*RRetail!AI$102+Bucarest!AI85*Bucarest!AI$102+Magdalena!AI85*Magdalena!AI$102+BFC!AI85*BFC!AI$102+Descubrimiento!AI88*Descubrimiento!AI$103+'Rentas SpA'!AI87*'Rentas SpA'!AI$102+'Pza Const'!AI87*'Pza Const'!AI$102+'Pza Arauc'!AI87*'Pza Arauc'!AI$102+RRetail!AI87*RRetail!AI$102+Bucarest!AI87*Bucarest!AI$102+Magdalena!AI87*Magdalena!AI$102+BFC!AI87*BFC!AI$102</f>
        <v>393871.7</v>
      </c>
    </row>
    <row r="75" spans="1:35" s="1" customFormat="1" x14ac:dyDescent="0.3">
      <c r="A75" s="1" t="s">
        <v>90</v>
      </c>
      <c r="B75" s="3">
        <f>+Descubrimiento!B84*Descubrimiento!B$103+'Rentas SpA'!B83*'Rentas SpA'!B$102+'Pza Const'!B83*'Pza Const'!B$102+'Pza Arauc'!B83*'Pza Arauc'!B$102+RRetail!B83*RRetail!B$102+Bucarest!B83*Bucarest!B$102+Magdalena!B83*Magdalena!B$102+BFC!B83*BFC!B$102+Descubrimiento!B81*Descubrimiento!B$103+'Rentas SpA'!B80*'Rentas SpA'!B$102+'Pza Const'!B80*'Pza Const'!B$102+'Pza Arauc'!B80*'Pza Arauc'!B$102+RRetail!B80*RRetail!B$102+Bucarest!B80*Bucarest!B$102+Magdalena!B80*Magdalena!B$102+BFC!B80*BFC!B$102+Descubrimiento!B83*Descubrimiento!B$103+'Rentas SpA'!B82*'Rentas SpA'!B$102+'Pza Const'!B82*'Pza Const'!B$102+'Pza Arauc'!B82*'Pza Arauc'!B$102+RRetail!B82*RRetail!B$102+Bucarest!B82*Bucarest!B$102+Magdalena!B82*Magdalena!B$102+BFC!B82*BFC!B$102+Descubrimiento!B89*Descubrimiento!B$103+'Rentas SpA'!B88*'Rentas SpA'!B$102+'Pza Const'!B88*'Pza Const'!B$102+'Pza Arauc'!B88*'Pza Arauc'!B$102+RRetail!B88*RRetail!B$102+Bucarest!B88*Bucarest!B$102+Magdalena!B88*Magdalena!B$102+BFC!B88*BFC!B$102+Descubrimiento!B91*Descubrimiento!B$103+'Rentas SpA'!B90*'Rentas SpA'!B$102+'Pza Const'!B90*'Pza Const'!B$102+'Pza Arauc'!B90*'Pza Arauc'!B$102+RRetail!B90*RRetail!B$102+Bucarest!B90*Bucarest!B$102+Magdalena!B90*Magdalena!B$102+BFC!B90*BFC!B$102</f>
        <v>998254</v>
      </c>
      <c r="C75" s="3">
        <f>+Descubrimiento!C84*Descubrimiento!C$103+'Rentas SpA'!C83*'Rentas SpA'!C$102+'Pza Const'!C83*'Pza Const'!C$102+'Pza Arauc'!C83*'Pza Arauc'!C$102+RRetail!C83*RRetail!C$102+Bucarest!C83*Bucarest!C$102+Magdalena!C83*Magdalena!C$102+BFC!C83*BFC!C$102+Descubrimiento!C81*Descubrimiento!C$103+'Rentas SpA'!C80*'Rentas SpA'!C$102+'Pza Const'!C80*'Pza Const'!C$102+'Pza Arauc'!C80*'Pza Arauc'!C$102+RRetail!C80*RRetail!C$102+Bucarest!C80*Bucarest!C$102+Magdalena!C80*Magdalena!C$102+BFC!C80*BFC!C$102+Descubrimiento!C83*Descubrimiento!C$103+'Rentas SpA'!C82*'Rentas SpA'!C$102+'Pza Const'!C82*'Pza Const'!C$102+'Pza Arauc'!C82*'Pza Arauc'!C$102+RRetail!C82*RRetail!C$102+Bucarest!C82*Bucarest!C$102+Magdalena!C82*Magdalena!C$102+BFC!C82*BFC!C$102+Descubrimiento!C89*Descubrimiento!C$103+'Rentas SpA'!C88*'Rentas SpA'!C$102+'Pza Const'!C88*'Pza Const'!C$102+'Pza Arauc'!C88*'Pza Arauc'!C$102+RRetail!C88*RRetail!C$102+Bucarest!C88*Bucarest!C$102+Magdalena!C88*Magdalena!C$102+BFC!C88*BFC!C$102+Descubrimiento!C91*Descubrimiento!C$103+'Rentas SpA'!C90*'Rentas SpA'!C$102+'Pza Const'!C90*'Pza Const'!C$102+'Pza Arauc'!C90*'Pza Arauc'!C$102+RRetail!C90*RRetail!C$102+Bucarest!C90*Bucarest!C$102+Magdalena!C90*Magdalena!C$102+BFC!C90*BFC!C$102</f>
        <v>745901.5</v>
      </c>
      <c r="D75" s="3">
        <f>+Descubrimiento!D84*Descubrimiento!D$103+'Rentas SpA'!D83*'Rentas SpA'!D$102+'Pza Const'!D83*'Pza Const'!D$102+'Pza Arauc'!D83*'Pza Arauc'!D$102+RRetail!D83*RRetail!D$102+Bucarest!D83*Bucarest!D$102+Magdalena!D83*Magdalena!D$102+BFC!D83*BFC!D$102+Descubrimiento!D81*Descubrimiento!D$103+'Rentas SpA'!D80*'Rentas SpA'!D$102+'Pza Const'!D80*'Pza Const'!D$102+'Pza Arauc'!D80*'Pza Arauc'!D$102+RRetail!D80*RRetail!D$102+Bucarest!D80*Bucarest!D$102+Magdalena!D80*Magdalena!D$102+BFC!D80*BFC!D$102+Descubrimiento!D83*Descubrimiento!D$103+'Rentas SpA'!D82*'Rentas SpA'!D$102+'Pza Const'!D82*'Pza Const'!D$102+'Pza Arauc'!D82*'Pza Arauc'!D$102+RRetail!D82*RRetail!D$102+Bucarest!D82*Bucarest!D$102+Magdalena!D82*Magdalena!D$102+BFC!D82*BFC!D$102+Descubrimiento!D89*Descubrimiento!D$103+'Rentas SpA'!D88*'Rentas SpA'!D$102+'Pza Const'!D88*'Pza Const'!D$102+'Pza Arauc'!D88*'Pza Arauc'!D$102+RRetail!D88*RRetail!D$102+Bucarest!D88*Bucarest!D$102+Magdalena!D88*Magdalena!D$102+BFC!D88*BFC!D$102+Descubrimiento!D91*Descubrimiento!D$103+'Rentas SpA'!D90*'Rentas SpA'!D$102+'Pza Const'!D90*'Pza Const'!D$102+'Pza Arauc'!D90*'Pza Arauc'!D$102+RRetail!D90*RRetail!D$102+Bucarest!D90*Bucarest!D$102+Magdalena!D90*Magdalena!D$102+BFC!D90*BFC!D$102</f>
        <v>954574</v>
      </c>
      <c r="E75" s="3">
        <f>+Descubrimiento!E84*Descubrimiento!E$103+'Rentas SpA'!E83*'Rentas SpA'!E$102+'Pza Const'!E83*'Pza Const'!E$102+'Pza Arauc'!E83*'Pza Arauc'!E$102+RRetail!E83*RRetail!E$102+Bucarest!E83*Bucarest!E$102+Magdalena!E83*Magdalena!E$102+BFC!E83*BFC!E$102+Descubrimiento!E81*Descubrimiento!E$103+'Rentas SpA'!E80*'Rentas SpA'!E$102+'Pza Const'!E80*'Pza Const'!E$102+'Pza Arauc'!E80*'Pza Arauc'!E$102+RRetail!E80*RRetail!E$102+Bucarest!E80*Bucarest!E$102+Magdalena!E80*Magdalena!E$102+BFC!E80*BFC!E$102+Descubrimiento!E83*Descubrimiento!E$103+'Rentas SpA'!E82*'Rentas SpA'!E$102+'Pza Const'!E82*'Pza Const'!E$102+'Pza Arauc'!E82*'Pza Arauc'!E$102+RRetail!E82*RRetail!E$102+Bucarest!E82*Bucarest!E$102+Magdalena!E82*Magdalena!E$102+BFC!E82*BFC!E$102+Descubrimiento!E89*Descubrimiento!E$103+'Rentas SpA'!E88*'Rentas SpA'!E$102+'Pza Const'!E88*'Pza Const'!E$102+'Pza Arauc'!E88*'Pza Arauc'!E$102+RRetail!E88*RRetail!E$102+Bucarest!E88*Bucarest!E$102+Magdalena!E88*Magdalena!E$102+BFC!E88*BFC!E$102+Descubrimiento!E91*Descubrimiento!E$103+'Rentas SpA'!E90*'Rentas SpA'!E$102+'Pza Const'!E90*'Pza Const'!E$102+'Pza Arauc'!E90*'Pza Arauc'!E$102+RRetail!E90*RRetail!E$102+Bucarest!E90*Bucarest!E$102+Magdalena!E90*Magdalena!E$102+BFC!E90*BFC!E$102</f>
        <v>1244570</v>
      </c>
      <c r="F75" s="3">
        <f>+Descubrimiento!F84*Descubrimiento!F$103+'Rentas SpA'!F83*'Rentas SpA'!F$102+'Pza Const'!F83*'Pza Const'!F$102+'Pza Arauc'!F83*'Pza Arauc'!F$102+RRetail!F83*RRetail!F$102+Bucarest!F83*Bucarest!F$102+Magdalena!F83*Magdalena!F$102+BFC!F83*BFC!F$102+Descubrimiento!F81*Descubrimiento!F$103+'Rentas SpA'!F80*'Rentas SpA'!F$102+'Pza Const'!F80*'Pza Const'!F$102+'Pza Arauc'!F80*'Pza Arauc'!F$102+RRetail!F80*RRetail!F$102+Bucarest!F80*Bucarest!F$102+Magdalena!F80*Magdalena!F$102+BFC!F80*BFC!F$102+Descubrimiento!F83*Descubrimiento!F$103+'Rentas SpA'!F82*'Rentas SpA'!F$102+'Pza Const'!F82*'Pza Const'!F$102+'Pza Arauc'!F82*'Pza Arauc'!F$102+RRetail!F82*RRetail!F$102+Bucarest!F82*Bucarest!F$102+Magdalena!F82*Magdalena!F$102+BFC!F82*BFC!F$102+Descubrimiento!F89*Descubrimiento!F$103+'Rentas SpA'!F88*'Rentas SpA'!F$102+'Pza Const'!F88*'Pza Const'!F$102+'Pza Arauc'!F88*'Pza Arauc'!F$102+RRetail!F88*RRetail!F$102+Bucarest!F88*Bucarest!F$102+Magdalena!F88*Magdalena!F$102+BFC!F88*BFC!F$102+Descubrimiento!F91*Descubrimiento!F$103+'Rentas SpA'!F90*'Rentas SpA'!F$102+'Pza Const'!F90*'Pza Const'!F$102+'Pza Arauc'!F90*'Pza Arauc'!F$102+RRetail!F90*RRetail!F$102+Bucarest!F90*Bucarest!F$102+Magdalena!F90*Magdalena!F$102+BFC!F90*BFC!F$102</f>
        <v>1456074</v>
      </c>
      <c r="G75" s="3">
        <f>+Descubrimiento!G84*Descubrimiento!G$103+'Rentas SpA'!G83*'Rentas SpA'!G$102+'Pza Const'!G83*'Pza Const'!G$102+'Pza Arauc'!G83*'Pza Arauc'!G$102+RRetail!G83*RRetail!G$102+Bucarest!G83*Bucarest!G$102+Magdalena!G83*Magdalena!G$102+BFC!G83*BFC!G$102+Descubrimiento!G81*Descubrimiento!G$103+'Rentas SpA'!G80*'Rentas SpA'!G$102+'Pza Const'!G80*'Pza Const'!G$102+'Pza Arauc'!G80*'Pza Arauc'!G$102+RRetail!G80*RRetail!G$102+Bucarest!G80*Bucarest!G$102+Magdalena!G80*Magdalena!G$102+BFC!G80*BFC!G$102+Descubrimiento!G83*Descubrimiento!G$103+'Rentas SpA'!G82*'Rentas SpA'!G$102+'Pza Const'!G82*'Pza Const'!G$102+'Pza Arauc'!G82*'Pza Arauc'!G$102+RRetail!G82*RRetail!G$102+Bucarest!G82*Bucarest!G$102+Magdalena!G82*Magdalena!G$102+BFC!G82*BFC!G$102+Descubrimiento!G89*Descubrimiento!G$103+'Rentas SpA'!G88*'Rentas SpA'!G$102+'Pza Const'!G88*'Pza Const'!G$102+'Pza Arauc'!G88*'Pza Arauc'!G$102+RRetail!G88*RRetail!G$102+Bucarest!G88*Bucarest!G$102+Magdalena!G88*Magdalena!G$102+BFC!G88*BFC!G$102+Descubrimiento!G91*Descubrimiento!G$103+'Rentas SpA'!G90*'Rentas SpA'!G$102+'Pza Const'!G90*'Pza Const'!G$102+'Pza Arauc'!G90*'Pza Arauc'!G$102+RRetail!G90*RRetail!G$102+Bucarest!G90*Bucarest!G$102+Magdalena!G90*Magdalena!G$102+BFC!G90*BFC!G$102</f>
        <v>356215</v>
      </c>
      <c r="H75" s="3">
        <f>+Descubrimiento!H84*Descubrimiento!H$103+'Rentas SpA'!H83*'Rentas SpA'!H$102+'Pza Const'!H83*'Pza Const'!H$102+'Pza Arauc'!H83*'Pza Arauc'!H$102+RRetail!H83*RRetail!H$102+Bucarest!H83*Bucarest!H$102+Magdalena!H83*Magdalena!H$102+BFC!H83*BFC!H$102+Descubrimiento!H81*Descubrimiento!H$103+'Rentas SpA'!H80*'Rentas SpA'!H$102+'Pza Const'!H80*'Pza Const'!H$102+'Pza Arauc'!H80*'Pza Arauc'!H$102+RRetail!H80*RRetail!H$102+Bucarest!H80*Bucarest!H$102+Magdalena!H80*Magdalena!H$102+BFC!H80*BFC!H$102+Descubrimiento!H83*Descubrimiento!H$103+'Rentas SpA'!H82*'Rentas SpA'!H$102+'Pza Const'!H82*'Pza Const'!H$102+'Pza Arauc'!H82*'Pza Arauc'!H$102+RRetail!H82*RRetail!H$102+Bucarest!H82*Bucarest!H$102+Magdalena!H82*Magdalena!H$102+BFC!H82*BFC!H$102+Descubrimiento!H89*Descubrimiento!H$103+'Rentas SpA'!H88*'Rentas SpA'!H$102+'Pza Const'!H88*'Pza Const'!H$102+'Pza Arauc'!H88*'Pza Arauc'!H$102+RRetail!H88*RRetail!H$102+Bucarest!H88*Bucarest!H$102+Magdalena!H88*Magdalena!H$102+BFC!H88*BFC!H$102+Descubrimiento!H91*Descubrimiento!H$103+'Rentas SpA'!H90*'Rentas SpA'!H$102+'Pza Const'!H90*'Pza Const'!H$102+'Pza Arauc'!H90*'Pza Arauc'!H$102+RRetail!H90*RRetail!H$102+Bucarest!H90*Bucarest!H$102+Magdalena!H90*Magdalena!H$102+BFC!H90*BFC!H$102</f>
        <v>815898.17299999995</v>
      </c>
      <c r="I75" s="3">
        <f>+Descubrimiento!I84*Descubrimiento!I$103+'Rentas SpA'!I83*'Rentas SpA'!I$102+'Pza Const'!I83*'Pza Const'!I$102+'Pza Arauc'!I83*'Pza Arauc'!I$102+RRetail!I83*RRetail!I$102+Bucarest!I83*Bucarest!I$102+Magdalena!I83*Magdalena!I$102+BFC!I83*BFC!I$102+Descubrimiento!I81*Descubrimiento!I$103+'Rentas SpA'!I80*'Rentas SpA'!I$102+'Pza Const'!I80*'Pza Const'!I$102+'Pza Arauc'!I80*'Pza Arauc'!I$102+RRetail!I80*RRetail!I$102+Bucarest!I80*Bucarest!I$102+Magdalena!I80*Magdalena!I$102+BFC!I80*BFC!I$102+Descubrimiento!I83*Descubrimiento!I$103+'Rentas SpA'!I82*'Rentas SpA'!I$102+'Pza Const'!I82*'Pza Const'!I$102+'Pza Arauc'!I82*'Pza Arauc'!I$102+RRetail!I82*RRetail!I$102+Bucarest!I82*Bucarest!I$102+Magdalena!I82*Magdalena!I$102+BFC!I82*BFC!I$102+Descubrimiento!I89*Descubrimiento!I$103+'Rentas SpA'!I88*'Rentas SpA'!I$102+'Pza Const'!I88*'Pza Const'!I$102+'Pza Arauc'!I88*'Pza Arauc'!I$102+RRetail!I88*RRetail!I$102+Bucarest!I88*Bucarest!I$102+Magdalena!I88*Magdalena!I$102+BFC!I88*BFC!I$102+Descubrimiento!I91*Descubrimiento!I$103+'Rentas SpA'!I90*'Rentas SpA'!I$102+'Pza Const'!I90*'Pza Const'!I$102+'Pza Arauc'!I90*'Pza Arauc'!I$102+RRetail!I90*RRetail!I$102+Bucarest!I90*Bucarest!I$102+Magdalena!I90*Magdalena!I$102+BFC!I90*BFC!I$102</f>
        <v>1380922</v>
      </c>
      <c r="J75" s="3">
        <f>+Descubrimiento!J84*Descubrimiento!J$103+'Rentas SpA'!J83*'Rentas SpA'!J$102+'Pza Const'!J83*'Pza Const'!J$102+'Pza Arauc'!J83*'Pza Arauc'!J$102+RRetail!J83*RRetail!J$102+Bucarest!J83*Bucarest!J$102+Magdalena!J83*Magdalena!J$102+BFC!J83*BFC!J$102+Descubrimiento!J81*Descubrimiento!J$103+'Rentas SpA'!J80*'Rentas SpA'!J$102+'Pza Const'!J80*'Pza Const'!J$102+'Pza Arauc'!J80*'Pza Arauc'!J$102+RRetail!J80*RRetail!J$102+Bucarest!J80*Bucarest!J$102+Magdalena!J80*Magdalena!J$102+BFC!J80*BFC!J$102+Descubrimiento!J83*Descubrimiento!J$103+'Rentas SpA'!J82*'Rentas SpA'!J$102+'Pza Const'!J82*'Pza Const'!J$102+'Pza Arauc'!J82*'Pza Arauc'!J$102+RRetail!J82*RRetail!J$102+Bucarest!J82*Bucarest!J$102+Magdalena!J82*Magdalena!J$102+BFC!J82*BFC!J$102+Descubrimiento!J89*Descubrimiento!J$103+'Rentas SpA'!J88*'Rentas SpA'!J$102+'Pza Const'!J88*'Pza Const'!J$102+'Pza Arauc'!J88*'Pza Arauc'!J$102+RRetail!J88*RRetail!J$102+Bucarest!J88*Bucarest!J$102+Magdalena!J88*Magdalena!J$102+BFC!J88*BFC!J$102+Descubrimiento!J91*Descubrimiento!J$103+'Rentas SpA'!J90*'Rentas SpA'!J$102+'Pza Const'!J90*'Pza Const'!J$102+'Pza Arauc'!J90*'Pza Arauc'!J$102+RRetail!J90*RRetail!J$102+Bucarest!J90*Bucarest!J$102+Magdalena!J90*Magdalena!J$102+BFC!J90*BFC!J$102</f>
        <v>1637999</v>
      </c>
      <c r="K75" s="3">
        <f>+Descubrimiento!K84*Descubrimiento!K$103+'Rentas SpA'!K83*'Rentas SpA'!K$102+'Pza Const'!K83*'Pza Const'!K$102+'Pza Arauc'!K83*'Pza Arauc'!K$102+RRetail!K83*RRetail!K$102+Bucarest!K83*Bucarest!K$102+Magdalena!K83*Magdalena!K$102+BFC!K83*BFC!K$102+Descubrimiento!K81*Descubrimiento!K$103+'Rentas SpA'!K80*'Rentas SpA'!K$102+'Pza Const'!K80*'Pza Const'!K$102+'Pza Arauc'!K80*'Pza Arauc'!K$102+RRetail!K80*RRetail!K$102+Bucarest!K80*Bucarest!K$102+Magdalena!K80*Magdalena!K$102+BFC!K80*BFC!K$102+Descubrimiento!K83*Descubrimiento!K$103+'Rentas SpA'!K82*'Rentas SpA'!K$102+'Pza Const'!K82*'Pza Const'!K$102+'Pza Arauc'!K82*'Pza Arauc'!K$102+RRetail!K82*RRetail!K$102+Bucarest!K82*Bucarest!K$102+Magdalena!K82*Magdalena!K$102+BFC!K82*BFC!K$102+Descubrimiento!K89*Descubrimiento!K$103+'Rentas SpA'!K88*'Rentas SpA'!K$102+'Pza Const'!K88*'Pza Const'!K$102+'Pza Arauc'!K88*'Pza Arauc'!K$102+RRetail!K88*RRetail!K$102+Bucarest!K88*Bucarest!K$102+Magdalena!K88*Magdalena!K$102+BFC!K88*BFC!K$102+Descubrimiento!K91*Descubrimiento!K$103+'Rentas SpA'!K90*'Rentas SpA'!K$102+'Pza Const'!K90*'Pza Const'!K$102+'Pza Arauc'!K90*'Pza Arauc'!K$102+RRetail!K90*RRetail!K$102+Bucarest!K90*Bucarest!K$102+Magdalena!K90*Magdalena!K$102+BFC!K90*BFC!K$102</f>
        <v>380676</v>
      </c>
      <c r="L75" s="3">
        <f>+Descubrimiento!L84*Descubrimiento!L$103+'Rentas SpA'!L83*'Rentas SpA'!L$102+'Pza Const'!L83*'Pza Const'!L$102+'Pza Arauc'!L83*'Pza Arauc'!L$102+RRetail!L83*RRetail!L$102+Bucarest!L83*Bucarest!L$102+Magdalena!L83*Magdalena!L$102+BFC!L83*BFC!L$102+Descubrimiento!L81*Descubrimiento!L$103+'Rentas SpA'!L80*'Rentas SpA'!L$102+'Pza Const'!L80*'Pza Const'!L$102+'Pza Arauc'!L80*'Pza Arauc'!L$102+RRetail!L80*RRetail!L$102+Bucarest!L80*Bucarest!L$102+Magdalena!L80*Magdalena!L$102+BFC!L80*BFC!L$102+Descubrimiento!L83*Descubrimiento!L$103+'Rentas SpA'!L82*'Rentas SpA'!L$102+'Pza Const'!L82*'Pza Const'!L$102+'Pza Arauc'!L82*'Pza Arauc'!L$102+RRetail!L82*RRetail!L$102+Bucarest!L82*Bucarest!L$102+Magdalena!L82*Magdalena!L$102+BFC!L82*BFC!L$102+Descubrimiento!L89*Descubrimiento!L$103+'Rentas SpA'!L88*'Rentas SpA'!L$102+'Pza Const'!L88*'Pza Const'!L$102+'Pza Arauc'!L88*'Pza Arauc'!L$102+RRetail!L88*RRetail!L$102+Bucarest!L88*Bucarest!L$102+Magdalena!L88*Magdalena!L$102+BFC!L88*BFC!L$102+Descubrimiento!L91*Descubrimiento!L$103+'Rentas SpA'!L90*'Rentas SpA'!L$102+'Pza Const'!L90*'Pza Const'!L$102+'Pza Arauc'!L90*'Pza Arauc'!L$102+RRetail!L90*RRetail!L$102+Bucarest!L90*Bucarest!L$102+Magdalena!L90*Magdalena!L$102+BFC!L90*BFC!L$102</f>
        <v>716201</v>
      </c>
      <c r="M75" s="3">
        <f>+Descubrimiento!M84*Descubrimiento!M$103+'Rentas SpA'!M83*'Rentas SpA'!M$102+'Pza Const'!M83*'Pza Const'!M$102+'Pza Arauc'!M83*'Pza Arauc'!M$102+RRetail!M83*RRetail!M$102+Bucarest!M83*Bucarest!M$102+Magdalena!M83*Magdalena!M$102+BFC!M83*BFC!M$102+Descubrimiento!M81*Descubrimiento!M$103+'Rentas SpA'!M80*'Rentas SpA'!M$102+'Pza Const'!M80*'Pza Const'!M$102+'Pza Arauc'!M80*'Pza Arauc'!M$102+RRetail!M80*RRetail!M$102+Bucarest!M80*Bucarest!M$102+Magdalena!M80*Magdalena!M$102+BFC!M80*BFC!M$102+Descubrimiento!M83*Descubrimiento!M$103+'Rentas SpA'!M82*'Rentas SpA'!M$102+'Pza Const'!M82*'Pza Const'!M$102+'Pza Arauc'!M82*'Pza Arauc'!M$102+RRetail!M82*RRetail!M$102+Bucarest!M82*Bucarest!M$102+Magdalena!M82*Magdalena!M$102+BFC!M82*BFC!M$102+Descubrimiento!M89*Descubrimiento!M$103+'Rentas SpA'!M88*'Rentas SpA'!M$102+'Pza Const'!M88*'Pza Const'!M$102+'Pza Arauc'!M88*'Pza Arauc'!M$102+RRetail!M88*RRetail!M$102+Bucarest!M88*Bucarest!M$102+Magdalena!M88*Magdalena!M$102+BFC!M88*BFC!M$102+Descubrimiento!M91*Descubrimiento!M$103+'Rentas SpA'!M90*'Rentas SpA'!M$102+'Pza Const'!M90*'Pza Const'!M$102+'Pza Arauc'!M90*'Pza Arauc'!M$102+RRetail!M90*RRetail!M$102+Bucarest!M90*Bucarest!M$102+Magdalena!M90*Magdalena!M$102+BFC!M90*BFC!M$102</f>
        <v>1406231</v>
      </c>
      <c r="N75" s="3">
        <f>+Descubrimiento!N84*Descubrimiento!N$103+'Rentas SpA'!N83*'Rentas SpA'!N$102+'Pza Const'!N83*'Pza Const'!N$102+'Pza Arauc'!N83*'Pza Arauc'!N$102+RRetail!N83*RRetail!N$102+Bucarest!N83*Bucarest!N$102+Magdalena!N83*Magdalena!N$102+BFC!N83*BFC!N$102+Descubrimiento!N81*Descubrimiento!N$103+'Rentas SpA'!N80*'Rentas SpA'!N$102+'Pza Const'!N80*'Pza Const'!N$102+'Pza Arauc'!N80*'Pza Arauc'!N$102+RRetail!N80*RRetail!N$102+Bucarest!N80*Bucarest!N$102+Magdalena!N80*Magdalena!N$102+BFC!N80*BFC!N$102+Descubrimiento!N83*Descubrimiento!N$103+'Rentas SpA'!N82*'Rentas SpA'!N$102+'Pza Const'!N82*'Pza Const'!N$102+'Pza Arauc'!N82*'Pza Arauc'!N$102+RRetail!N82*RRetail!N$102+Bucarest!N82*Bucarest!N$102+Magdalena!N82*Magdalena!N$102+BFC!N82*BFC!N$102+Descubrimiento!N89*Descubrimiento!N$103+'Rentas SpA'!N88*'Rentas SpA'!N$102+'Pza Const'!N88*'Pza Const'!N$102+'Pza Arauc'!N88*'Pza Arauc'!N$102+RRetail!N88*RRetail!N$102+Bucarest!N88*Bucarest!N$102+Magdalena!N88*Magdalena!N$102+BFC!N88*BFC!N$102+Descubrimiento!N91*Descubrimiento!N$103+'Rentas SpA'!N90*'Rentas SpA'!N$102+'Pza Const'!N90*'Pza Const'!N$102+'Pza Arauc'!N90*'Pza Arauc'!N$102+RRetail!N90*RRetail!N$102+Bucarest!N90*Bucarest!N$102+Magdalena!N90*Magdalena!N$102+BFC!N90*BFC!N$102</f>
        <v>2922534.6000000006</v>
      </c>
      <c r="O75" s="3">
        <f>+Descubrimiento!O84*Descubrimiento!O$103+'Rentas SpA'!O83*'Rentas SpA'!O$102+'Pza Const'!O83*'Pza Const'!O$102+'Pza Arauc'!O83*'Pza Arauc'!O$102+RRetail!O83*RRetail!O$102+Bucarest!O83*Bucarest!O$102+Magdalena!O83*Magdalena!O$102+BFC!O83*BFC!O$102+Descubrimiento!O81*Descubrimiento!O$103+'Rentas SpA'!O80*'Rentas SpA'!O$102+'Pza Const'!O80*'Pza Const'!O$102+'Pza Arauc'!O80*'Pza Arauc'!O$102+RRetail!O80*RRetail!O$102+Bucarest!O80*Bucarest!O$102+Magdalena!O80*Magdalena!O$102+BFC!O80*BFC!O$102+Descubrimiento!O83*Descubrimiento!O$103+'Rentas SpA'!O82*'Rentas SpA'!O$102+'Pza Const'!O82*'Pza Const'!O$102+'Pza Arauc'!O82*'Pza Arauc'!O$102+RRetail!O82*RRetail!O$102+Bucarest!O82*Bucarest!O$102+Magdalena!O82*Magdalena!O$102+BFC!O82*BFC!O$102+Descubrimiento!O89*Descubrimiento!O$103+'Rentas SpA'!O88*'Rentas SpA'!O$102+'Pza Const'!O88*'Pza Const'!O$102+'Pza Arauc'!O88*'Pza Arauc'!O$102+RRetail!O88*RRetail!O$102+Bucarest!O88*Bucarest!O$102+Magdalena!O88*Magdalena!O$102+BFC!O88*BFC!O$102+Descubrimiento!O91*Descubrimiento!O$103+'Rentas SpA'!O90*'Rentas SpA'!O$102+'Pza Const'!O90*'Pza Const'!O$102+'Pza Arauc'!O90*'Pza Arauc'!O$102+RRetail!O90*RRetail!O$102+Bucarest!O90*Bucarest!O$102+Magdalena!O90*Magdalena!O$102+BFC!O90*BFC!O$102</f>
        <v>631155.20000000007</v>
      </c>
      <c r="P75" s="3">
        <f>+Descubrimiento!P84*Descubrimiento!P$103+'Rentas SpA'!P83*'Rentas SpA'!P$102+'Pza Const'!P83*'Pza Const'!P$102+'Pza Arauc'!P83*'Pza Arauc'!P$102+RRetail!P83*RRetail!P$102+Bucarest!P83*Bucarest!P$102+Magdalena!P83*Magdalena!P$102+BFC!P83*BFC!P$102+Descubrimiento!P81*Descubrimiento!P$103+'Rentas SpA'!P80*'Rentas SpA'!P$102+'Pza Const'!P80*'Pza Const'!P$102+'Pza Arauc'!P80*'Pza Arauc'!P$102+RRetail!P80*RRetail!P$102+Bucarest!P80*Bucarest!P$102+Magdalena!P80*Magdalena!P$102+BFC!P80*BFC!P$102+Descubrimiento!P83*Descubrimiento!P$103+'Rentas SpA'!P82*'Rentas SpA'!P$102+'Pza Const'!P82*'Pza Const'!P$102+'Pza Arauc'!P82*'Pza Arauc'!P$102+RRetail!P82*RRetail!P$102+Bucarest!P82*Bucarest!P$102+Magdalena!P82*Magdalena!P$102+BFC!P82*BFC!P$102+Descubrimiento!P89*Descubrimiento!P$103+'Rentas SpA'!P88*'Rentas SpA'!P$102+'Pza Const'!P88*'Pza Const'!P$102+'Pza Arauc'!P88*'Pza Arauc'!P$102+RRetail!P88*RRetail!P$102+Bucarest!P88*Bucarest!P$102+Magdalena!P88*Magdalena!P$102+BFC!P88*BFC!P$102+Descubrimiento!P91*Descubrimiento!P$103+'Rentas SpA'!P90*'Rentas SpA'!P$102+'Pza Const'!P90*'Pza Const'!P$102+'Pza Arauc'!P90*'Pza Arauc'!P$102+RRetail!P90*RRetail!P$102+Bucarest!P90*Bucarest!P$102+Magdalena!P90*Magdalena!P$102+BFC!P90*BFC!P$102</f>
        <v>955788.80000000005</v>
      </c>
      <c r="Q75" s="3">
        <f>+Descubrimiento!Q84*Descubrimiento!Q$103+'Rentas SpA'!Q83*'Rentas SpA'!Q$102+'Pza Const'!Q83*'Pza Const'!Q$102+'Pza Arauc'!Q83*'Pza Arauc'!Q$102+RRetail!Q83*RRetail!Q$102+Bucarest!Q83*Bucarest!Q$102+Magdalena!Q83*Magdalena!Q$102+BFC!Q83*BFC!Q$102+Descubrimiento!Q81*Descubrimiento!Q$103+'Rentas SpA'!Q80*'Rentas SpA'!Q$102+'Pza Const'!Q80*'Pza Const'!Q$102+'Pza Arauc'!Q80*'Pza Arauc'!Q$102+RRetail!Q80*RRetail!Q$102+Bucarest!Q80*Bucarest!Q$102+Magdalena!Q80*Magdalena!Q$102+BFC!Q80*BFC!Q$102+Descubrimiento!Q83*Descubrimiento!Q$103+'Rentas SpA'!Q82*'Rentas SpA'!Q$102+'Pza Const'!Q82*'Pza Const'!Q$102+'Pza Arauc'!Q82*'Pza Arauc'!Q$102+RRetail!Q82*RRetail!Q$102+Bucarest!Q82*Bucarest!Q$102+Magdalena!Q82*Magdalena!Q$102+BFC!Q82*BFC!Q$102+Descubrimiento!Q89*Descubrimiento!Q$103+'Rentas SpA'!Q88*'Rentas SpA'!Q$102+'Pza Const'!Q88*'Pza Const'!Q$102+'Pza Arauc'!Q88*'Pza Arauc'!Q$102+RRetail!Q88*RRetail!Q$102+Bucarest!Q88*Bucarest!Q$102+Magdalena!Q88*Magdalena!Q$102+BFC!Q88*BFC!Q$102+Descubrimiento!Q91*Descubrimiento!Q$103+'Rentas SpA'!Q90*'Rentas SpA'!Q$102+'Pza Const'!Q90*'Pza Const'!Q$102+'Pza Arauc'!Q90*'Pza Arauc'!Q$102+RRetail!Q90*RRetail!Q$102+Bucarest!Q90*Bucarest!Q$102+Magdalena!Q90*Magdalena!Q$102+BFC!Q90*BFC!Q$102</f>
        <v>1432193.4000000001</v>
      </c>
      <c r="R75" s="3">
        <f>+Descubrimiento!R84*Descubrimiento!R$103+'Rentas SpA'!R83*'Rentas SpA'!R$102+'Pza Const'!R83*'Pza Const'!R$102+'Pza Arauc'!R83*'Pza Arauc'!R$102+RRetail!R83*RRetail!R$102+Bucarest!R83*Bucarest!R$102+Magdalena!R83*Magdalena!R$102+BFC!R83*BFC!R$102+Descubrimiento!R81*Descubrimiento!R$103+'Rentas SpA'!R80*'Rentas SpA'!R$102+'Pza Const'!R80*'Pza Const'!R$102+'Pza Arauc'!R80*'Pza Arauc'!R$102+RRetail!R80*RRetail!R$102+Bucarest!R80*Bucarest!R$102+Magdalena!R80*Magdalena!R$102+BFC!R80*BFC!R$102+Descubrimiento!R83*Descubrimiento!R$103+'Rentas SpA'!R82*'Rentas SpA'!R$102+'Pza Const'!R82*'Pza Const'!R$102+'Pza Arauc'!R82*'Pza Arauc'!R$102+RRetail!R82*RRetail!R$102+Bucarest!R82*Bucarest!R$102+Magdalena!R82*Magdalena!R$102+BFC!R82*BFC!R$102+Descubrimiento!R89*Descubrimiento!R$103+'Rentas SpA'!R88*'Rentas SpA'!R$102+'Pza Const'!R88*'Pza Const'!R$102+'Pza Arauc'!R88*'Pza Arauc'!R$102+RRetail!R88*RRetail!R$102+Bucarest!R88*Bucarest!R$102+Magdalena!R88*Magdalena!R$102+BFC!R88*BFC!R$102+Descubrimiento!R91*Descubrimiento!R$103+'Rentas SpA'!R90*'Rentas SpA'!R$102+'Pza Const'!R90*'Pza Const'!R$102+'Pza Arauc'!R90*'Pza Arauc'!R$102+RRetail!R90*RRetail!R$102+Bucarest!R90*Bucarest!R$102+Magdalena!R90*Magdalena!R$102+BFC!R90*BFC!R$102</f>
        <v>2976459.2</v>
      </c>
      <c r="S75" s="3">
        <f>+Descubrimiento!S84*Descubrimiento!S$103+'Rentas SpA'!S83*'Rentas SpA'!S$102+'Pza Const'!S83*'Pza Const'!S$102+'Pza Arauc'!S83*'Pza Arauc'!S$102+RRetail!S83*RRetail!S$102+Bucarest!S83*Bucarest!S$102+Magdalena!S83*Magdalena!S$102+BFC!S83*BFC!S$102+Descubrimiento!S81*Descubrimiento!S$103+'Rentas SpA'!S80*'Rentas SpA'!S$102+'Pza Const'!S80*'Pza Const'!S$102+'Pza Arauc'!S80*'Pza Arauc'!S$102+RRetail!S80*RRetail!S$102+Bucarest!S80*Bucarest!S$102+Magdalena!S80*Magdalena!S$102+BFC!S80*BFC!S$102+Descubrimiento!S83*Descubrimiento!S$103+'Rentas SpA'!S82*'Rentas SpA'!S$102+'Pza Const'!S82*'Pza Const'!S$102+'Pza Arauc'!S82*'Pza Arauc'!S$102+RRetail!S82*RRetail!S$102+Bucarest!S82*Bucarest!S$102+Magdalena!S82*Magdalena!S$102+BFC!S82*BFC!S$102+Descubrimiento!S89*Descubrimiento!S$103+'Rentas SpA'!S88*'Rentas SpA'!S$102+'Pza Const'!S88*'Pza Const'!S$102+'Pza Arauc'!S88*'Pza Arauc'!S$102+RRetail!S88*RRetail!S$102+Bucarest!S88*Bucarest!S$102+Magdalena!S88*Magdalena!S$102+BFC!S88*BFC!S$102+Descubrimiento!S91*Descubrimiento!S$103+'Rentas SpA'!S90*'Rentas SpA'!S$102+'Pza Const'!S90*'Pza Const'!S$102+'Pza Arauc'!S90*'Pza Arauc'!S$102+RRetail!S90*RRetail!S$102+Bucarest!S90*Bucarest!S$102+Magdalena!S90*Magdalena!S$102+BFC!S90*BFC!S$102</f>
        <v>359873.60000000003</v>
      </c>
      <c r="T75" s="3">
        <f>+Descubrimiento!T84*Descubrimiento!T$103+'Rentas SpA'!T83*'Rentas SpA'!T$102+'Pza Const'!T83*'Pza Const'!T$102+'Pza Arauc'!T83*'Pza Arauc'!T$102+RRetail!T83*RRetail!T$102+Bucarest!T83*Bucarest!T$102+Magdalena!T83*Magdalena!T$102+BFC!T83*BFC!T$102+Descubrimiento!T81*Descubrimiento!T$103+'Rentas SpA'!T80*'Rentas SpA'!T$102+'Pza Const'!T80*'Pza Const'!T$102+'Pza Arauc'!T80*'Pza Arauc'!T$102+RRetail!T80*RRetail!T$102+Bucarest!T80*Bucarest!T$102+Magdalena!T80*Magdalena!T$102+BFC!T80*BFC!T$102+Descubrimiento!T83*Descubrimiento!T$103+'Rentas SpA'!T82*'Rentas SpA'!T$102+'Pza Const'!T82*'Pza Const'!T$102+'Pza Arauc'!T82*'Pza Arauc'!T$102+RRetail!T82*RRetail!T$102+Bucarest!T82*Bucarest!T$102+Magdalena!T82*Magdalena!T$102+BFC!T82*BFC!T$102+Descubrimiento!T89*Descubrimiento!T$103+'Rentas SpA'!T88*'Rentas SpA'!T$102+'Pza Const'!T88*'Pza Const'!T$102+'Pza Arauc'!T88*'Pza Arauc'!T$102+RRetail!T88*RRetail!T$102+Bucarest!T88*Bucarest!T$102+Magdalena!T88*Magdalena!T$102+BFC!T88*BFC!T$102+Descubrimiento!T91*Descubrimiento!T$103+'Rentas SpA'!T90*'Rentas SpA'!T$102+'Pza Const'!T90*'Pza Const'!T$102+'Pza Arauc'!T90*'Pza Arauc'!T$102+RRetail!T90*RRetail!T$102+Bucarest!T90*Bucarest!T$102+Magdalena!T90*Magdalena!T$102+BFC!T90*BFC!T$102</f>
        <v>1621168.2</v>
      </c>
      <c r="U75" s="3">
        <f>+Descubrimiento!U84*Descubrimiento!U$103+'Rentas SpA'!U83*'Rentas SpA'!U$102+'Pza Const'!U83*'Pza Const'!U$102+'Pza Arauc'!U83*'Pza Arauc'!U$102+RRetail!U83*RRetail!U$102+Bucarest!U83*Bucarest!U$102+Magdalena!U83*Magdalena!U$102+BFC!U83*BFC!U$102+Descubrimiento!U81*Descubrimiento!U$103+'Rentas SpA'!U80*'Rentas SpA'!U$102+'Pza Const'!U80*'Pza Const'!U$102+'Pza Arauc'!U80*'Pza Arauc'!U$102+RRetail!U80*RRetail!U$102+Bucarest!U80*Bucarest!U$102+Magdalena!U80*Magdalena!U$102+BFC!U80*BFC!U$102+Descubrimiento!U83*Descubrimiento!U$103+'Rentas SpA'!U82*'Rentas SpA'!U$102+'Pza Const'!U82*'Pza Const'!U$102+'Pza Arauc'!U82*'Pza Arauc'!U$102+RRetail!U82*RRetail!U$102+Bucarest!U82*Bucarest!U$102+Magdalena!U82*Magdalena!U$102+BFC!U82*BFC!U$102+Descubrimiento!U89*Descubrimiento!U$103+'Rentas SpA'!U88*'Rentas SpA'!U$102+'Pza Const'!U88*'Pza Const'!U$102+'Pza Arauc'!U88*'Pza Arauc'!U$102+RRetail!U88*RRetail!U$102+Bucarest!U88*Bucarest!U$102+Magdalena!U88*Magdalena!U$102+BFC!U88*BFC!U$102+Descubrimiento!U91*Descubrimiento!U$103+'Rentas SpA'!U90*'Rentas SpA'!U$102+'Pza Const'!U90*'Pza Const'!U$102+'Pza Arauc'!U90*'Pza Arauc'!U$102+RRetail!U90*RRetail!U$102+Bucarest!U90*Bucarest!U$102+Magdalena!U90*Magdalena!U$102+BFC!U90*BFC!U$102</f>
        <v>2806026.4129999997</v>
      </c>
      <c r="V75" s="3">
        <f>+Descubrimiento!V84*Descubrimiento!V$103+'Rentas SpA'!V83*'Rentas SpA'!V$102+'Pza Const'!V83*'Pza Const'!V$102+'Pza Arauc'!V83*'Pza Arauc'!V$102+RRetail!V83*RRetail!V$102+Bucarest!V83*Bucarest!V$102+Magdalena!V83*Magdalena!V$102+BFC!V83*BFC!V$102+Descubrimiento!V81*Descubrimiento!V$103+'Rentas SpA'!V80*'Rentas SpA'!V$102+'Pza Const'!V80*'Pza Const'!V$102+'Pza Arauc'!V80*'Pza Arauc'!V$102+RRetail!V80*RRetail!V$102+Bucarest!V80*Bucarest!V$102+Magdalena!V80*Magdalena!V$102+BFC!V80*BFC!V$102+Descubrimiento!V83*Descubrimiento!V$103+'Rentas SpA'!V82*'Rentas SpA'!V$102+'Pza Const'!V82*'Pza Const'!V$102+'Pza Arauc'!V82*'Pza Arauc'!V$102+RRetail!V82*RRetail!V$102+Bucarest!V82*Bucarest!V$102+Magdalena!V82*Magdalena!V$102+BFC!V82*BFC!V$102+Descubrimiento!V89*Descubrimiento!V$103+'Rentas SpA'!V88*'Rentas SpA'!V$102+'Pza Const'!V88*'Pza Const'!V$102+'Pza Arauc'!V88*'Pza Arauc'!V$102+RRetail!V88*RRetail!V$102+Bucarest!V88*Bucarest!V$102+Magdalena!V88*Magdalena!V$102+BFC!V88*BFC!V$102+Descubrimiento!V91*Descubrimiento!V$103+'Rentas SpA'!V90*'Rentas SpA'!V$102+'Pza Const'!V90*'Pza Const'!V$102+'Pza Arauc'!V90*'Pza Arauc'!V$102+RRetail!V90*RRetail!V$102+Bucarest!V90*Bucarest!V$102+Magdalena!V90*Magdalena!V$102+BFC!V90*BFC!V$102</f>
        <v>4802027.6999999993</v>
      </c>
      <c r="W75" s="3">
        <f>+Descubrimiento!W84*Descubrimiento!W$103+'Rentas SpA'!W83*'Rentas SpA'!W$102+'Pza Const'!W83*'Pza Const'!W$102+'Pza Arauc'!W83*'Pza Arauc'!W$102+RRetail!W83*RRetail!W$102+Bucarest!W83*Bucarest!W$102+Magdalena!W83*Magdalena!W$102+BFC!W83*BFC!W$102+Descubrimiento!W81*Descubrimiento!W$103+'Rentas SpA'!W80*'Rentas SpA'!W$102+'Pza Const'!W80*'Pza Const'!W$102+'Pza Arauc'!W80*'Pza Arauc'!W$102+RRetail!W80*RRetail!W$102+Bucarest!W80*Bucarest!W$102+Magdalena!W80*Magdalena!W$102+BFC!W80*BFC!W$102+Descubrimiento!W83*Descubrimiento!W$103+'Rentas SpA'!W82*'Rentas SpA'!W$102+'Pza Const'!W82*'Pza Const'!W$102+'Pza Arauc'!W82*'Pza Arauc'!W$102+RRetail!W82*RRetail!W$102+Bucarest!W82*Bucarest!W$102+Magdalena!W82*Magdalena!W$102+BFC!W82*BFC!W$102+Descubrimiento!W89*Descubrimiento!W$103+'Rentas SpA'!W88*'Rentas SpA'!W$102+'Pza Const'!W88*'Pza Const'!W$102+'Pza Arauc'!W88*'Pza Arauc'!W$102+RRetail!W88*RRetail!W$102+Bucarest!W88*Bucarest!W$102+Magdalena!W88*Magdalena!W$102+BFC!W88*BFC!W$102+Descubrimiento!W91*Descubrimiento!W$103+'Rentas SpA'!W90*'Rentas SpA'!W$102+'Pza Const'!W90*'Pza Const'!W$102+'Pza Arauc'!W90*'Pza Arauc'!W$102+RRetail!W90*RRetail!W$102+Bucarest!W90*Bucarest!W$102+Magdalena!W90*Magdalena!W$102+BFC!W90*BFC!W$102</f>
        <v>1387043.8</v>
      </c>
      <c r="X75" s="3">
        <f>+Descubrimiento!X84*Descubrimiento!X$103+'Rentas SpA'!X83*'Rentas SpA'!X$102+'Pza Const'!X83*'Pza Const'!X$102+'Pza Arauc'!X83*'Pza Arauc'!X$102+RRetail!X83*RRetail!X$102+Bucarest!X83*Bucarest!X$102+Magdalena!X83*Magdalena!X$102+BFC!X83*BFC!X$102+Descubrimiento!X81*Descubrimiento!X$103+'Rentas SpA'!X80*'Rentas SpA'!X$102+'Pza Const'!X80*'Pza Const'!X$102+'Pza Arauc'!X80*'Pza Arauc'!X$102+RRetail!X80*RRetail!X$102+Bucarest!X80*Bucarest!X$102+Magdalena!X80*Magdalena!X$102+BFC!X80*BFC!X$102+Descubrimiento!X83*Descubrimiento!X$103+'Rentas SpA'!X82*'Rentas SpA'!X$102+'Pza Const'!X82*'Pza Const'!X$102+'Pza Arauc'!X82*'Pza Arauc'!X$102+RRetail!X82*RRetail!X$102+Bucarest!X82*Bucarest!X$102+Magdalena!X82*Magdalena!X$102+BFC!X82*BFC!X$102+Descubrimiento!X89*Descubrimiento!X$103+'Rentas SpA'!X88*'Rentas SpA'!X$102+'Pza Const'!X88*'Pza Const'!X$102+'Pza Arauc'!X88*'Pza Arauc'!X$102+RRetail!X88*RRetail!X$102+Bucarest!X88*Bucarest!X$102+Magdalena!X88*Magdalena!X$102+BFC!X88*BFC!X$102+Descubrimiento!X91*Descubrimiento!X$103+'Rentas SpA'!X90*'Rentas SpA'!X$102+'Pza Const'!X90*'Pza Const'!X$102+'Pza Arauc'!X90*'Pza Arauc'!X$102+RRetail!X90*RRetail!X$102+Bucarest!X90*Bucarest!X$102+Magdalena!X90*Magdalena!X$102+BFC!X90*BFC!X$102</f>
        <v>3443109.4000000004</v>
      </c>
      <c r="Y75" s="3">
        <f>+Descubrimiento!Y84*Descubrimiento!Y$103+'Rentas SpA'!Y83*'Rentas SpA'!Y$102+'Pza Const'!Y83*'Pza Const'!Y$102+'Pza Arauc'!Y83*'Pza Arauc'!Y$102+RRetail!Y83*RRetail!Y$102+Bucarest!Y83*Bucarest!Y$102+Magdalena!Y83*Magdalena!Y$102+BFC!Y83*BFC!Y$102+Descubrimiento!Y81*Descubrimiento!Y$103+'Rentas SpA'!Y80*'Rentas SpA'!Y$102+'Pza Const'!Y80*'Pza Const'!Y$102+'Pza Arauc'!Y80*'Pza Arauc'!Y$102+RRetail!Y80*RRetail!Y$102+Bucarest!Y80*Bucarest!Y$102+Magdalena!Y80*Magdalena!Y$102+BFC!Y80*BFC!Y$102+Descubrimiento!Y83*Descubrimiento!Y$103+'Rentas SpA'!Y82*'Rentas SpA'!Y$102+'Pza Const'!Y82*'Pza Const'!Y$102+'Pza Arauc'!Y82*'Pza Arauc'!Y$102+RRetail!Y82*RRetail!Y$102+Bucarest!Y82*Bucarest!Y$102+Magdalena!Y82*Magdalena!Y$102+BFC!Y82*BFC!Y$102+Descubrimiento!Y89*Descubrimiento!Y$103+'Rentas SpA'!Y88*'Rentas SpA'!Y$102+'Pza Const'!Y88*'Pza Const'!Y$102+'Pza Arauc'!Y88*'Pza Arauc'!Y$102+RRetail!Y88*RRetail!Y$102+Bucarest!Y88*Bucarest!Y$102+Magdalena!Y88*Magdalena!Y$102+BFC!Y88*BFC!Y$102+Descubrimiento!Y91*Descubrimiento!Y$103+'Rentas SpA'!Y90*'Rentas SpA'!Y$102+'Pza Const'!Y90*'Pza Const'!Y$102+'Pza Arauc'!Y90*'Pza Arauc'!Y$102+RRetail!Y90*RRetail!Y$102+Bucarest!Y90*Bucarest!Y$102+Magdalena!Y90*Magdalena!Y$102+BFC!Y90*BFC!Y$102</f>
        <v>5440911.7000000002</v>
      </c>
      <c r="Z75" s="3">
        <f>+Descubrimiento!Z84*Descubrimiento!Z$103+'Rentas SpA'!Z83*'Rentas SpA'!Z$102+'Pza Const'!Z83*'Pza Const'!Z$102+'Pza Arauc'!Z83*'Pza Arauc'!Z$102+RRetail!Z83*RRetail!Z$102+Bucarest!Z83*Bucarest!Z$102+Magdalena!Z83*Magdalena!Z$102+BFC!Z83*BFC!Z$102+Descubrimiento!Z81*Descubrimiento!Z$103+'Rentas SpA'!Z80*'Rentas SpA'!Z$102+'Pza Const'!Z80*'Pza Const'!Z$102+'Pza Arauc'!Z80*'Pza Arauc'!Z$102+RRetail!Z80*RRetail!Z$102+Bucarest!Z80*Bucarest!Z$102+Magdalena!Z80*Magdalena!Z$102+BFC!Z80*BFC!Z$102+Descubrimiento!Z83*Descubrimiento!Z$103+'Rentas SpA'!Z82*'Rentas SpA'!Z$102+'Pza Const'!Z82*'Pza Const'!Z$102+'Pza Arauc'!Z82*'Pza Arauc'!Z$102+RRetail!Z82*RRetail!Z$102+Bucarest!Z82*Bucarest!Z$102+Magdalena!Z82*Magdalena!Z$102+BFC!Z82*BFC!Z$102+Descubrimiento!Z89*Descubrimiento!Z$103+'Rentas SpA'!Z88*'Rentas SpA'!Z$102+'Pza Const'!Z88*'Pza Const'!Z$102+'Pza Arauc'!Z88*'Pza Arauc'!Z$102+RRetail!Z88*RRetail!Z$102+Bucarest!Z88*Bucarest!Z$102+Magdalena!Z88*Magdalena!Z$102+BFC!Z88*BFC!Z$102+Descubrimiento!Z91*Descubrimiento!Z$103+'Rentas SpA'!Z90*'Rentas SpA'!Z$102+'Pza Const'!Z90*'Pza Const'!Z$102+'Pza Arauc'!Z90*'Pza Arauc'!Z$102+RRetail!Z90*RRetail!Z$102+Bucarest!Z90*Bucarest!Z$102+Magdalena!Z90*Magdalena!Z$102+BFC!Z90*BFC!Z$102</f>
        <v>5415700.5999999987</v>
      </c>
      <c r="AA75" s="3">
        <f>+Descubrimiento!AA84*Descubrimiento!AA$103+'Rentas SpA'!AA83*'Rentas SpA'!AA$102+'Pza Const'!AA83*'Pza Const'!AA$102+'Pza Arauc'!AA83*'Pza Arauc'!AA$102+RRetail!AA83*RRetail!AA$102+Bucarest!AA83*Bucarest!AA$102+Magdalena!AA83*Magdalena!AA$102+BFC!AA83*BFC!AA$102+Descubrimiento!AA81*Descubrimiento!AA$103+'Rentas SpA'!AA80*'Rentas SpA'!AA$102+'Pza Const'!AA80*'Pza Const'!AA$102+'Pza Arauc'!AA80*'Pza Arauc'!AA$102+RRetail!AA80*RRetail!AA$102+Bucarest!AA80*Bucarest!AA$102+Magdalena!AA80*Magdalena!AA$102+BFC!AA80*BFC!AA$102+Descubrimiento!AA83*Descubrimiento!AA$103+'Rentas SpA'!AA82*'Rentas SpA'!AA$102+'Pza Const'!AA82*'Pza Const'!AA$102+'Pza Arauc'!AA82*'Pza Arauc'!AA$102+RRetail!AA82*RRetail!AA$102+Bucarest!AA82*Bucarest!AA$102+Magdalena!AA82*Magdalena!AA$102+BFC!AA82*BFC!AA$102+Descubrimiento!AA89*Descubrimiento!AA$103+'Rentas SpA'!AA88*'Rentas SpA'!AA$102+'Pza Const'!AA88*'Pza Const'!AA$102+'Pza Arauc'!AA88*'Pza Arauc'!AA$102+RRetail!AA88*RRetail!AA$102+Bucarest!AA88*Bucarest!AA$102+Magdalena!AA88*Magdalena!AA$102+BFC!AA88*BFC!AA$102+Descubrimiento!AA91*Descubrimiento!AA$103+'Rentas SpA'!AA90*'Rentas SpA'!AA$102+'Pza Const'!AA90*'Pza Const'!AA$102+'Pza Arauc'!AA90*'Pza Arauc'!AA$102+RRetail!AA90*RRetail!AA$102+Bucarest!AA90*Bucarest!AA$102+Magdalena!AA90*Magdalena!AA$102+BFC!AA90*BFC!AA$102</f>
        <v>1001573.5</v>
      </c>
      <c r="AB75" s="3">
        <f>+Descubrimiento!AB84*Descubrimiento!AB$103+'Rentas SpA'!AB83*'Rentas SpA'!AB$102+'Pza Const'!AB83*'Pza Const'!AB$102+'Pza Arauc'!AB83*'Pza Arauc'!AB$102+RRetail!AB83*RRetail!AB$102+Bucarest!AB83*Bucarest!AB$102+Magdalena!AB83*Magdalena!AB$102+BFC!AB83*BFC!AB$102+Descubrimiento!AB81*Descubrimiento!AB$103+'Rentas SpA'!AB80*'Rentas SpA'!AB$102+'Pza Const'!AB80*'Pza Const'!AB$102+'Pza Arauc'!AB80*'Pza Arauc'!AB$102+RRetail!AB80*RRetail!AB$102+Bucarest!AB80*Bucarest!AB$102+Magdalena!AB80*Magdalena!AB$102+BFC!AB80*BFC!AB$102+Descubrimiento!AB83*Descubrimiento!AB$103+'Rentas SpA'!AB82*'Rentas SpA'!AB$102+'Pza Const'!AB82*'Pza Const'!AB$102+'Pza Arauc'!AB82*'Pza Arauc'!AB$102+RRetail!AB82*RRetail!AB$102+Bucarest!AB82*Bucarest!AB$102+Magdalena!AB82*Magdalena!AB$102+BFC!AB82*BFC!AB$102+Descubrimiento!AB89*Descubrimiento!AB$103+'Rentas SpA'!AB88*'Rentas SpA'!AB$102+'Pza Const'!AB88*'Pza Const'!AB$102+'Pza Arauc'!AB88*'Pza Arauc'!AB$102+RRetail!AB88*RRetail!AB$102+Bucarest!AB88*Bucarest!AB$102+Magdalena!AB88*Magdalena!AB$102+BFC!AB88*BFC!AB$102+Descubrimiento!AB91*Descubrimiento!AB$103+'Rentas SpA'!AB90*'Rentas SpA'!AB$102+'Pza Const'!AB90*'Pza Const'!AB$102+'Pza Arauc'!AB90*'Pza Arauc'!AB$102+RRetail!AB90*RRetail!AB$102+Bucarest!AB90*Bucarest!AB$102+Magdalena!AB90*Magdalena!AB$102+BFC!AB90*BFC!AB$102</f>
        <v>2087077.9999999998</v>
      </c>
      <c r="AC75" s="3">
        <f>+Descubrimiento!AC84*Descubrimiento!AC$103+'Rentas SpA'!AC83*'Rentas SpA'!AC$102+'Pza Const'!AC83*'Pza Const'!AC$102+'Pza Arauc'!AC83*'Pza Arauc'!AC$102+RRetail!AC83*RRetail!AC$102+Bucarest!AC83*Bucarest!AC$102+Magdalena!AC83*Magdalena!AC$102+BFC!AC83*BFC!AC$102+Descubrimiento!AC81*Descubrimiento!AC$103+'Rentas SpA'!AC80*'Rentas SpA'!AC$102+'Pza Const'!AC80*'Pza Const'!AC$102+'Pza Arauc'!AC80*'Pza Arauc'!AC$102+RRetail!AC80*RRetail!AC$102+Bucarest!AC80*Bucarest!AC$102+Magdalena!AC80*Magdalena!AC$102+BFC!AC80*BFC!AC$102+Descubrimiento!AC83*Descubrimiento!AC$103+'Rentas SpA'!AC82*'Rentas SpA'!AC$102+'Pza Const'!AC82*'Pza Const'!AC$102+'Pza Arauc'!AC82*'Pza Arauc'!AC$102+RRetail!AC82*RRetail!AC$102+Bucarest!AC82*Bucarest!AC$102+Magdalena!AC82*Magdalena!AC$102+BFC!AC82*BFC!AC$102+Descubrimiento!AC89*Descubrimiento!AC$103+'Rentas SpA'!AC88*'Rentas SpA'!AC$102+'Pza Const'!AC88*'Pza Const'!AC$102+'Pza Arauc'!AC88*'Pza Arauc'!AC$102+RRetail!AC88*RRetail!AC$102+Bucarest!AC88*Bucarest!AC$102+Magdalena!AC88*Magdalena!AC$102+BFC!AC88*BFC!AC$102+Descubrimiento!AC91*Descubrimiento!AC$103+'Rentas SpA'!AC90*'Rentas SpA'!AC$102+'Pza Const'!AC90*'Pza Const'!AC$102+'Pza Arauc'!AC90*'Pza Arauc'!AC$102+RRetail!AC90*RRetail!AC$102+Bucarest!AC90*Bucarest!AC$102+Magdalena!AC90*Magdalena!AC$102+BFC!AC90*BFC!AC$102</f>
        <v>1602504.7999999998</v>
      </c>
      <c r="AD75" s="3">
        <f>+Descubrimiento!AD84*Descubrimiento!AD$103+'Rentas SpA'!AD83*'Rentas SpA'!AD$102+'Pza Const'!AD83*'Pza Const'!AD$102+'Pza Arauc'!AD83*'Pza Arauc'!AD$102+RRetail!AD83*RRetail!AD$102+Bucarest!AD83*Bucarest!AD$102+Magdalena!AD83*Magdalena!AD$102+BFC!AD83*BFC!AD$102+Descubrimiento!AD81*Descubrimiento!AD$103+'Rentas SpA'!AD80*'Rentas SpA'!AD$102+'Pza Const'!AD80*'Pza Const'!AD$102+'Pza Arauc'!AD80*'Pza Arauc'!AD$102+RRetail!AD80*RRetail!AD$102+Bucarest!AD80*Bucarest!AD$102+Magdalena!AD80*Magdalena!AD$102+BFC!AD80*BFC!AD$102+Descubrimiento!AD83*Descubrimiento!AD$103+'Rentas SpA'!AD82*'Rentas SpA'!AD$102+'Pza Const'!AD82*'Pza Const'!AD$102+'Pza Arauc'!AD82*'Pza Arauc'!AD$102+RRetail!AD82*RRetail!AD$102+Bucarest!AD82*Bucarest!AD$102+Magdalena!AD82*Magdalena!AD$102+BFC!AD82*BFC!AD$102+Descubrimiento!AD89*Descubrimiento!AD$103+'Rentas SpA'!AD88*'Rentas SpA'!AD$102+'Pza Const'!AD88*'Pza Const'!AD$102+'Pza Arauc'!AD88*'Pza Arauc'!AD$102+RRetail!AD88*RRetail!AD$102+Bucarest!AD88*Bucarest!AD$102+Magdalena!AD88*Magdalena!AD$102+BFC!AD88*BFC!AD$102+Descubrimiento!AD91*Descubrimiento!AD$103+'Rentas SpA'!AD90*'Rentas SpA'!AD$102+'Pza Const'!AD90*'Pza Const'!AD$102+'Pza Arauc'!AD90*'Pza Arauc'!AD$102+RRetail!AD90*RRetail!AD$102+Bucarest!AD90*Bucarest!AD$102+Magdalena!AD90*Magdalena!AD$102+BFC!AD90*BFC!AD$102</f>
        <v>4967203.7999999989</v>
      </c>
      <c r="AE75" s="3">
        <f>+Descubrimiento!AE84*Descubrimiento!AE$103+'Rentas SpA'!AE83*'Rentas SpA'!AE$102+'Pza Const'!AE83*'Pza Const'!AE$102+'Pza Arauc'!AE83*'Pza Arauc'!AE$102+RRetail!AE83*RRetail!AE$102+Bucarest!AE83*Bucarest!AE$102+Magdalena!AE83*Magdalena!AE$102+BFC!AE83*BFC!AE$102+Descubrimiento!AE81*Descubrimiento!AE$103+'Rentas SpA'!AE80*'Rentas SpA'!AE$102+'Pza Const'!AE80*'Pza Const'!AE$102+'Pza Arauc'!AE80*'Pza Arauc'!AE$102+RRetail!AE80*RRetail!AE$102+Bucarest!AE80*Bucarest!AE$102+Magdalena!AE80*Magdalena!AE$102+BFC!AE80*BFC!AE$102+Descubrimiento!AE83*Descubrimiento!AE$103+'Rentas SpA'!AE82*'Rentas SpA'!AE$102+'Pza Const'!AE82*'Pza Const'!AE$102+'Pza Arauc'!AE82*'Pza Arauc'!AE$102+RRetail!AE82*RRetail!AE$102+Bucarest!AE82*Bucarest!AE$102+Magdalena!AE82*Magdalena!AE$102+BFC!AE82*BFC!AE$102+Descubrimiento!AE89*Descubrimiento!AE$103+'Rentas SpA'!AE88*'Rentas SpA'!AE$102+'Pza Const'!AE88*'Pza Const'!AE$102+'Pza Arauc'!AE88*'Pza Arauc'!AE$102+RRetail!AE88*RRetail!AE$102+Bucarest!AE88*Bucarest!AE$102+Magdalena!AE88*Magdalena!AE$102+BFC!AE88*BFC!AE$102+Descubrimiento!AE91*Descubrimiento!AE$103+'Rentas SpA'!AE90*'Rentas SpA'!AE$102+'Pza Const'!AE90*'Pza Const'!AE$102+'Pza Arauc'!AE90*'Pza Arauc'!AE$102+RRetail!AE90*RRetail!AE$102+Bucarest!AE90*Bucarest!AE$102+Magdalena!AE90*Magdalena!AE$102+BFC!AE90*BFC!AE$102</f>
        <v>553941.6</v>
      </c>
      <c r="AF75" s="3">
        <f>+Descubrimiento!AF84*Descubrimiento!AF$103+'Rentas SpA'!AF83*'Rentas SpA'!AF$102+'Pza Const'!AF83*'Pza Const'!AF$102+'Pza Arauc'!AF83*'Pza Arauc'!AF$102+RRetail!AF83*RRetail!AF$102+Bucarest!AF83*Bucarest!AF$102+Magdalena!AF83*Magdalena!AF$102+BFC!AF83*BFC!AF$102+Descubrimiento!AF81*Descubrimiento!AF$103+'Rentas SpA'!AF80*'Rentas SpA'!AF$102+'Pza Const'!AF80*'Pza Const'!AF$102+'Pza Arauc'!AF80*'Pza Arauc'!AF$102+RRetail!AF80*RRetail!AF$102+Bucarest!AF80*Bucarest!AF$102+Magdalena!AF80*Magdalena!AF$102+BFC!AF80*BFC!AF$102+Descubrimiento!AF83*Descubrimiento!AF$103+'Rentas SpA'!AF82*'Rentas SpA'!AF$102+'Pza Const'!AF82*'Pza Const'!AF$102+'Pza Arauc'!AF82*'Pza Arauc'!AF$102+RRetail!AF82*RRetail!AF$102+Bucarest!AF82*Bucarest!AF$102+Magdalena!AF82*Magdalena!AF$102+BFC!AF82*BFC!AF$102+Descubrimiento!AF89*Descubrimiento!AF$103+'Rentas SpA'!AF88*'Rentas SpA'!AF$102+'Pza Const'!AF88*'Pza Const'!AF$102+'Pza Arauc'!AF88*'Pza Arauc'!AF$102+RRetail!AF88*RRetail!AF$102+Bucarest!AF88*Bucarest!AF$102+Magdalena!AF88*Magdalena!AF$102+BFC!AF88*BFC!AF$102+Descubrimiento!AF91*Descubrimiento!AF$103+'Rentas SpA'!AF90*'Rentas SpA'!AF$102+'Pza Const'!AF90*'Pza Const'!AF$102+'Pza Arauc'!AF90*'Pza Arauc'!AF$102+RRetail!AF90*RRetail!AF$102+Bucarest!AF90*Bucarest!AF$102+Magdalena!AF90*Magdalena!AF$102+BFC!AF90*BFC!AF$102</f>
        <v>1566122.2</v>
      </c>
      <c r="AG75" s="3">
        <f>+Descubrimiento!AG84*Descubrimiento!AG$103+'Rentas SpA'!AG83*'Rentas SpA'!AG$102+'Pza Const'!AG83*'Pza Const'!AG$102+'Pza Arauc'!AG83*'Pza Arauc'!AG$102+RRetail!AG83*RRetail!AG$102+Bucarest!AG83*Bucarest!AG$102+Magdalena!AG83*Magdalena!AG$102+BFC!AG83*BFC!AG$102+Descubrimiento!AG81*Descubrimiento!AG$103+'Rentas SpA'!AG80*'Rentas SpA'!AG$102+'Pza Const'!AG80*'Pza Const'!AG$102+'Pza Arauc'!AG80*'Pza Arauc'!AG$102+RRetail!AG80*RRetail!AG$102+Bucarest!AG80*Bucarest!AG$102+Magdalena!AG80*Magdalena!AG$102+BFC!AG80*BFC!AG$102+Descubrimiento!AG83*Descubrimiento!AG$103+'Rentas SpA'!AG82*'Rentas SpA'!AG$102+'Pza Const'!AG82*'Pza Const'!AG$102+'Pza Arauc'!AG82*'Pza Arauc'!AG$102+RRetail!AG82*RRetail!AG$102+Bucarest!AG82*Bucarest!AG$102+Magdalena!AG82*Magdalena!AG$102+BFC!AG82*BFC!AG$102+Descubrimiento!AG89*Descubrimiento!AG$103+'Rentas SpA'!AG88*'Rentas SpA'!AG$102+'Pza Const'!AG88*'Pza Const'!AG$102+'Pza Arauc'!AG88*'Pza Arauc'!AG$102+RRetail!AG88*RRetail!AG$102+Bucarest!AG88*Bucarest!AG$102+Magdalena!AG88*Magdalena!AG$102+BFC!AG88*BFC!AG$102+Descubrimiento!AG91*Descubrimiento!AG$103+'Rentas SpA'!AG90*'Rentas SpA'!AG$102+'Pza Const'!AG90*'Pza Const'!AG$102+'Pza Arauc'!AG90*'Pza Arauc'!AG$102+RRetail!AG90*RRetail!AG$102+Bucarest!AG90*Bucarest!AG$102+Magdalena!AG90*Magdalena!AG$102+BFC!AG90*BFC!AG$102</f>
        <v>2097003.1</v>
      </c>
      <c r="AH75" s="3">
        <f>+Descubrimiento!AH84*Descubrimiento!AH$103+'Rentas SpA'!AH83*'Rentas SpA'!AH$102+'Pza Const'!AH83*'Pza Const'!AH$102+'Pza Arauc'!AH83*'Pza Arauc'!AH$102+RRetail!AH83*RRetail!AH$102+Bucarest!AH83*Bucarest!AH$102+Magdalena!AH83*Magdalena!AH$102+BFC!AH83*BFC!AH$102+Descubrimiento!AH81*Descubrimiento!AH$103+'Rentas SpA'!AH80*'Rentas SpA'!AH$102+'Pza Const'!AH80*'Pza Const'!AH$102+'Pza Arauc'!AH80*'Pza Arauc'!AH$102+RRetail!AH80*RRetail!AH$102+Bucarest!AH80*Bucarest!AH$102+Magdalena!AH80*Magdalena!AH$102+BFC!AH80*BFC!AH$102+Descubrimiento!AH83*Descubrimiento!AH$103+'Rentas SpA'!AH82*'Rentas SpA'!AH$102+'Pza Const'!AH82*'Pza Const'!AH$102+'Pza Arauc'!AH82*'Pza Arauc'!AH$102+RRetail!AH82*RRetail!AH$102+Bucarest!AH82*Bucarest!AH$102+Magdalena!AH82*Magdalena!AH$102+BFC!AH82*BFC!AH$102+Descubrimiento!AH89*Descubrimiento!AH$103+'Rentas SpA'!AH88*'Rentas SpA'!AH$102+'Pza Const'!AH88*'Pza Const'!AH$102+'Pza Arauc'!AH88*'Pza Arauc'!AH$102+RRetail!AH88*RRetail!AH$102+Bucarest!AH88*Bucarest!AH$102+Magdalena!AH88*Magdalena!AH$102+BFC!AH88*BFC!AH$102+Descubrimiento!AH91*Descubrimiento!AH$103+'Rentas SpA'!AH90*'Rentas SpA'!AH$102+'Pza Const'!AH90*'Pza Const'!AH$102+'Pza Arauc'!AH90*'Pza Arauc'!AH$102+RRetail!AH90*RRetail!AH$102+Bucarest!AH90*Bucarest!AH$102+Magdalena!AH90*Magdalena!AH$102+BFC!AH90*BFC!AH$102</f>
        <v>3936144.4</v>
      </c>
      <c r="AI75" s="3">
        <f>+Descubrimiento!AI84*Descubrimiento!AI$103+'Rentas SpA'!AI83*'Rentas SpA'!AI$102+'Pza Const'!AI83*'Pza Const'!AI$102+'Pza Arauc'!AI83*'Pza Arauc'!AI$102+RRetail!AI83*RRetail!AI$102+Bucarest!AI83*Bucarest!AI$102+Magdalena!AI83*Magdalena!AI$102+BFC!AI83*BFC!AI$102+Descubrimiento!AI81*Descubrimiento!AI$103+'Rentas SpA'!AI80*'Rentas SpA'!AI$102+'Pza Const'!AI80*'Pza Const'!AI$102+'Pza Arauc'!AI80*'Pza Arauc'!AI$102+RRetail!AI80*RRetail!AI$102+Bucarest!AI80*Bucarest!AI$102+Magdalena!AI80*Magdalena!AI$102+BFC!AI80*BFC!AI$102+Descubrimiento!AI83*Descubrimiento!AI$103+'Rentas SpA'!AI82*'Rentas SpA'!AI$102+'Pza Const'!AI82*'Pza Const'!AI$102+'Pza Arauc'!AI82*'Pza Arauc'!AI$102+RRetail!AI82*RRetail!AI$102+Bucarest!AI82*Bucarest!AI$102+Magdalena!AI82*Magdalena!AI$102+BFC!AI82*BFC!AI$102+Descubrimiento!AI89*Descubrimiento!AI$103+'Rentas SpA'!AI88*'Rentas SpA'!AI$102+'Pza Const'!AI88*'Pza Const'!AI$102+'Pza Arauc'!AI88*'Pza Arauc'!AI$102+RRetail!AI88*RRetail!AI$102+Bucarest!AI88*Bucarest!AI$102+Magdalena!AI88*Magdalena!AI$102+BFC!AI88*BFC!AI$102+Descubrimiento!AI91*Descubrimiento!AI$103+'Rentas SpA'!AI90*'Rentas SpA'!AI$102+'Pza Const'!AI90*'Pza Const'!AI$102+'Pza Arauc'!AI90*'Pza Arauc'!AI$102+RRetail!AI90*RRetail!AI$102+Bucarest!AI90*Bucarest!AI$102+Magdalena!AI90*Magdalena!AI$102+BFC!AI90*BFC!AI$102</f>
        <v>906400.99999999988</v>
      </c>
    </row>
    <row r="76" spans="1:35" s="1" customFormat="1" x14ac:dyDescent="0.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s="1" customFormat="1" x14ac:dyDescent="0.3">
      <c r="A77" s="6" t="s">
        <v>92</v>
      </c>
      <c r="B77" s="7">
        <f t="shared" ref="B77:R77" si="155">SUM(B72:B75)</f>
        <v>2814058</v>
      </c>
      <c r="C77" s="7">
        <f t="shared" si="155"/>
        <v>4452978.5</v>
      </c>
      <c r="D77" s="7">
        <f t="shared" si="155"/>
        <v>6894313</v>
      </c>
      <c r="E77" s="7">
        <f t="shared" si="155"/>
        <v>7973603</v>
      </c>
      <c r="F77" s="7">
        <f t="shared" si="155"/>
        <v>8456701</v>
      </c>
      <c r="G77" s="7">
        <f t="shared" ref="G77:I77" si="156">SUM(G72:G75)</f>
        <v>1998159.375</v>
      </c>
      <c r="H77" s="7">
        <f t="shared" si="156"/>
        <v>4094843.3510000003</v>
      </c>
      <c r="I77" s="7">
        <f t="shared" si="156"/>
        <v>6436178</v>
      </c>
      <c r="J77" s="7">
        <f t="shared" si="155"/>
        <v>9142657</v>
      </c>
      <c r="K77" s="7">
        <f t="shared" ref="K77:M77" si="157">SUM(K72:K75)</f>
        <v>2260524.2439999999</v>
      </c>
      <c r="L77" s="7">
        <f t="shared" si="157"/>
        <v>4972280</v>
      </c>
      <c r="M77" s="7">
        <f t="shared" si="157"/>
        <v>7678637</v>
      </c>
      <c r="N77" s="7">
        <f t="shared" si="155"/>
        <v>13910325.600000001</v>
      </c>
      <c r="O77" s="7">
        <f t="shared" ref="O77:Q77" si="158">SUM(O72:O75)</f>
        <v>3777877.8000000003</v>
      </c>
      <c r="P77" s="7">
        <f t="shared" si="158"/>
        <v>7048717.7999999998</v>
      </c>
      <c r="Q77" s="7">
        <f t="shared" si="158"/>
        <v>10445708.800000001</v>
      </c>
      <c r="R77" s="7">
        <f t="shared" si="155"/>
        <v>16313414.199999999</v>
      </c>
      <c r="S77" s="7">
        <f t="shared" ref="S77:U77" si="159">SUM(S72:S75)</f>
        <v>4304264.5999999996</v>
      </c>
      <c r="T77" s="7">
        <f t="shared" si="159"/>
        <v>9731366.7999999989</v>
      </c>
      <c r="U77" s="7">
        <f t="shared" si="159"/>
        <v>15317961.412999999</v>
      </c>
      <c r="V77" s="7">
        <f t="shared" ref="V77:Y77" si="160">SUM(V72:V75)</f>
        <v>20622178.399999999</v>
      </c>
      <c r="W77" s="7">
        <f t="shared" si="160"/>
        <v>5559997.2999999998</v>
      </c>
      <c r="X77" s="7">
        <f t="shared" si="160"/>
        <v>12564081.200000001</v>
      </c>
      <c r="Y77" s="7">
        <f t="shared" si="160"/>
        <v>18069756.600000001</v>
      </c>
      <c r="Z77" s="7">
        <f t="shared" ref="Z77:AA77" si="161">SUM(Z72:Z75)</f>
        <v>25186819.299999997</v>
      </c>
      <c r="AA77" s="7">
        <f t="shared" si="161"/>
        <v>5774597</v>
      </c>
      <c r="AB77" s="7">
        <f t="shared" ref="AB77:AC77" si="162">SUM(AB72:AB75)</f>
        <v>12021341</v>
      </c>
      <c r="AC77" s="7">
        <f t="shared" si="162"/>
        <v>18418076.599999998</v>
      </c>
      <c r="AD77" s="7">
        <f t="shared" ref="AD77:AE77" si="163">SUM(AD72:AD75)</f>
        <v>25207714</v>
      </c>
      <c r="AE77" s="7">
        <f t="shared" si="163"/>
        <v>6062490.4999999991</v>
      </c>
      <c r="AF77" s="7">
        <f t="shared" ref="AF77:AG77" si="164">SUM(AF72:AF75)</f>
        <v>12312293.1</v>
      </c>
      <c r="AG77" s="7">
        <f t="shared" si="164"/>
        <v>17936872</v>
      </c>
      <c r="AH77" s="7">
        <f t="shared" ref="AH77:AI77" si="165">SUM(AH72:AH75)</f>
        <v>25318361.999999996</v>
      </c>
      <c r="AI77" s="7">
        <f t="shared" si="165"/>
        <v>5893825.7000000002</v>
      </c>
    </row>
    <row r="78" spans="1:35" s="1" customFormat="1" x14ac:dyDescent="0.3"/>
    <row r="79" spans="1:35" s="1" customFormat="1" x14ac:dyDescent="0.3">
      <c r="A79" s="6" t="s">
        <v>93</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s="1" customFormat="1" x14ac:dyDescent="0.3">
      <c r="A80" s="1" t="s">
        <v>94</v>
      </c>
      <c r="B80" s="3">
        <f>+Descubrimiento!B96*Descubrimiento!B$103+'Rentas SpA'!B95*'Rentas SpA'!B$102+'Pza Const'!B95*'Pza Const'!B$102+'Pza Arauc'!B95*'Pza Arauc'!B$102+RRetail!B95*RRetail!B$102+Bucarest!B95*Bucarest!B$102+Magdalena!B95*Magdalena!B$102+BFC!B95*BFC!B$102</f>
        <v>13304895</v>
      </c>
      <c r="C80" s="3">
        <f>+Descubrimiento!C96*Descubrimiento!C$103+'Rentas SpA'!C95*'Rentas SpA'!C$102+'Pza Const'!C95*'Pza Const'!C$102+'Pza Arauc'!C95*'Pza Arauc'!C$102+RRetail!C95*RRetail!C$102+Bucarest!C95*Bucarest!C$102+Magdalena!C95*Magdalena!C$102+BFC!C95*BFC!C$102</f>
        <v>13310252.5</v>
      </c>
      <c r="D80" s="3">
        <f>+Descubrimiento!D96*Descubrimiento!D$103+'Rentas SpA'!D95*'Rentas SpA'!D$102+'Pza Const'!D95*'Pza Const'!D$102+'Pza Arauc'!D95*'Pza Arauc'!D$102+RRetail!D95*RRetail!D$102+Bucarest!D95*Bucarest!D$102+Magdalena!D95*Magdalena!D$102+BFC!D95*BFC!D$102</f>
        <v>16248834</v>
      </c>
      <c r="E80" s="3">
        <f>+Descubrimiento!E96*Descubrimiento!E$103+'Rentas SpA'!E95*'Rentas SpA'!E$102+'Pza Const'!E95*'Pza Const'!E$102+'Pza Arauc'!E95*'Pza Arauc'!E$102+RRetail!E95*RRetail!E$102+Bucarest!E95*Bucarest!E$102+Magdalena!E95*Magdalena!E$102+BFC!E95*BFC!E$102</f>
        <v>17262654</v>
      </c>
      <c r="F80" s="3">
        <f>+Descubrimiento!F96*Descubrimiento!F$103+'Rentas SpA'!F95*'Rentas SpA'!F$102+'Pza Const'!F95*'Pza Const'!F$102+'Pza Arauc'!F95*'Pza Arauc'!F$102+RRetail!F95*RRetail!F$102+Bucarest!F95*Bucarest!F$102+Magdalena!F95*Magdalena!F$102+BFC!F95*BFC!F$102</f>
        <v>17234400</v>
      </c>
      <c r="G80" s="3">
        <f>+Descubrimiento!G96*Descubrimiento!G$103+'Rentas SpA'!G95*'Rentas SpA'!G$102+'Pza Const'!G95*'Pza Const'!G$102+'Pza Arauc'!G95*'Pza Arauc'!G$102+RRetail!G95*RRetail!G$102+Bucarest!G95*Bucarest!G$102+Magdalena!G95*Magdalena!G$102+BFC!G95*BFC!G$102</f>
        <v>4059209</v>
      </c>
      <c r="H80" s="3">
        <f>+Descubrimiento!H96*Descubrimiento!H$103+'Rentas SpA'!H95*'Rentas SpA'!H$102+'Pza Const'!H95*'Pza Const'!H$102+'Pza Arauc'!H95*'Pza Arauc'!H$102+RRetail!H95*RRetail!H$102+Bucarest!H95*Bucarest!H$102+Magdalena!H95*Magdalena!H$102+BFC!H95*BFC!H$102</f>
        <v>8216300</v>
      </c>
      <c r="I80" s="3">
        <f>+Descubrimiento!I96*Descubrimiento!I$103+'Rentas SpA'!I95*'Rentas SpA'!I$102+'Pza Const'!I95*'Pza Const'!I$102+'Pza Arauc'!I95*'Pza Arauc'!I$102+RRetail!I95*RRetail!I$102+Bucarest!I95*Bucarest!I$102+Magdalena!I95*Magdalena!I$102+BFC!I95*BFC!I$102</f>
        <v>12385161</v>
      </c>
      <c r="J80" s="3">
        <f>+Descubrimiento!J96*Descubrimiento!J$103+'Rentas SpA'!J95*'Rentas SpA'!J$102+'Pza Const'!J95*'Pza Const'!J$102+'Pza Arauc'!J95*'Pza Arauc'!J$102+RRetail!J95*RRetail!J$102+Bucarest!J95*Bucarest!J$102+Magdalena!J95*Magdalena!J$102+BFC!J95*BFC!J$102</f>
        <v>16624290</v>
      </c>
      <c r="K80" s="3">
        <f>+Descubrimiento!K96*Descubrimiento!K$103+'Rentas SpA'!K95*'Rentas SpA'!K$102+'Pza Const'!K95*'Pza Const'!K$102+'Pza Arauc'!K95*'Pza Arauc'!K$102+RRetail!K95*RRetail!K$102+Bucarest!K95*Bucarest!K$102+Magdalena!K95*Magdalena!K$102+BFC!K95*BFC!K$102</f>
        <v>3364406</v>
      </c>
      <c r="L80" s="3">
        <f>+Descubrimiento!L96*Descubrimiento!L$103+'Rentas SpA'!L95*'Rentas SpA'!L$102+'Pza Const'!L95*'Pza Const'!L$102+'Pza Arauc'!L95*'Pza Arauc'!L$102+RRetail!L95*RRetail!L$102+Bucarest!L95*Bucarest!L$102+Magdalena!L95*Magdalena!L$102+BFC!L95*BFC!L$102</f>
        <v>6758642</v>
      </c>
      <c r="M80" s="3">
        <f>+Descubrimiento!M96*Descubrimiento!M$103+'Rentas SpA'!M95*'Rentas SpA'!M$102+'Pza Const'!M95*'Pza Const'!M$102+'Pza Arauc'!M95*'Pza Arauc'!M$102+RRetail!M95*RRetail!M$102+Bucarest!M95*Bucarest!M$102+Magdalena!M95*Magdalena!M$102+BFC!M95*BFC!M$102</f>
        <v>9704514</v>
      </c>
      <c r="N80" s="3">
        <f>+Descubrimiento!N96*Descubrimiento!N$103+'Rentas SpA'!N95*'Rentas SpA'!N$102+'Pza Const'!N95*'Pza Const'!N$102+'Pza Arauc'!N95*'Pza Arauc'!N$102+RRetail!N95*RRetail!N$102+Bucarest!N95*Bucarest!N$102+Magdalena!N95*Magdalena!N$102+BFC!N95*BFC!N$102</f>
        <v>12691122</v>
      </c>
      <c r="O80" s="3">
        <f>+Descubrimiento!O96*Descubrimiento!O$103+'Rentas SpA'!O95*'Rentas SpA'!O$102+'Pza Const'!O95*'Pza Const'!O$102+'Pza Arauc'!O95*'Pza Arauc'!O$102+RRetail!O95*RRetail!O$102+Bucarest!O95*Bucarest!O$102+Magdalena!O95*Magdalena!O$102+BFC!O95*BFC!O$102</f>
        <v>2760647</v>
      </c>
      <c r="P80" s="3">
        <f>+Descubrimiento!P96*Descubrimiento!P$103+'Rentas SpA'!P95*'Rentas SpA'!P$102+'Pza Const'!P95*'Pza Const'!P$102+'Pza Arauc'!P95*'Pza Arauc'!P$102+RRetail!P95*RRetail!P$102+Bucarest!P95*Bucarest!P$102+Magdalena!P95*Magdalena!P$102+BFC!P95*BFC!P$102</f>
        <v>5584184</v>
      </c>
      <c r="Q80" s="3">
        <f>+Descubrimiento!Q96*Descubrimiento!Q$103+'Rentas SpA'!Q95*'Rentas SpA'!Q$102+'Pza Const'!Q95*'Pza Const'!Q$102+'Pza Arauc'!Q95*'Pza Arauc'!Q$102+RRetail!Q95*RRetail!Q$102+Bucarest!Q95*Bucarest!Q$102+Magdalena!Q95*Magdalena!Q$102+BFC!Q95*BFC!Q$102</f>
        <v>8469767</v>
      </c>
      <c r="R80" s="3">
        <f>+Descubrimiento!R96*Descubrimiento!R$103+'Rentas SpA'!R95*'Rentas SpA'!R$102+'Pza Const'!R95*'Pza Const'!R$102+'Pza Arauc'!R95*'Pza Arauc'!R$102+RRetail!R95*RRetail!R$102+Bucarest!R95*Bucarest!R$102+Magdalena!R95*Magdalena!R$102+BFC!R95*BFC!R$102</f>
        <v>11426929</v>
      </c>
      <c r="S80" s="3">
        <f>+Descubrimiento!S96*Descubrimiento!S$103+'Rentas SpA'!S95*'Rentas SpA'!S$102+'Pza Const'!S95*'Pza Const'!S$102+'Pza Arauc'!S95*'Pza Arauc'!S$102+RRetail!S95*RRetail!S$102+Bucarest!S95*Bucarest!S$102+Magdalena!S95*Magdalena!S$102+BFC!S95*BFC!S$102</f>
        <v>4405481</v>
      </c>
      <c r="T80" s="3">
        <f>+Descubrimiento!T96*Descubrimiento!T$103+'Rentas SpA'!T95*'Rentas SpA'!T$102+'Pza Const'!T95*'Pza Const'!T$102+'Pza Arauc'!T95*'Pza Arauc'!T$102+RRetail!T95*RRetail!T$102+Bucarest!T95*Bucarest!T$102+Magdalena!T95*Magdalena!T$102+BFC!T95*BFC!T$102</f>
        <v>9024552</v>
      </c>
      <c r="U80" s="3">
        <f>+Descubrimiento!U96*Descubrimiento!U$103+'Rentas SpA'!U95*'Rentas SpA'!U$102+'Pza Const'!U95*'Pza Const'!U$102+'Pza Arauc'!U95*'Pza Arauc'!U$102+RRetail!U95*RRetail!U$102+Bucarest!U95*Bucarest!U$102+Magdalena!U95*Magdalena!U$102+BFC!U95*BFC!U$102</f>
        <v>13873180</v>
      </c>
      <c r="V80" s="3">
        <f>+Descubrimiento!V96*Descubrimiento!V$103+'Rentas SpA'!V95*'Rentas SpA'!V$102+'Pza Const'!V95*'Pza Const'!V$102+'Pza Arauc'!V95*'Pza Arauc'!V$102+RRetail!V95*RRetail!V$102+Bucarest!V95*Bucarest!V$102+Magdalena!V95*Magdalena!V$102+BFC!V95*BFC!V$102</f>
        <v>18879127</v>
      </c>
      <c r="W80" s="3">
        <f>+Descubrimiento!W96*Descubrimiento!W$103+'Rentas SpA'!W95*'Rentas SpA'!W$102+'Pza Const'!W95*'Pza Const'!W$102+'Pza Arauc'!W95*'Pza Arauc'!W$102+RRetail!W95*RRetail!W$102+Bucarest!W95*Bucarest!W$102+Magdalena!W95*Magdalena!W$102+BFC!W95*BFC!W$102</f>
        <v>4336559</v>
      </c>
      <c r="X80" s="3">
        <f>+Descubrimiento!X96*Descubrimiento!X$103+'Rentas SpA'!X95*'Rentas SpA'!X$102+'Pza Const'!X95*'Pza Const'!X$102+'Pza Arauc'!X95*'Pza Arauc'!X$102+RRetail!X95*RRetail!X$102+Bucarest!X95*Bucarest!X$102+Magdalena!X95*Magdalena!X$102+BFC!X95*BFC!X$102</f>
        <v>8800872</v>
      </c>
      <c r="Y80" s="3">
        <f>+Descubrimiento!Y96*Descubrimiento!Y$103+'Rentas SpA'!Y95*'Rentas SpA'!Y$102+'Pza Const'!Y95*'Pza Const'!Y$102+'Pza Arauc'!Y95*'Pza Arauc'!Y$102+RRetail!Y95*RRetail!Y$102+Bucarest!Y95*Bucarest!Y$102+Magdalena!Y95*Magdalena!Y$102+BFC!Y95*BFC!Y$102</f>
        <v>13329067</v>
      </c>
      <c r="Z80" s="3">
        <f>+Descubrimiento!Z96*Descubrimiento!Z$103+'Rentas SpA'!Z95*'Rentas SpA'!Z$102+'Pza Const'!Z95*'Pza Const'!Z$102+'Pza Arauc'!Z95*'Pza Arauc'!Z$102+RRetail!Z95*RRetail!Z$102+Bucarest!Z95*Bucarest!Z$102+Magdalena!Z95*Magdalena!Z$102+BFC!Z95*BFC!Z$102</f>
        <v>17928142</v>
      </c>
      <c r="AA80" s="3">
        <f>+Descubrimiento!AA96*Descubrimiento!AA$103+'Rentas SpA'!AA95*'Rentas SpA'!AA$102+'Pza Const'!AA95*'Pza Const'!AA$102+'Pza Arauc'!AA95*'Pza Arauc'!AA$102+RRetail!AA95*RRetail!AA$102+Bucarest!AA95*Bucarest!AA$102+Magdalena!AA95*Magdalena!AA$102+BFC!AA95*BFC!AA$102</f>
        <v>5156165.5</v>
      </c>
      <c r="AB80" s="3">
        <f>+Descubrimiento!AB96*Descubrimiento!AB$103+'Rentas SpA'!AB95*'Rentas SpA'!AB$102+'Pza Const'!AB95*'Pza Const'!AB$102+'Pza Arauc'!AB95*'Pza Arauc'!AB$102+RRetail!AB95*RRetail!AB$102+Bucarest!AB95*Bucarest!AB$102+Magdalena!AB95*Magdalena!AB$102+BFC!AB95*BFC!AB$102</f>
        <v>10501037.9</v>
      </c>
      <c r="AC80" s="3">
        <f>+Descubrimiento!AC96*Descubrimiento!AC$103+'Rentas SpA'!AC95*'Rentas SpA'!AC$102+'Pza Const'!AC95*'Pza Const'!AC$102+'Pza Arauc'!AC95*'Pza Arauc'!AC$102+RRetail!AC95*RRetail!AC$102+Bucarest!AC95*Bucarest!AC$102+Magdalena!AC95*Magdalena!AC$102+BFC!AC95*BFC!AC$102</f>
        <v>15697752</v>
      </c>
      <c r="AD80" s="3">
        <f>+Descubrimiento!AD96*Descubrimiento!AD$103+'Rentas SpA'!AD95*'Rentas SpA'!AD$102+'Pza Const'!AD95*'Pza Const'!AD$102+'Pza Arauc'!AD95*'Pza Arauc'!AD$102+RRetail!AD95*RRetail!AD$102+Bucarest!AD95*Bucarest!AD$102+Magdalena!AD95*Magdalena!AD$102+BFC!AD95*BFC!AD$102</f>
        <v>21069568</v>
      </c>
      <c r="AE80" s="3">
        <f>+Descubrimiento!AE96*Descubrimiento!AE$103+'Rentas SpA'!AE95*'Rentas SpA'!AE$102+'Pza Const'!AE95*'Pza Const'!AE$102+'Pza Arauc'!AE95*'Pza Arauc'!AE$102+RRetail!AE95*RRetail!AE$102+Bucarest!AE95*Bucarest!AE$102+Magdalena!AE95*Magdalena!AE$102+BFC!AE95*BFC!AE$102</f>
        <v>5265713.2</v>
      </c>
      <c r="AF80" s="3">
        <f>+Descubrimiento!AF96*Descubrimiento!AF$103+'Rentas SpA'!AF95*'Rentas SpA'!AF$102+'Pza Const'!AF95*'Pza Const'!AF$102+'Pza Arauc'!AF95*'Pza Arauc'!AF$102+RRetail!AF95*RRetail!AF$102+Bucarest!AF95*Bucarest!AF$102+Magdalena!AF95*Magdalena!AF$102+BFC!AF95*BFC!AF$102</f>
        <v>10459903.9</v>
      </c>
      <c r="AG80" s="3">
        <f>+Descubrimiento!AG96*Descubrimiento!AG$103+'Rentas SpA'!AG95*'Rentas SpA'!AG$102+'Pza Const'!AG95*'Pza Const'!AG$102+'Pza Arauc'!AG95*'Pza Arauc'!AG$102+RRetail!AG95*RRetail!AG$102+Bucarest!AG95*Bucarest!AG$102+Magdalena!AG95*Magdalena!AG$102+BFC!AG95*BFC!AG$102</f>
        <v>15201600.800000001</v>
      </c>
      <c r="AH80" s="3">
        <f>+Descubrimiento!AH96*Descubrimiento!AH$103+'Rentas SpA'!AH95*'Rentas SpA'!AH$102+'Pza Const'!AH95*'Pza Const'!AH$102+'Pza Arauc'!AH95*'Pza Arauc'!AH$102+RRetail!AH95*RRetail!AH$102+Bucarest!AH95*Bucarest!AH$102+Magdalena!AH95*Magdalena!AH$102+BFC!AH95*BFC!AH$102</f>
        <v>19939226.199999999</v>
      </c>
      <c r="AI80" s="3">
        <f>+Descubrimiento!AI96*Descubrimiento!AI$103+'Rentas SpA'!AI95*'Rentas SpA'!AI$102+'Pza Const'!AI95*'Pza Const'!AI$102+'Pza Arauc'!AI95*'Pza Arauc'!AI$102+RRetail!AI95*RRetail!AI$102+Bucarest!AI95*Bucarest!AI$102+Magdalena!AI95*Magdalena!AI$102+BFC!AI95*BFC!AI$102</f>
        <v>4640102.7</v>
      </c>
    </row>
    <row r="81" spans="1:35" s="1" customFormat="1" x14ac:dyDescent="0.3">
      <c r="A81" s="1" t="s">
        <v>167</v>
      </c>
      <c r="B81" s="3">
        <f>+Descubrimiento!B97*Descubrimiento!B$103+'Rentas SpA'!B96*'Rentas SpA'!B$102+'Pza Const'!B96*'Pza Const'!B$102+'Pza Arauc'!B96*'Pza Arauc'!B$102+RRetail!B96*RRetail!B$102+Bucarest!B96*Bucarest!B$102+Magdalena!B96*Magdalena!B$102+BFC!B96*BFC!B$102</f>
        <v>515154</v>
      </c>
      <c r="C81" s="3">
        <f>+Descubrimiento!C97*Descubrimiento!C$103+'Rentas SpA'!C96*'Rentas SpA'!C$102+'Pza Const'!C96*'Pza Const'!C$102+'Pza Arauc'!C96*'Pza Arauc'!C$102+RRetail!C96*RRetail!C$102+Bucarest!C96*Bucarest!C$102+Magdalena!C96*Magdalena!C$102+BFC!C96*BFC!C$102</f>
        <v>178361</v>
      </c>
      <c r="D81" s="3">
        <f>+Descubrimiento!D97*Descubrimiento!D$103+'Rentas SpA'!D96*'Rentas SpA'!D$102+'Pza Const'!D96*'Pza Const'!D$102+'Pza Arauc'!D96*'Pza Arauc'!D$102+RRetail!D96*RRetail!D$102+Bucarest!D96*Bucarest!D$102+Magdalena!D96*Magdalena!D$102+BFC!D96*BFC!D$102</f>
        <v>0</v>
      </c>
      <c r="E81" s="3">
        <f>+Descubrimiento!E97*Descubrimiento!E$103+'Rentas SpA'!E96*'Rentas SpA'!E$102+'Pza Const'!E96*'Pza Const'!E$102+'Pza Arauc'!E96*'Pza Arauc'!E$102+RRetail!E96*RRetail!E$102+Bucarest!E96*Bucarest!E$102+Magdalena!E96*Magdalena!E$102+BFC!E96*BFC!E$102</f>
        <v>0</v>
      </c>
      <c r="F81" s="3">
        <f>+Descubrimiento!F97*Descubrimiento!F$103+'Rentas SpA'!F96*'Rentas SpA'!F$102+'Pza Const'!F96*'Pza Const'!F$102+'Pza Arauc'!F96*'Pza Arauc'!F$102+RRetail!F96*RRetail!F$102+Bucarest!F96*Bucarest!F$102+Magdalena!F96*Magdalena!F$102+BFC!F96*BFC!F$102</f>
        <v>0</v>
      </c>
      <c r="G81" s="3">
        <f>+Descubrimiento!G97*Descubrimiento!G$103+'Rentas SpA'!G96*'Rentas SpA'!G$102+'Pza Const'!G96*'Pza Const'!G$102+'Pza Arauc'!G96*'Pza Arauc'!G$102+RRetail!G96*RRetail!G$102+Bucarest!G96*Bucarest!G$102+Magdalena!G96*Magdalena!G$102+BFC!G96*BFC!G$102</f>
        <v>0</v>
      </c>
      <c r="H81" s="3">
        <f>+Descubrimiento!H97*Descubrimiento!H$103+'Rentas SpA'!H96*'Rentas SpA'!H$102+'Pza Const'!H96*'Pza Const'!H$102+'Pza Arauc'!H96*'Pza Arauc'!H$102+RRetail!H96*RRetail!H$102+Bucarest!H96*Bucarest!H$102+Magdalena!H96*Magdalena!H$102+BFC!H96*BFC!H$102</f>
        <v>0</v>
      </c>
      <c r="I81" s="3">
        <f>+Descubrimiento!I97*Descubrimiento!I$103+'Rentas SpA'!I96*'Rentas SpA'!I$102+'Pza Const'!I96*'Pza Const'!I$102+'Pza Arauc'!I96*'Pza Arauc'!I$102+RRetail!I96*RRetail!I$102+Bucarest!I96*Bucarest!I$102+Magdalena!I96*Magdalena!I$102+BFC!I96*BFC!I$102</f>
        <v>0</v>
      </c>
      <c r="J81" s="3">
        <f>+Descubrimiento!J97*Descubrimiento!J$103+'Rentas SpA'!J96*'Rentas SpA'!J$102+'Pza Const'!J96*'Pza Const'!J$102+'Pza Arauc'!J96*'Pza Arauc'!J$102+RRetail!J96*RRetail!J$102+Bucarest!J96*Bucarest!J$102+Magdalena!J96*Magdalena!J$102+BFC!J96*BFC!J$102</f>
        <v>0</v>
      </c>
      <c r="K81" s="3">
        <f>+Descubrimiento!K97*Descubrimiento!K$103+'Rentas SpA'!K96*'Rentas SpA'!K$102+'Pza Const'!K96*'Pza Const'!K$102+'Pza Arauc'!K96*'Pza Arauc'!K$102+RRetail!K96*RRetail!K$102+Bucarest!K96*Bucarest!K$102+Magdalena!K96*Magdalena!K$102+BFC!K96*BFC!K$102</f>
        <v>0</v>
      </c>
      <c r="L81" s="3">
        <f>+Descubrimiento!L97*Descubrimiento!L$103+'Rentas SpA'!L96*'Rentas SpA'!L$102+'Pza Const'!L96*'Pza Const'!L$102+'Pza Arauc'!L96*'Pza Arauc'!L$102+RRetail!L96*RRetail!L$102+Bucarest!L96*Bucarest!L$102+Magdalena!L96*Magdalena!L$102+BFC!L96*BFC!L$102</f>
        <v>0</v>
      </c>
      <c r="M81" s="3">
        <f>+Descubrimiento!M97*Descubrimiento!M$103+'Rentas SpA'!M96*'Rentas SpA'!M$102+'Pza Const'!M96*'Pza Const'!M$102+'Pza Arauc'!M96*'Pza Arauc'!M$102+RRetail!M96*RRetail!M$102+Bucarest!M96*Bucarest!M$102+Magdalena!M96*Magdalena!M$102+BFC!M96*BFC!M$102</f>
        <v>0</v>
      </c>
      <c r="N81" s="3">
        <f>+Descubrimiento!N97*Descubrimiento!N$103+'Rentas SpA'!N96*'Rentas SpA'!N$102+'Pza Const'!N96*'Pza Const'!N$102+'Pza Arauc'!N96*'Pza Arauc'!N$102+RRetail!N96*RRetail!N$102+Bucarest!N96*Bucarest!N$102+Magdalena!N96*Magdalena!N$102+BFC!N96*BFC!N$102</f>
        <v>541680</v>
      </c>
      <c r="O81" s="3">
        <f>+Descubrimiento!O97*Descubrimiento!O$103+'Rentas SpA'!O96*'Rentas SpA'!O$102+'Pza Const'!O96*'Pza Const'!O$102+'Pza Arauc'!O96*'Pza Arauc'!O$102+RRetail!O96*RRetail!O$102+Bucarest!O96*Bucarest!O$102+Magdalena!O96*Magdalena!O$102+BFC!O96*BFC!O$102</f>
        <v>46501.200000000004</v>
      </c>
      <c r="P81" s="3">
        <f>+Descubrimiento!P97*Descubrimiento!P$103+'Rentas SpA'!P96*'Rentas SpA'!P$102+'Pza Const'!P96*'Pza Const'!P$102+'Pza Arauc'!P96*'Pza Arauc'!P$102+RRetail!P96*RRetail!P$102+Bucarest!P96*Bucarest!P$102+Magdalena!P96*Magdalena!P$102+BFC!P96*BFC!P$102</f>
        <v>0</v>
      </c>
      <c r="Q81" s="3">
        <f>+Descubrimiento!Q97*Descubrimiento!Q$103+'Rentas SpA'!Q96*'Rentas SpA'!Q$102+'Pza Const'!Q96*'Pza Const'!Q$102+'Pza Arauc'!Q96*'Pza Arauc'!Q$102+RRetail!Q96*RRetail!Q$102+Bucarest!Q96*Bucarest!Q$102+Magdalena!Q96*Magdalena!Q$102+BFC!Q96*BFC!Q$102</f>
        <v>0</v>
      </c>
      <c r="R81" s="3">
        <f>+Descubrimiento!R97*Descubrimiento!R$103+'Rentas SpA'!R96*'Rentas SpA'!R$102+'Pza Const'!R96*'Pza Const'!R$102+'Pza Arauc'!R96*'Pza Arauc'!R$102+RRetail!R96*RRetail!R$102+Bucarest!R96*Bucarest!R$102+Magdalena!R96*Magdalena!R$102+BFC!R96*BFC!R$102</f>
        <v>81377.099999999991</v>
      </c>
      <c r="S81" s="3">
        <f>+Descubrimiento!S97*Descubrimiento!S$103+'Rentas SpA'!S96*'Rentas SpA'!S$102+'Pza Const'!S96*'Pza Const'!S$102+'Pza Arauc'!S96*'Pza Arauc'!S$102+RRetail!S96*RRetail!S$102+Bucarest!S96*Bucarest!S$102+Magdalena!S96*Magdalena!S$102+BFC!S96*BFC!S$102</f>
        <v>0</v>
      </c>
      <c r="T81" s="3">
        <f>+Descubrimiento!T97*Descubrimiento!T$103+'Rentas SpA'!T96*'Rentas SpA'!T$102+'Pza Const'!T96*'Pza Const'!T$102+'Pza Arauc'!T96*'Pza Arauc'!T$102+RRetail!T96*RRetail!T$102+Bucarest!T96*Bucarest!T$102+Magdalena!T96*Magdalena!T$102+BFC!T96*BFC!T$102</f>
        <v>0</v>
      </c>
      <c r="U81" s="3">
        <f>+Descubrimiento!U97*Descubrimiento!U$103+'Rentas SpA'!U96*'Rentas SpA'!U$102+'Pza Const'!U96*'Pza Const'!U$102+'Pza Arauc'!U96*'Pza Arauc'!U$102+RRetail!U96*RRetail!U$102+Bucarest!U96*Bucarest!U$102+Magdalena!U96*Magdalena!U$102+BFC!U96*BFC!U$102</f>
        <v>0</v>
      </c>
      <c r="V81" s="3">
        <f>+Descubrimiento!V97*Descubrimiento!V$103+'Rentas SpA'!V96*'Rentas SpA'!V$102+'Pza Const'!V96*'Pza Const'!V$102+'Pza Arauc'!V96*'Pza Arauc'!V$102+RRetail!V96*RRetail!V$102+Bucarest!V96*Bucarest!V$102+Magdalena!V96*Magdalena!V$102+BFC!V96*BFC!V$102</f>
        <v>0</v>
      </c>
      <c r="W81" s="3">
        <f>+Descubrimiento!W97*Descubrimiento!W$103+'Rentas SpA'!W96*'Rentas SpA'!W$102+'Pza Const'!W96*'Pza Const'!W$102+'Pza Arauc'!W96*'Pza Arauc'!W$102+RRetail!W96*RRetail!W$102+Bucarest!W96*Bucarest!W$102+Magdalena!W96*Magdalena!W$102+BFC!W96*BFC!W$102</f>
        <v>0</v>
      </c>
      <c r="X81" s="3">
        <f>+Descubrimiento!X97*Descubrimiento!X$103+'Rentas SpA'!X96*'Rentas SpA'!X$102+'Pza Const'!X96*'Pza Const'!X$102+'Pza Arauc'!X96*'Pza Arauc'!X$102+RRetail!X96*RRetail!X$102+Bucarest!X96*Bucarest!X$102+Magdalena!X96*Magdalena!X$102+BFC!X96*BFC!X$102</f>
        <v>0</v>
      </c>
      <c r="Y81" s="3">
        <f>+Descubrimiento!Y97*Descubrimiento!Y$103+'Rentas SpA'!Y96*'Rentas SpA'!Y$102+'Pza Const'!Y96*'Pza Const'!Y$102+'Pza Arauc'!Y96*'Pza Arauc'!Y$102+RRetail!Y96*RRetail!Y$102+Bucarest!Y96*Bucarest!Y$102+Magdalena!Y96*Magdalena!Y$102+BFC!Y96*BFC!Y$102</f>
        <v>0</v>
      </c>
      <c r="Z81" s="3">
        <f>+Descubrimiento!Z97*Descubrimiento!Z$103+'Rentas SpA'!Z96*'Rentas SpA'!Z$102+'Pza Const'!Z96*'Pza Const'!Z$102+'Pza Arauc'!Z96*'Pza Arauc'!Z$102+RRetail!Z96*RRetail!Z$102+Bucarest!Z96*Bucarest!Z$102+Magdalena!Z96*Magdalena!Z$102+BFC!Z96*BFC!Z$102</f>
        <v>0</v>
      </c>
      <c r="AA81" s="3">
        <f>+Descubrimiento!AA97*Descubrimiento!AA$103+'Rentas SpA'!AA96*'Rentas SpA'!AA$102+'Pza Const'!AA96*'Pza Const'!AA$102+'Pza Arauc'!AA96*'Pza Arauc'!AA$102+RRetail!AA96*RRetail!AA$102+Bucarest!AA96*Bucarest!AA$102+Magdalena!AA96*Magdalena!AA$102+BFC!AA96*BFC!AA$102</f>
        <v>1015.6999999999999</v>
      </c>
      <c r="AB81" s="3">
        <f>+Descubrimiento!AB97*Descubrimiento!AB$103+'Rentas SpA'!AB96*'Rentas SpA'!AB$102+'Pza Const'!AB96*'Pza Const'!AB$102+'Pza Arauc'!AB96*'Pza Arauc'!AB$102+RRetail!AB96*RRetail!AB$102+Bucarest!AB96*Bucarest!AB$102+Magdalena!AB96*Magdalena!AB$102+BFC!AB96*BFC!AB$102</f>
        <v>1015.6999999999999</v>
      </c>
      <c r="AC81" s="3">
        <f>+Descubrimiento!AC97*Descubrimiento!AC$103+'Rentas SpA'!AC96*'Rentas SpA'!AC$102+'Pza Const'!AC96*'Pza Const'!AC$102+'Pza Arauc'!AC96*'Pza Arauc'!AC$102+RRetail!AC96*RRetail!AC$102+Bucarest!AC96*Bucarest!AC$102+Magdalena!AC96*Magdalena!AC$102+BFC!AC96*BFC!AC$102</f>
        <v>0</v>
      </c>
      <c r="AD81" s="3">
        <f>+Descubrimiento!AD97*Descubrimiento!AD$103+'Rentas SpA'!AD96*'Rentas SpA'!AD$102+'Pza Const'!AD96*'Pza Const'!AD$102+'Pza Arauc'!AD96*'Pza Arauc'!AD$102+RRetail!AD96*RRetail!AD$102+Bucarest!AD96*Bucarest!AD$102+Magdalena!AD96*Magdalena!AD$102+BFC!AD96*BFC!AD$102</f>
        <v>0</v>
      </c>
      <c r="AE81" s="3">
        <f>+Descubrimiento!AE97*Descubrimiento!AE$103+'Rentas SpA'!AE96*'Rentas SpA'!AE$102+'Pza Const'!AE96*'Pza Const'!AE$102+'Pza Arauc'!AE96*'Pza Arauc'!AE$102+RRetail!AE96*RRetail!AE$102+Bucarest!AE96*Bucarest!AE$102+Magdalena!AE96*Magdalena!AE$102+BFC!AE96*BFC!AE$102</f>
        <v>31381.699999999997</v>
      </c>
      <c r="AF81" s="3">
        <f>+Descubrimiento!AF97*Descubrimiento!AF$103+'Rentas SpA'!AF96*'Rentas SpA'!AF$102+'Pza Const'!AF96*'Pza Const'!AF$102+'Pza Arauc'!AF96*'Pza Arauc'!AF$102+RRetail!AF96*RRetail!AF$102+Bucarest!AF96*Bucarest!AF$102+Magdalena!AF96*Magdalena!AF$102+BFC!AF96*BFC!AF$102</f>
        <v>64986.6</v>
      </c>
      <c r="AG81" s="3">
        <f>+Descubrimiento!AG97*Descubrimiento!AG$103+'Rentas SpA'!AG96*'Rentas SpA'!AG$102+'Pza Const'!AG96*'Pza Const'!AG$102+'Pza Arauc'!AG96*'Pza Arauc'!AG$102+RRetail!AG96*RRetail!AG$102+Bucarest!AG96*Bucarest!AG$102+Magdalena!AG96*Magdalena!AG$102+BFC!AG96*BFC!AG$102</f>
        <v>98019.599999999991</v>
      </c>
      <c r="AH81" s="3">
        <f>+Descubrimiento!AH97*Descubrimiento!AH$103+'Rentas SpA'!AH96*'Rentas SpA'!AH$102+'Pza Const'!AH96*'Pza Const'!AH$102+'Pza Arauc'!AH96*'Pza Arauc'!AH$102+RRetail!AH96*RRetail!AH$102+Bucarest!AH96*Bucarest!AH$102+Magdalena!AH96*Magdalena!AH$102+BFC!AH96*BFC!AH$102</f>
        <v>139704.1</v>
      </c>
      <c r="AI81" s="3">
        <f>+Descubrimiento!AI97*Descubrimiento!AI$103+'Rentas SpA'!AI96*'Rentas SpA'!AI$102+'Pza Const'!AI96*'Pza Const'!AI$102+'Pza Arauc'!AI96*'Pza Arauc'!AI$102+RRetail!AI96*RRetail!AI$102+Bucarest!AI96*Bucarest!AI$102+Magdalena!AI96*Magdalena!AI$102+BFC!AI96*BFC!AI$102</f>
        <v>33306</v>
      </c>
    </row>
    <row r="82" spans="1:35" s="1" customFormat="1" x14ac:dyDescent="0.3">
      <c r="A82" s="1" t="s">
        <v>96</v>
      </c>
      <c r="B82" s="3">
        <f>+Descubrimiento!B98*Descubrimiento!B$103+'Rentas SpA'!B97*'Rentas SpA'!B$102+'Pza Const'!B97*'Pza Const'!B$102+'Pza Arauc'!B97*'Pza Arauc'!B$102+RRetail!B97*RRetail!B$102+Bucarest!B97*Bucarest!B$102+Magdalena!B97*Magdalena!B$102+BFC!B97*BFC!B$102</f>
        <v>605049.5</v>
      </c>
      <c r="C82" s="3">
        <f>+Descubrimiento!C98*Descubrimiento!C$103+'Rentas SpA'!C97*'Rentas SpA'!C$102+'Pza Const'!C97*'Pza Const'!C$102+'Pza Arauc'!C97*'Pza Arauc'!C$102+RRetail!C97*RRetail!C$102+Bucarest!C97*Bucarest!C$102+Magdalena!C97*Magdalena!C$102+BFC!C97*BFC!C$102</f>
        <v>565138</v>
      </c>
      <c r="D82" s="3">
        <f>+Descubrimiento!D98*Descubrimiento!D$103+'Rentas SpA'!D97*'Rentas SpA'!D$102+'Pza Const'!D97*'Pza Const'!D$102+'Pza Arauc'!D97*'Pza Arauc'!D$102+RRetail!D97*RRetail!D$102+Bucarest!D97*Bucarest!D$102+Magdalena!D97*Magdalena!D$102+BFC!D97*BFC!D$102</f>
        <v>568633</v>
      </c>
      <c r="E82" s="3">
        <f>+Descubrimiento!E98*Descubrimiento!E$103+'Rentas SpA'!E97*'Rentas SpA'!E$102+'Pza Const'!E97*'Pza Const'!E$102+'Pza Arauc'!E97*'Pza Arauc'!E$102+RRetail!E97*RRetail!E$102+Bucarest!E97*Bucarest!E$102+Magdalena!E97*Magdalena!E$102+BFC!E97*BFC!E$102</f>
        <v>174094</v>
      </c>
      <c r="F82" s="3">
        <f>+Descubrimiento!F98*Descubrimiento!F$103+'Rentas SpA'!F97*'Rentas SpA'!F$102+'Pza Const'!F97*'Pza Const'!F$102+'Pza Arauc'!F97*'Pza Arauc'!F$102+RRetail!F97*RRetail!F$102+Bucarest!F97*Bucarest!F$102+Magdalena!F97*Magdalena!F$102+BFC!F97*BFC!F$102</f>
        <v>145228</v>
      </c>
      <c r="G82" s="3">
        <f>+Descubrimiento!G98*Descubrimiento!G$103+'Rentas SpA'!G97*'Rentas SpA'!G$102+'Pza Const'!G97*'Pza Const'!G$102+'Pza Arauc'!G97*'Pza Arauc'!G$102+RRetail!G97*RRetail!G$102+Bucarest!G97*Bucarest!G$102+Magdalena!G97*Magdalena!G$102+BFC!G97*BFC!G$102</f>
        <v>127455</v>
      </c>
      <c r="H82" s="3">
        <f>+Descubrimiento!H98*Descubrimiento!H$103+'Rentas SpA'!H97*'Rentas SpA'!H$102+'Pza Const'!H97*'Pza Const'!H$102+'Pza Arauc'!H97*'Pza Arauc'!H$102+RRetail!H97*RRetail!H$102+Bucarest!H97*Bucarest!H$102+Magdalena!H97*Magdalena!H$102+BFC!H97*BFC!H$102</f>
        <v>374930</v>
      </c>
      <c r="I82" s="3">
        <f>+Descubrimiento!I98*Descubrimiento!I$103+'Rentas SpA'!I97*'Rentas SpA'!I$102+'Pza Const'!I97*'Pza Const'!I$102+'Pza Arauc'!I97*'Pza Arauc'!I$102+RRetail!I97*RRetail!I$102+Bucarest!I97*Bucarest!I$102+Magdalena!I97*Magdalena!I$102+BFC!I97*BFC!I$102</f>
        <v>520742</v>
      </c>
      <c r="J82" s="3">
        <f>+Descubrimiento!J98*Descubrimiento!J$103+'Rentas SpA'!J97*'Rentas SpA'!J$102+'Pza Const'!J97*'Pza Const'!J$102+'Pza Arauc'!J97*'Pza Arauc'!J$102+RRetail!J97*RRetail!J$102+Bucarest!J97*Bucarest!J$102+Magdalena!J97*Magdalena!J$102+BFC!J97*BFC!J$102</f>
        <v>720178</v>
      </c>
      <c r="K82" s="3">
        <f>+Descubrimiento!K98*Descubrimiento!K$103+'Rentas SpA'!K97*'Rentas SpA'!K$102+'Pza Const'!K97*'Pza Const'!K$102+'Pza Arauc'!K97*'Pza Arauc'!K$102+RRetail!K97*RRetail!K$102+Bucarest!K97*Bucarest!K$102+Magdalena!K97*Magdalena!K$102+BFC!K97*BFC!K$102</f>
        <v>197535</v>
      </c>
      <c r="L82" s="3">
        <f>+Descubrimiento!L98*Descubrimiento!L$103+'Rentas SpA'!L97*'Rentas SpA'!L$102+'Pza Const'!L97*'Pza Const'!L$102+'Pza Arauc'!L97*'Pza Arauc'!L$102+RRetail!L97*RRetail!L$102+Bucarest!L97*Bucarest!L$102+Magdalena!L97*Magdalena!L$102+BFC!L97*BFC!L$102</f>
        <v>396747</v>
      </c>
      <c r="M82" s="3">
        <f>+Descubrimiento!M98*Descubrimiento!M$103+'Rentas SpA'!M97*'Rentas SpA'!M$102+'Pza Const'!M97*'Pza Const'!M$102+'Pza Arauc'!M97*'Pza Arauc'!M$102+RRetail!M97*RRetail!M$102+Bucarest!M97*Bucarest!M$102+Magdalena!M97*Magdalena!M$102+BFC!M97*BFC!M$102</f>
        <v>1243692</v>
      </c>
      <c r="N82" s="3">
        <f>+Descubrimiento!N98*Descubrimiento!N$103+'Rentas SpA'!N97*'Rentas SpA'!N$102+'Pza Const'!N97*'Pza Const'!N$102+'Pza Arauc'!N97*'Pza Arauc'!N$102+RRetail!N97*RRetail!N$102+Bucarest!N97*Bucarest!N$102+Magdalena!N97*Magdalena!N$102+BFC!N97*BFC!N$102</f>
        <v>3491996.6</v>
      </c>
      <c r="O82" s="3">
        <f>+Descubrimiento!O98*Descubrimiento!O$103+'Rentas SpA'!O97*'Rentas SpA'!O$102+'Pza Const'!O97*'Pza Const'!O$102+'Pza Arauc'!O97*'Pza Arauc'!O$102+RRetail!O97*RRetail!O$102+Bucarest!O97*Bucarest!O$102+Magdalena!O97*Magdalena!O$102+BFC!O97*BFC!O$102</f>
        <v>1171047.6000000001</v>
      </c>
      <c r="P82" s="3">
        <f>+Descubrimiento!P98*Descubrimiento!P$103+'Rentas SpA'!P97*'Rentas SpA'!P$102+'Pza Const'!P97*'Pza Const'!P$102+'Pza Arauc'!P97*'Pza Arauc'!P$102+RRetail!P97*RRetail!P$102+Bucarest!P97*Bucarest!P$102+Magdalena!P97*Magdalena!P$102+BFC!P97*BFC!P$102</f>
        <v>2319292.6</v>
      </c>
      <c r="Q82" s="3">
        <f>+Descubrimiento!Q98*Descubrimiento!Q$103+'Rentas SpA'!Q97*'Rentas SpA'!Q$102+'Pza Const'!Q97*'Pza Const'!Q$102+'Pza Arauc'!Q97*'Pza Arauc'!Q$102+RRetail!Q97*RRetail!Q$102+Bucarest!Q97*Bucarest!Q$102+Magdalena!Q97*Magdalena!Q$102+BFC!Q97*BFC!Q$102</f>
        <v>3608278.2</v>
      </c>
      <c r="R82" s="3">
        <f>+Descubrimiento!R98*Descubrimiento!R$103+'Rentas SpA'!R97*'Rentas SpA'!R$102+'Pza Const'!R97*'Pza Const'!R$102+'Pza Arauc'!R97*'Pza Arauc'!R$102+RRetail!R97*RRetail!R$102+Bucarest!R97*Bucarest!R$102+Magdalena!R97*Magdalena!R$102+BFC!R97*BFC!R$102</f>
        <v>5518436</v>
      </c>
      <c r="S82" s="3">
        <f>+Descubrimiento!S98*Descubrimiento!S$103+'Rentas SpA'!S97*'Rentas SpA'!S$102+'Pza Const'!S97*'Pza Const'!S$102+'Pza Arauc'!S97*'Pza Arauc'!S$102+RRetail!S97*RRetail!S$102+Bucarest!S97*Bucarest!S$102+Magdalena!S97*Magdalena!S$102+BFC!S97*BFC!S$102</f>
        <v>1815351.2</v>
      </c>
      <c r="T82" s="3">
        <f>+Descubrimiento!T98*Descubrimiento!T$103+'Rentas SpA'!T97*'Rentas SpA'!T$102+'Pza Const'!T97*'Pza Const'!T$102+'Pza Arauc'!T97*'Pza Arauc'!T$102+RRetail!T97*RRetail!T$102+Bucarest!T97*Bucarest!T$102+Magdalena!T97*Magdalena!T$102+BFC!T97*BFC!T$102</f>
        <v>3870913.7</v>
      </c>
      <c r="U82" s="3">
        <f>+Descubrimiento!U98*Descubrimiento!U$103+'Rentas SpA'!U97*'Rentas SpA'!U$102+'Pza Const'!U97*'Pza Const'!U$102+'Pza Arauc'!U97*'Pza Arauc'!U$102+RRetail!U97*RRetail!U$102+Bucarest!U97*Bucarest!U$102+Magdalena!U97*Magdalena!U$102+BFC!U97*BFC!U$102</f>
        <v>6209417.7999999998</v>
      </c>
      <c r="V82" s="3">
        <f>+Descubrimiento!V98*Descubrimiento!V$103+'Rentas SpA'!V97*'Rentas SpA'!V$102+'Pza Const'!V97*'Pza Const'!V$102+'Pza Arauc'!V97*'Pza Arauc'!V$102+RRetail!V97*RRetail!V$102+Bucarest!V97*Bucarest!V$102+Magdalena!V97*Magdalena!V$102+BFC!V97*BFC!V$102</f>
        <v>8486685.4000000004</v>
      </c>
      <c r="W82" s="3">
        <f>+Descubrimiento!W98*Descubrimiento!W$103+'Rentas SpA'!W97*'Rentas SpA'!W$102+'Pza Const'!W97*'Pza Const'!W$102+'Pza Arauc'!W97*'Pza Arauc'!W$102+RRetail!W97*RRetail!W$102+Bucarest!W97*Bucarest!W$102+Magdalena!W97*Magdalena!W$102+BFC!W97*BFC!W$102</f>
        <v>2394867.0999999996</v>
      </c>
      <c r="X82" s="3">
        <f>+Descubrimiento!X98*Descubrimiento!X$103+'Rentas SpA'!X97*'Rentas SpA'!X$102+'Pza Const'!X97*'Pza Const'!X$102+'Pza Arauc'!X97*'Pza Arauc'!X$102+RRetail!X97*RRetail!X$102+Bucarest!X97*Bucarest!X$102+Magdalena!X97*Magdalena!X$102+BFC!X97*BFC!X$102</f>
        <v>4648245.0999999996</v>
      </c>
      <c r="Y82" s="3">
        <f>+Descubrimiento!Y98*Descubrimiento!Y$103+'Rentas SpA'!Y97*'Rentas SpA'!Y$102+'Pza Const'!Y97*'Pza Const'!Y$102+'Pza Arauc'!Y97*'Pza Arauc'!Y$102+RRetail!Y97*RRetail!Y$102+Bucarest!Y97*Bucarest!Y$102+Magdalena!Y97*Magdalena!Y$102+BFC!Y97*BFC!Y$102</f>
        <v>6772353.1999999993</v>
      </c>
      <c r="Z82" s="3">
        <f>+Descubrimiento!Z98*Descubrimiento!Z$103+'Rentas SpA'!Z97*'Rentas SpA'!Z$102+'Pza Const'!Z97*'Pza Const'!Z$102+'Pza Arauc'!Z97*'Pza Arauc'!Z$102+RRetail!Z97*RRetail!Z$102+Bucarest!Z97*Bucarest!Z$102+Magdalena!Z97*Magdalena!Z$102+BFC!Z97*BFC!Z$102</f>
        <v>8682135</v>
      </c>
      <c r="AA82" s="3">
        <f>+Descubrimiento!AA98*Descubrimiento!AA$103+'Rentas SpA'!AA97*'Rentas SpA'!AA$102+'Pza Const'!AA97*'Pza Const'!AA$102+'Pza Arauc'!AA97*'Pza Arauc'!AA$102+RRetail!AA97*RRetail!AA$102+Bucarest!AA97*Bucarest!AA$102+Magdalena!AA97*Magdalena!AA$102+BFC!AA97*BFC!AA$102</f>
        <v>2369910.5999999996</v>
      </c>
      <c r="AB82" s="3">
        <f>+Descubrimiento!AB98*Descubrimiento!AB$103+'Rentas SpA'!AB97*'Rentas SpA'!AB$102+'Pza Const'!AB97*'Pza Const'!AB$102+'Pza Arauc'!AB97*'Pza Arauc'!AB$102+RRetail!AB97*RRetail!AB$102+Bucarest!AB97*Bucarest!AB$102+Magdalena!AB97*Magdalena!AB$102+BFC!AB97*BFC!AB$102</f>
        <v>4670697.5</v>
      </c>
      <c r="AC82" s="3">
        <f>+Descubrimiento!AC98*Descubrimiento!AC$103+'Rentas SpA'!AC97*'Rentas SpA'!AC$102+'Pza Const'!AC97*'Pza Const'!AC$102+'Pza Arauc'!AC97*'Pza Arauc'!AC$102+RRetail!AC97*RRetail!AC$102+Bucarest!AC97*Bucarest!AC$102+Magdalena!AC97*Magdalena!AC$102+BFC!AC97*BFC!AC$102</f>
        <v>7592473.5999999996</v>
      </c>
      <c r="AD82" s="3">
        <f>+Descubrimiento!AD98*Descubrimiento!AD$103+'Rentas SpA'!AD97*'Rentas SpA'!AD$102+'Pza Const'!AD97*'Pza Const'!AD$102+'Pza Arauc'!AD97*'Pza Arauc'!AD$102+RRetail!AD97*RRetail!AD$102+Bucarest!AD97*Bucarest!AD$102+Magdalena!AD97*Magdalena!AD$102+BFC!AD97*BFC!AD$102</f>
        <v>10208561.399999999</v>
      </c>
      <c r="AE82" s="3">
        <f>+Descubrimiento!AE98*Descubrimiento!AE$103+'Rentas SpA'!AE97*'Rentas SpA'!AE$102+'Pza Const'!AE97*'Pza Const'!AE$102+'Pza Arauc'!AE97*'Pza Arauc'!AE$102+RRetail!AE97*RRetail!AE$102+Bucarest!AE97*Bucarest!AE$102+Magdalena!AE97*Magdalena!AE$102+BFC!AE97*BFC!AE$102</f>
        <v>2705687.9</v>
      </c>
      <c r="AF82" s="3">
        <f>+Descubrimiento!AF98*Descubrimiento!AF$103+'Rentas SpA'!AF97*'Rentas SpA'!AF$102+'Pza Const'!AF97*'Pza Const'!AF$102+'Pza Arauc'!AF97*'Pza Arauc'!AF$102+RRetail!AF97*RRetail!AF$102+Bucarest!AF97*Bucarest!AF$102+Magdalena!AF97*Magdalena!AF$102+BFC!AF97*BFC!AF$102</f>
        <v>5481381.4000000004</v>
      </c>
      <c r="AG82" s="3">
        <f>+Descubrimiento!AG98*Descubrimiento!AG$103+'Rentas SpA'!AG97*'Rentas SpA'!AG$102+'Pza Const'!AG97*'Pza Const'!AG$102+'Pza Arauc'!AG97*'Pza Arauc'!AG$102+RRetail!AG97*RRetail!AG$102+Bucarest!AG97*Bucarest!AG$102+Magdalena!AG97*Magdalena!AG$102+BFC!AG97*BFC!AG$102</f>
        <v>8502755.3000000007</v>
      </c>
      <c r="AH82" s="3">
        <f>+Descubrimiento!AH98*Descubrimiento!AH$103+'Rentas SpA'!AH97*'Rentas SpA'!AH$102+'Pza Const'!AH97*'Pza Const'!AH$102+'Pza Arauc'!AH97*'Pza Arauc'!AH$102+RRetail!AH97*RRetail!AH$102+Bucarest!AH97*Bucarest!AH$102+Magdalena!AH97*Magdalena!AH$102+BFC!AH97*BFC!AH$102</f>
        <v>11041507.6</v>
      </c>
      <c r="AI82" s="3">
        <f>+Descubrimiento!AI98*Descubrimiento!AI$103+'Rentas SpA'!AI97*'Rentas SpA'!AI$102+'Pza Const'!AI97*'Pza Const'!AI$102+'Pza Arauc'!AI97*'Pza Arauc'!AI$102+RRetail!AI97*RRetail!AI$102+Bucarest!AI97*Bucarest!AI$102+Magdalena!AI97*Magdalena!AI$102+BFC!AI97*BFC!AI$102</f>
        <v>2898595.3</v>
      </c>
    </row>
    <row r="83" spans="1:35" s="1" customFormat="1" x14ac:dyDescent="0.3">
      <c r="A83" s="1" t="s">
        <v>97</v>
      </c>
      <c r="B83" s="3">
        <f>+Descubrimiento!B99*Descubrimiento!B$103+'Rentas SpA'!B98*'Rentas SpA'!B$102+'Pza Const'!B98*'Pza Const'!B$102+'Pza Arauc'!B98*'Pza Arauc'!B$102+RRetail!B98*RRetail!B$102+Bucarest!B98*Bucarest!B$102+Magdalena!B98*Magdalena!B$102+BFC!B98*BFC!B$102</f>
        <v>167369</v>
      </c>
      <c r="C83" s="3">
        <f>+Descubrimiento!C99*Descubrimiento!C$103+'Rentas SpA'!C98*'Rentas SpA'!C$102+'Pza Const'!C98*'Pza Const'!C$102+'Pza Arauc'!C98*'Pza Arauc'!C$102+RRetail!C98*RRetail!C$102+Bucarest!C98*Bucarest!C$102+Magdalena!C98*Magdalena!C$102+BFC!C98*BFC!C$102</f>
        <v>46962.5</v>
      </c>
      <c r="D83" s="3">
        <f>+Descubrimiento!D99*Descubrimiento!D$103+'Rentas SpA'!D98*'Rentas SpA'!D$102+'Pza Const'!D98*'Pza Const'!D$102+'Pza Arauc'!D98*'Pza Arauc'!D$102+RRetail!D98*RRetail!D$102+Bucarest!D98*Bucarest!D$102+Magdalena!D98*Magdalena!D$102+BFC!D98*BFC!D$102</f>
        <v>36869</v>
      </c>
      <c r="E83" s="3">
        <f>+Descubrimiento!E99*Descubrimiento!E$103+'Rentas SpA'!E98*'Rentas SpA'!E$102+'Pza Const'!E98*'Pza Const'!E$102+'Pza Arauc'!E98*'Pza Arauc'!E$102+RRetail!E98*RRetail!E$102+Bucarest!E98*Bucarest!E$102+Magdalena!E98*Magdalena!E$102+BFC!E98*BFC!E$102</f>
        <v>168414</v>
      </c>
      <c r="F83" s="3">
        <f>+Descubrimiento!F99*Descubrimiento!F$103+'Rentas SpA'!F98*'Rentas SpA'!F$102+'Pza Const'!F98*'Pza Const'!F$102+'Pza Arauc'!F98*'Pza Arauc'!F$102+RRetail!F98*RRetail!F$102+Bucarest!F98*Bucarest!F$102+Magdalena!F98*Magdalena!F$102+BFC!F98*BFC!F$102</f>
        <v>760105</v>
      </c>
      <c r="G83" s="3">
        <f>+Descubrimiento!G99*Descubrimiento!G$103+'Rentas SpA'!G98*'Rentas SpA'!G$102+'Pza Const'!G98*'Pza Const'!G$102+'Pza Arauc'!G98*'Pza Arauc'!G$102+RRetail!G98*RRetail!G$102+Bucarest!G98*Bucarest!G$102+Magdalena!G98*Magdalena!G$102+BFC!G98*BFC!G$102</f>
        <v>432848</v>
      </c>
      <c r="H83" s="3">
        <f>+Descubrimiento!H99*Descubrimiento!H$103+'Rentas SpA'!H98*'Rentas SpA'!H$102+'Pza Const'!H98*'Pza Const'!H$102+'Pza Arauc'!H98*'Pza Arauc'!H$102+RRetail!H98*RRetail!H$102+Bucarest!H98*Bucarest!H$102+Magdalena!H98*Magdalena!H$102+BFC!H98*BFC!H$102</f>
        <v>578341</v>
      </c>
      <c r="I83" s="3">
        <f>+Descubrimiento!I99*Descubrimiento!I$103+'Rentas SpA'!I98*'Rentas SpA'!I$102+'Pza Const'!I98*'Pza Const'!I$102+'Pza Arauc'!I98*'Pza Arauc'!I$102+RRetail!I98*RRetail!I$102+Bucarest!I98*Bucarest!I$102+Magdalena!I98*Magdalena!I$102+BFC!I98*BFC!I$102</f>
        <v>674050</v>
      </c>
      <c r="J83" s="3">
        <f>+Descubrimiento!J99*Descubrimiento!J$103+'Rentas SpA'!J98*'Rentas SpA'!J$102+'Pza Const'!J98*'Pza Const'!J$102+'Pza Arauc'!J98*'Pza Arauc'!J$102+RRetail!J98*RRetail!J$102+Bucarest!J98*Bucarest!J$102+Magdalena!J98*Magdalena!J$102+BFC!J98*BFC!J$102</f>
        <v>694519</v>
      </c>
      <c r="K83" s="3">
        <f>+Descubrimiento!K99*Descubrimiento!K$103+'Rentas SpA'!K98*'Rentas SpA'!K$102+'Pza Const'!K98*'Pza Const'!K$102+'Pza Arauc'!K98*'Pza Arauc'!K$102+RRetail!K98*RRetail!K$102+Bucarest!K98*Bucarest!K$102+Magdalena!K98*Magdalena!K$102+BFC!K98*BFC!K$102</f>
        <v>35918</v>
      </c>
      <c r="L83" s="3">
        <f>+Descubrimiento!L99*Descubrimiento!L$103+'Rentas SpA'!L98*'Rentas SpA'!L$102+'Pza Const'!L98*'Pza Const'!L$102+'Pza Arauc'!L98*'Pza Arauc'!L$102+RRetail!L98*RRetail!L$102+Bucarest!L98*Bucarest!L$102+Magdalena!L98*Magdalena!L$102+BFC!L98*BFC!L$102</f>
        <v>2316589</v>
      </c>
      <c r="M83" s="3">
        <f>+Descubrimiento!M99*Descubrimiento!M$103+'Rentas SpA'!M98*'Rentas SpA'!M$102+'Pza Const'!M98*'Pza Const'!M$102+'Pza Arauc'!M98*'Pza Arauc'!M$102+RRetail!M98*RRetail!M$102+Bucarest!M98*Bucarest!M$102+Magdalena!M98*Magdalena!M$102+BFC!M98*BFC!M$102</f>
        <v>2312847</v>
      </c>
      <c r="N83" s="3">
        <f>+Descubrimiento!N99*Descubrimiento!N$103+'Rentas SpA'!N98*'Rentas SpA'!N$102+'Pza Const'!N98*'Pza Const'!N$102+'Pza Arauc'!N98*'Pza Arauc'!N$102+RRetail!N98*RRetail!N$102+Bucarest!N98*Bucarest!N$102+Magdalena!N98*Magdalena!N$102+BFC!N98*BFC!N$102</f>
        <v>2352475</v>
      </c>
      <c r="O83" s="3">
        <f>+Descubrimiento!O99*Descubrimiento!O$103+'Rentas SpA'!O98*'Rentas SpA'!O$102+'Pza Const'!O98*'Pza Const'!O$102+'Pza Arauc'!O98*'Pza Arauc'!O$102+RRetail!O98*RRetail!O$102+Bucarest!O98*Bucarest!O$102+Magdalena!O98*Magdalena!O$102+BFC!O98*BFC!O$102</f>
        <v>2468</v>
      </c>
      <c r="P83" s="3">
        <f>+Descubrimiento!P99*Descubrimiento!P$103+'Rentas SpA'!P98*'Rentas SpA'!P$102+'Pza Const'!P98*'Pza Const'!P$102+'Pza Arauc'!P98*'Pza Arauc'!P$102+RRetail!P98*RRetail!P$102+Bucarest!P98*Bucarest!P$102+Magdalena!P98*Magdalena!P$102+BFC!P98*BFC!P$102</f>
        <v>4736</v>
      </c>
      <c r="Q83" s="3">
        <f>+Descubrimiento!Q99*Descubrimiento!Q$103+'Rentas SpA'!Q98*'Rentas SpA'!Q$102+'Pza Const'!Q98*'Pza Const'!Q$102+'Pza Arauc'!Q98*'Pza Arauc'!Q$102+RRetail!Q98*RRetail!Q$102+Bucarest!Q98*Bucarest!Q$102+Magdalena!Q98*Magdalena!Q$102+BFC!Q98*BFC!Q$102</f>
        <v>12017</v>
      </c>
      <c r="R83" s="3">
        <f>+Descubrimiento!R99*Descubrimiento!R$103+'Rentas SpA'!R98*'Rentas SpA'!R$102+'Pza Const'!R98*'Pza Const'!R$102+'Pza Arauc'!R98*'Pza Arauc'!R$102+RRetail!R98*RRetail!R$102+Bucarest!R98*Bucarest!R$102+Magdalena!R98*Magdalena!R$102+BFC!R98*BFC!R$102</f>
        <v>76894.5</v>
      </c>
      <c r="S83" s="3">
        <f>+Descubrimiento!S99*Descubrimiento!S$103+'Rentas SpA'!S98*'Rentas SpA'!S$102+'Pza Const'!S98*'Pza Const'!S$102+'Pza Arauc'!S98*'Pza Arauc'!S$102+RRetail!S98*RRetail!S$102+Bucarest!S98*Bucarest!S$102+Magdalena!S98*Magdalena!S$102+BFC!S98*BFC!S$102</f>
        <v>52160</v>
      </c>
      <c r="T83" s="3">
        <f>+Descubrimiento!T99*Descubrimiento!T$103+'Rentas SpA'!T98*'Rentas SpA'!T$102+'Pza Const'!T98*'Pza Const'!T$102+'Pza Arauc'!T98*'Pza Arauc'!T$102+RRetail!T98*RRetail!T$102+Bucarest!T98*Bucarest!T$102+Magdalena!T98*Magdalena!T$102+BFC!T98*BFC!T$102</f>
        <v>26320</v>
      </c>
      <c r="U83" s="3">
        <f>+Descubrimiento!U99*Descubrimiento!U$103+'Rentas SpA'!U98*'Rentas SpA'!U$102+'Pza Const'!U98*'Pza Const'!U$102+'Pza Arauc'!U98*'Pza Arauc'!U$102+RRetail!U98*RRetail!U$102+Bucarest!U98*Bucarest!U$102+Magdalena!U98*Magdalena!U$102+BFC!U98*BFC!U$102</f>
        <v>39173</v>
      </c>
      <c r="V83" s="3">
        <f>+Descubrimiento!V99*Descubrimiento!V$103+'Rentas SpA'!V98*'Rentas SpA'!V$102+'Pza Const'!V98*'Pza Const'!V$102+'Pza Arauc'!V98*'Pza Arauc'!V$102+RRetail!V98*RRetail!V$102+Bucarest!V98*Bucarest!V$102+Magdalena!V98*Magdalena!V$102+BFC!V98*BFC!V$102</f>
        <v>399450.1</v>
      </c>
      <c r="W83" s="3">
        <f>+Descubrimiento!W99*Descubrimiento!W$103+'Rentas SpA'!W98*'Rentas SpA'!W$102+'Pza Const'!W98*'Pza Const'!W$102+'Pza Arauc'!W98*'Pza Arauc'!W$102+RRetail!W98*RRetail!W$102+Bucarest!W98*Bucarest!W$102+Magdalena!W98*Magdalena!W$102+BFC!W98*BFC!W$102</f>
        <v>12993</v>
      </c>
      <c r="X83" s="3">
        <f>+Descubrimiento!X99*Descubrimiento!X$103+'Rentas SpA'!X98*'Rentas SpA'!X$102+'Pza Const'!X98*'Pza Const'!X$102+'Pza Arauc'!X98*'Pza Arauc'!X$102+RRetail!X98*RRetail!X$102+Bucarest!X98*Bucarest!X$102+Magdalena!X98*Magdalena!X$102+BFC!X98*BFC!X$102</f>
        <v>19498</v>
      </c>
      <c r="Y83" s="3">
        <f>+Descubrimiento!Y99*Descubrimiento!Y$103+'Rentas SpA'!Y98*'Rentas SpA'!Y$102+'Pza Const'!Y98*'Pza Const'!Y$102+'Pza Arauc'!Y98*'Pza Arauc'!Y$102+RRetail!Y98*RRetail!Y$102+Bucarest!Y98*Bucarest!Y$102+Magdalena!Y98*Magdalena!Y$102+BFC!Y98*BFC!Y$102</f>
        <v>517250</v>
      </c>
      <c r="Z83" s="3">
        <f>+Descubrimiento!Z99*Descubrimiento!Z$103+'Rentas SpA'!Z98*'Rentas SpA'!Z$102+'Pza Const'!Z98*'Pza Const'!Z$102+'Pza Arauc'!Z98*'Pza Arauc'!Z$102+RRetail!Z98*RRetail!Z$102+Bucarest!Z98*Bucarest!Z$102+Magdalena!Z98*Magdalena!Z$102+BFC!Z98*BFC!Z$102</f>
        <v>696316.89999999991</v>
      </c>
      <c r="AA83" s="3">
        <f>+Descubrimiento!AA99*Descubrimiento!AA$103+'Rentas SpA'!AA98*'Rentas SpA'!AA$102+'Pza Const'!AA98*'Pza Const'!AA$102+'Pza Arauc'!AA98*'Pza Arauc'!AA$102+RRetail!AA98*RRetail!AA$102+Bucarest!AA98*Bucarest!AA$102+Magdalena!AA98*Magdalena!AA$102+BFC!AA98*BFC!AA$102</f>
        <v>17860</v>
      </c>
      <c r="AB83" s="3">
        <f>+Descubrimiento!AB99*Descubrimiento!AB$103+'Rentas SpA'!AB98*'Rentas SpA'!AB$102+'Pza Const'!AB98*'Pza Const'!AB$102+'Pza Arauc'!AB98*'Pza Arauc'!AB$102+RRetail!AB98*RRetail!AB$102+Bucarest!AB98*Bucarest!AB$102+Magdalena!AB98*Magdalena!AB$102+BFC!AB98*BFC!AB$102</f>
        <v>30773</v>
      </c>
      <c r="AC83" s="3">
        <f>+Descubrimiento!AC99*Descubrimiento!AC$103+'Rentas SpA'!AC98*'Rentas SpA'!AC$102+'Pza Const'!AC98*'Pza Const'!AC$102+'Pza Arauc'!AC98*'Pza Arauc'!AC$102+RRetail!AC98*RRetail!AC$102+Bucarest!AC98*Bucarest!AC$102+Magdalena!AC98*Magdalena!AC$102+BFC!AC98*BFC!AC$102</f>
        <v>36968</v>
      </c>
      <c r="AD83" s="3">
        <f>+Descubrimiento!AD99*Descubrimiento!AD$103+'Rentas SpA'!AD98*'Rentas SpA'!AD$102+'Pza Const'!AD98*'Pza Const'!AD$102+'Pza Arauc'!AD98*'Pza Arauc'!AD$102+RRetail!AD98*RRetail!AD$102+Bucarest!AD98*Bucarest!AD$102+Magdalena!AD98*Magdalena!AD$102+BFC!AD98*BFC!AD$102</f>
        <v>80124</v>
      </c>
      <c r="AE83" s="3">
        <f>+Descubrimiento!AE99*Descubrimiento!AE$103+'Rentas SpA'!AE98*'Rentas SpA'!AE$102+'Pza Const'!AE98*'Pza Const'!AE$102+'Pza Arauc'!AE98*'Pza Arauc'!AE$102+RRetail!AE98*RRetail!AE$102+Bucarest!AE98*Bucarest!AE$102+Magdalena!AE98*Magdalena!AE$102+BFC!AE98*BFC!AE$102</f>
        <v>43175.3</v>
      </c>
      <c r="AF83" s="3">
        <f>+Descubrimiento!AF99*Descubrimiento!AF$103+'Rentas SpA'!AF98*'Rentas SpA'!AF$102+'Pza Const'!AF98*'Pza Const'!AF$102+'Pza Arauc'!AF98*'Pza Arauc'!AF$102+RRetail!AF98*RRetail!AF$102+Bucarest!AF98*Bucarest!AF$102+Magdalena!AF98*Magdalena!AF$102+BFC!AF98*BFC!AF$102</f>
        <v>96674.9</v>
      </c>
      <c r="AG83" s="3">
        <f>+Descubrimiento!AG99*Descubrimiento!AG$103+'Rentas SpA'!AG98*'Rentas SpA'!AG$102+'Pza Const'!AG98*'Pza Const'!AG$102+'Pza Arauc'!AG98*'Pza Arauc'!AG$102+RRetail!AG98*RRetail!AG$102+Bucarest!AG98*Bucarest!AG$102+Magdalena!AG98*Magdalena!AG$102+BFC!AG98*BFC!AG$102</f>
        <v>134778.79999999999</v>
      </c>
      <c r="AH83" s="3">
        <f>+Descubrimiento!AH99*Descubrimiento!AH$103+'Rentas SpA'!AH98*'Rentas SpA'!AH$102+'Pza Const'!AH98*'Pza Const'!AH$102+'Pza Arauc'!AH98*'Pza Arauc'!AH$102+RRetail!AH98*RRetail!AH$102+Bucarest!AH98*Bucarest!AH$102+Magdalena!AH98*Magdalena!AH$102+BFC!AH98*BFC!AH$102</f>
        <v>544726.6</v>
      </c>
      <c r="AI83" s="3">
        <f>+Descubrimiento!AI99*Descubrimiento!AI$103+'Rentas SpA'!AI98*'Rentas SpA'!AI$102+'Pza Const'!AI98*'Pza Const'!AI$102+'Pza Arauc'!AI98*'Pza Arauc'!AI$102+RRetail!AI98*RRetail!AI$102+Bucarest!AI98*Bucarest!AI$102+Magdalena!AI98*Magdalena!AI$102+BFC!AI98*BFC!AI$102</f>
        <v>15920</v>
      </c>
    </row>
    <row r="84" spans="1:35" s="1" customFormat="1" x14ac:dyDescent="0.3">
      <c r="A84" s="6" t="s">
        <v>92</v>
      </c>
      <c r="B84" s="7">
        <f>SUM(B80:B83)</f>
        <v>14592467.5</v>
      </c>
      <c r="C84" s="7">
        <f>SUM(C80:C83)</f>
        <v>14100714</v>
      </c>
      <c r="D84" s="7">
        <f t="shared" ref="D84:R84" si="166">SUM(D80:D83)</f>
        <v>16854336</v>
      </c>
      <c r="E84" s="7">
        <f t="shared" si="166"/>
        <v>17605162</v>
      </c>
      <c r="F84" s="7">
        <f t="shared" si="166"/>
        <v>18139733</v>
      </c>
      <c r="G84" s="7">
        <f t="shared" ref="G84:I84" si="167">SUM(G80:G83)</f>
        <v>4619512</v>
      </c>
      <c r="H84" s="7">
        <f t="shared" si="167"/>
        <v>9169571</v>
      </c>
      <c r="I84" s="7">
        <f t="shared" si="167"/>
        <v>13579953</v>
      </c>
      <c r="J84" s="7">
        <f t="shared" si="166"/>
        <v>18038987</v>
      </c>
      <c r="K84" s="7">
        <f t="shared" ref="K84:M84" si="168">SUM(K80:K83)</f>
        <v>3597859</v>
      </c>
      <c r="L84" s="7">
        <f t="shared" si="168"/>
        <v>9471978</v>
      </c>
      <c r="M84" s="7">
        <f t="shared" si="168"/>
        <v>13261053</v>
      </c>
      <c r="N84" s="7">
        <f t="shared" si="166"/>
        <v>19077273.600000001</v>
      </c>
      <c r="O84" s="7">
        <f t="shared" ref="O84:Q84" si="169">SUM(O80:O83)</f>
        <v>3980663.8000000003</v>
      </c>
      <c r="P84" s="7">
        <f t="shared" si="169"/>
        <v>7908212.5999999996</v>
      </c>
      <c r="Q84" s="7">
        <f t="shared" si="169"/>
        <v>12090062.199999999</v>
      </c>
      <c r="R84" s="7">
        <f t="shared" si="166"/>
        <v>17103636.600000001</v>
      </c>
      <c r="S84" s="7">
        <f t="shared" ref="S84:U84" si="170">SUM(S80:S83)</f>
        <v>6272992.2000000002</v>
      </c>
      <c r="T84" s="7">
        <f t="shared" si="170"/>
        <v>12921785.699999999</v>
      </c>
      <c r="U84" s="7">
        <f t="shared" si="170"/>
        <v>20121770.800000001</v>
      </c>
      <c r="V84" s="7">
        <f t="shared" ref="V84:Y84" si="171">SUM(V80:V83)</f>
        <v>27765262.5</v>
      </c>
      <c r="W84" s="7">
        <f t="shared" si="171"/>
        <v>6744419.0999999996</v>
      </c>
      <c r="X84" s="7">
        <f t="shared" si="171"/>
        <v>13468615.1</v>
      </c>
      <c r="Y84" s="7">
        <f t="shared" si="171"/>
        <v>20618670.199999999</v>
      </c>
      <c r="Z84" s="7">
        <f t="shared" ref="Z84:AA84" si="172">SUM(Z80:Z83)</f>
        <v>27306593.899999999</v>
      </c>
      <c r="AA84" s="7">
        <f t="shared" si="172"/>
        <v>7544951.7999999998</v>
      </c>
      <c r="AB84" s="7">
        <f t="shared" ref="AB84:AC84" si="173">SUM(AB80:AB83)</f>
        <v>15203524.1</v>
      </c>
      <c r="AC84" s="7">
        <f t="shared" si="173"/>
        <v>23327193.600000001</v>
      </c>
      <c r="AD84" s="7">
        <f t="shared" ref="AD84:AE84" si="174">SUM(AD80:AD83)</f>
        <v>31358253.399999999</v>
      </c>
      <c r="AE84" s="7">
        <f t="shared" si="174"/>
        <v>8045958.1000000006</v>
      </c>
      <c r="AF84" s="7">
        <f t="shared" ref="AF84:AG84" si="175">SUM(AF80:AF83)</f>
        <v>16102946.800000001</v>
      </c>
      <c r="AG84" s="7">
        <f t="shared" si="175"/>
        <v>23937154.500000004</v>
      </c>
      <c r="AH84" s="7">
        <f t="shared" ref="AH84:AI84" si="176">SUM(AH80:AH83)</f>
        <v>31665164.5</v>
      </c>
      <c r="AI84" s="7">
        <f t="shared" si="176"/>
        <v>7587924</v>
      </c>
    </row>
    <row r="85" spans="1:35" s="1" customFormat="1" x14ac:dyDescent="0.3"/>
    <row r="86" spans="1:35" s="1" customFormat="1" x14ac:dyDescent="0.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row>
    <row r="87" spans="1:35" x14ac:dyDescent="0.3">
      <c r="A87" s="1" t="s">
        <v>182</v>
      </c>
      <c r="B87" s="19">
        <f>+Descubrimiento!B93*Descubrimiento!B103+'Rentas SpA'!B92*'Rentas SpA'!B102+'Pza Const'!B92*'Pza Const'!B102+'Pza Arauc'!B92*'Pza Arauc'!B102+RRetail!B92*RRetail!B102+Bucarest!B92*Bucarest!B102+Magdalena!B92*Magdalena!B102+BFC!B92*BFC!B102</f>
        <v>2814058</v>
      </c>
      <c r="C87" s="19">
        <f>+Descubrimiento!C93*Descubrimiento!C103+'Rentas SpA'!C92*'Rentas SpA'!C102+'Pza Const'!C92*'Pza Const'!C102+'Pza Arauc'!C92*'Pza Arauc'!C102+RRetail!C92*RRetail!C102+Bucarest!C92*Bucarest!C102+Magdalena!C92*Magdalena!C102+BFC!C92*BFC!C102</f>
        <v>4452978.5</v>
      </c>
      <c r="D87" s="19">
        <f>+Descubrimiento!D93*Descubrimiento!D103+'Rentas SpA'!D92*'Rentas SpA'!D102+'Pza Const'!D92*'Pza Const'!D102+'Pza Arauc'!D92*'Pza Arauc'!D102+RRetail!D92*RRetail!D102+Bucarest!D92*Bucarest!D102+Magdalena!D92*Magdalena!D102+BFC!D92*BFC!D102</f>
        <v>6894313</v>
      </c>
      <c r="E87" s="19">
        <f>+Descubrimiento!E93*Descubrimiento!E103+'Rentas SpA'!E92*'Rentas SpA'!E102+'Pza Const'!E92*'Pza Const'!E102+'Pza Arauc'!E92*'Pza Arauc'!E102+RRetail!E92*RRetail!E102+Bucarest!E92*Bucarest!E102+Magdalena!E92*Magdalena!E102+BFC!E92*BFC!E102</f>
        <v>7973603</v>
      </c>
      <c r="F87" s="19">
        <f>+Descubrimiento!F93*Descubrimiento!F103+'Rentas SpA'!F92*'Rentas SpA'!F102+'Pza Const'!F92*'Pza Const'!F102+'Pza Arauc'!F92*'Pza Arauc'!F102+RRetail!F92*RRetail!F102+Bucarest!F92*Bucarest!F102+Magdalena!F92*Magdalena!F102+BFC!F92*BFC!F102</f>
        <v>8456701</v>
      </c>
      <c r="G87" s="19">
        <f>+Descubrimiento!G93*Descubrimiento!G103+'Rentas SpA'!G92*'Rentas SpA'!G102+'Pza Const'!G92*'Pza Const'!G102+'Pza Arauc'!G92*'Pza Arauc'!G102+RRetail!G92*RRetail!G102+Bucarest!G92*Bucarest!G102+Magdalena!G92*Magdalena!G102+BFC!G92*BFC!G102</f>
        <v>1998159.375</v>
      </c>
      <c r="H87" s="19">
        <f>+Descubrimiento!H93*Descubrimiento!H103+'Rentas SpA'!H92*'Rentas SpA'!H102+'Pza Const'!H92*'Pza Const'!H102+'Pza Arauc'!H92*'Pza Arauc'!H102+RRetail!H92*RRetail!H102+Bucarest!H92*Bucarest!H102+Magdalena!H92*Magdalena!H102+BFC!H92*BFC!H102</f>
        <v>4094843.3509999998</v>
      </c>
      <c r="I87" s="19">
        <f>+Descubrimiento!I93*Descubrimiento!I103+'Rentas SpA'!I92*'Rentas SpA'!I102+'Pza Const'!I92*'Pza Const'!I102+'Pza Arauc'!I92*'Pza Arauc'!I102+RRetail!I92*RRetail!I102+Bucarest!I92*Bucarest!I102+Magdalena!I92*Magdalena!I102+BFC!I92*BFC!I102</f>
        <v>6436178</v>
      </c>
      <c r="J87" s="19">
        <f>+Descubrimiento!J93*Descubrimiento!J103+'Rentas SpA'!J92*'Rentas SpA'!J102+'Pza Const'!J92*'Pza Const'!J102+'Pza Arauc'!J92*'Pza Arauc'!J102+RRetail!J92*RRetail!J102+Bucarest!J92*Bucarest!J102+Magdalena!J92*Magdalena!J102+BFC!J92*BFC!J102</f>
        <v>9142657</v>
      </c>
      <c r="K87" s="19">
        <f>+Descubrimiento!K93*Descubrimiento!K103+'Rentas SpA'!K92*'Rentas SpA'!K102+'Pza Const'!K92*'Pza Const'!K102+'Pza Arauc'!K92*'Pza Arauc'!K102+RRetail!K92*RRetail!K102+Bucarest!K92*Bucarest!K102+Magdalena!K92*Magdalena!K102+BFC!K92*BFC!K102</f>
        <v>2260524.2439999999</v>
      </c>
      <c r="L87" s="19">
        <f>+Descubrimiento!L93*Descubrimiento!L103+'Rentas SpA'!L92*'Rentas SpA'!L102+'Pza Const'!L92*'Pza Const'!L102+'Pza Arauc'!L92*'Pza Arauc'!L102+RRetail!L92*RRetail!L102+Bucarest!L92*Bucarest!L102+Magdalena!L92*Magdalena!L102+BFC!L92*BFC!L102</f>
        <v>4972280</v>
      </c>
      <c r="M87" s="19">
        <f>+Descubrimiento!M93*Descubrimiento!M103+'Rentas SpA'!M92*'Rentas SpA'!M102+'Pza Const'!M92*'Pza Const'!M102+'Pza Arauc'!M92*'Pza Arauc'!M102+RRetail!M92*RRetail!M102+Bucarest!M92*Bucarest!M102+Magdalena!M92*Magdalena!M102+BFC!M92*BFC!M102</f>
        <v>7678637</v>
      </c>
      <c r="N87" s="19">
        <f>+Descubrimiento!N93*Descubrimiento!N103+'Rentas SpA'!N92*'Rentas SpA'!N102+'Pza Const'!N92*'Pza Const'!N102+'Pza Arauc'!N92*'Pza Arauc'!N102+RRetail!N92*RRetail!N102+Bucarest!N92*Bucarest!N102+Magdalena!N92*Magdalena!N102+BFC!N92*BFC!N102</f>
        <v>13910325.6</v>
      </c>
      <c r="O87" s="19">
        <f>+Descubrimiento!O93*Descubrimiento!O103+'Rentas SpA'!O92*'Rentas SpA'!O102+'Pza Const'!O92*'Pza Const'!O102+'Pza Arauc'!O92*'Pza Arauc'!O102+RRetail!O92*RRetail!O102+Bucarest!O92*Bucarest!O102+Magdalena!O92*Magdalena!O102+BFC!O92*BFC!O102</f>
        <v>3777877.8</v>
      </c>
      <c r="P87" s="19">
        <f>+Descubrimiento!P93*Descubrimiento!P103+'Rentas SpA'!P92*'Rentas SpA'!P102+'Pza Const'!P92*'Pza Const'!P102+'Pza Arauc'!P92*'Pza Arauc'!P102+RRetail!P92*RRetail!P102+Bucarest!P92*Bucarest!P102+Magdalena!P92*Magdalena!P102+BFC!P92*BFC!P102</f>
        <v>7048717.7999999998</v>
      </c>
      <c r="Q87" s="19">
        <f>+Descubrimiento!Q93*Descubrimiento!Q103+'Rentas SpA'!Q92*'Rentas SpA'!Q102+'Pza Const'!Q92*'Pza Const'!Q102+'Pza Arauc'!Q92*'Pza Arauc'!Q102+RRetail!Q92*RRetail!Q102+Bucarest!Q92*Bucarest!Q102+Magdalena!Q92*Magdalena!Q102+BFC!Q92*BFC!Q102</f>
        <v>10445708.800000001</v>
      </c>
      <c r="R87" s="19">
        <f>+Descubrimiento!R93*Descubrimiento!R103+'Rentas SpA'!R92*'Rentas SpA'!R102+'Pza Const'!R92*'Pza Const'!R102+'Pza Arauc'!R92*'Pza Arauc'!R102+RRetail!R92*RRetail!R102+Bucarest!R92*Bucarest!R102+Magdalena!R92*Magdalena!R102+BFC!R92*BFC!R102</f>
        <v>16313414.199999999</v>
      </c>
      <c r="S87" s="19">
        <f>+Descubrimiento!S93*Descubrimiento!S103+'Rentas SpA'!S92*'Rentas SpA'!S102+'Pza Const'!S92*'Pza Const'!S102+'Pza Arauc'!S92*'Pza Arauc'!S102+RRetail!S92*RRetail!S102+Bucarest!S92*Bucarest!S102+Magdalena!S92*Magdalena!S102+BFC!S92*BFC!S102</f>
        <v>4304264.5999999996</v>
      </c>
      <c r="T87" s="19">
        <f>+Descubrimiento!T93*Descubrimiento!T103+'Rentas SpA'!T92*'Rentas SpA'!T102+'Pza Const'!T92*'Pza Const'!T102+'Pza Arauc'!T92*'Pza Arauc'!T102+RRetail!T92*RRetail!T102+Bucarest!T92*Bucarest!T102+Magdalena!T92*Magdalena!T102+BFC!T92*BFC!T102</f>
        <v>9731366.8000000007</v>
      </c>
      <c r="U87" s="19">
        <f>+Descubrimiento!U93*Descubrimiento!U103+'Rentas SpA'!U92*'Rentas SpA'!U102+'Pza Const'!U92*'Pza Const'!U102+'Pza Arauc'!U92*'Pza Arauc'!U102+RRetail!U92*RRetail!U102+Bucarest!U92*Bucarest!U102+Magdalena!U92*Magdalena!U102+BFC!U92*BFC!U102</f>
        <v>15317961.412999999</v>
      </c>
      <c r="V87" s="19">
        <f>+Descubrimiento!V93*Descubrimiento!V103+'Rentas SpA'!V92*'Rentas SpA'!V102+'Pza Const'!V92*'Pza Const'!V102+'Pza Arauc'!V92*'Pza Arauc'!V102+RRetail!V92*RRetail!V102+Bucarest!V92*Bucarest!V102+Magdalena!V92*Magdalena!V102+BFC!V92*BFC!V102</f>
        <v>20622178.399999999</v>
      </c>
      <c r="W87" s="19">
        <f>+Descubrimiento!W93*Descubrimiento!W103+'Rentas SpA'!W92*'Rentas SpA'!W102+'Pza Const'!W92*'Pza Const'!W102+'Pza Arauc'!W92*'Pza Arauc'!W102+RRetail!W92*RRetail!W102+Bucarest!W92*Bucarest!W102+Magdalena!W92*Magdalena!W102+BFC!W92*BFC!W102</f>
        <v>5559997.2999999998</v>
      </c>
      <c r="X87" s="19">
        <f>+Descubrimiento!X93*Descubrimiento!X103+'Rentas SpA'!X92*'Rentas SpA'!X102+'Pza Const'!X92*'Pza Const'!X102+'Pza Arauc'!X92*'Pza Arauc'!X102+RRetail!X92*RRetail!X102+Bucarest!X92*Bucarest!X102+Magdalena!X92*Magdalena!X102+BFC!X92*BFC!X102</f>
        <v>12564081.199999999</v>
      </c>
      <c r="Y87" s="19">
        <f>+Descubrimiento!Y93*Descubrimiento!Y103+'Rentas SpA'!Y92*'Rentas SpA'!Y102+'Pza Const'!Y92*'Pza Const'!Y102+'Pza Arauc'!Y92*'Pza Arauc'!Y102+RRetail!Y92*RRetail!Y102+Bucarest!Y92*Bucarest!Y102+Magdalena!Y92*Magdalena!Y102+BFC!Y92*BFC!Y102</f>
        <v>18069756.600000001</v>
      </c>
      <c r="Z87" s="19">
        <f>+Descubrimiento!Z93*Descubrimiento!Z103+'Rentas SpA'!Z92*'Rentas SpA'!Z102+'Pza Const'!Z92*'Pza Const'!Z102+'Pza Arauc'!Z92*'Pza Arauc'!Z102+RRetail!Z92*RRetail!Z102+Bucarest!Z92*Bucarest!Z102+Magdalena!Z92*Magdalena!Z102+BFC!Z92*BFC!Z102</f>
        <v>25186819.299999997</v>
      </c>
      <c r="AA87" s="19">
        <f>+Descubrimiento!AA93*Descubrimiento!AA103+'Rentas SpA'!AA92*'Rentas SpA'!AA102+'Pza Const'!AA92*'Pza Const'!AA102+'Pza Arauc'!AA92*'Pza Arauc'!AA102+RRetail!AA92*RRetail!AA102+Bucarest!AA92*Bucarest!AA102+Magdalena!AA92*Magdalena!AA102+BFC!AA92*BFC!AA102</f>
        <v>5774597</v>
      </c>
      <c r="AB87" s="19">
        <f>+Descubrimiento!AB93*Descubrimiento!AB103+'Rentas SpA'!AB92*'Rentas SpA'!AB102+'Pza Const'!AB92*'Pza Const'!AB102+'Pza Arauc'!AB92*'Pza Arauc'!AB102+RRetail!AB92*RRetail!AB102+Bucarest!AB92*Bucarest!AB102+Magdalena!AB92*Magdalena!AB102+BFC!AB92*BFC!AB102</f>
        <v>12021341</v>
      </c>
      <c r="AC87" s="19">
        <f>+Descubrimiento!AC93*Descubrimiento!AC103+'Rentas SpA'!AC92*'Rentas SpA'!AC102+'Pza Const'!AC92*'Pza Const'!AC102+'Pza Arauc'!AC92*'Pza Arauc'!AC102+RRetail!AC92*RRetail!AC102+Bucarest!AC92*Bucarest!AC102+Magdalena!AC92*Magdalena!AC102+BFC!AC92*BFC!AC102</f>
        <v>18418076.600000001</v>
      </c>
      <c r="AD87" s="19">
        <f>+Descubrimiento!AD93*Descubrimiento!AD103+'Rentas SpA'!AD92*'Rentas SpA'!AD102+'Pza Const'!AD92*'Pza Const'!AD102+'Pza Arauc'!AD92*'Pza Arauc'!AD102+RRetail!AD92*RRetail!AD102+Bucarest!AD92*Bucarest!AD102+Magdalena!AD92*Magdalena!AD102+BFC!AD92*BFC!AD102</f>
        <v>25207714</v>
      </c>
      <c r="AE87" s="19">
        <f>+Descubrimiento!AE93*Descubrimiento!AE103+'Rentas SpA'!AE92*'Rentas SpA'!AE102+'Pza Const'!AE92*'Pza Const'!AE102+'Pza Arauc'!AE92*'Pza Arauc'!AE102+RRetail!AE92*RRetail!AE102+Bucarest!AE92*Bucarest!AE102+Magdalena!AE92*Magdalena!AE102+BFC!AE92*BFC!AE102</f>
        <v>6062490.5</v>
      </c>
      <c r="AF87" s="19">
        <f>+Descubrimiento!AF93*Descubrimiento!AF103+'Rentas SpA'!AF92*'Rentas SpA'!AF102+'Pza Const'!AF92*'Pza Const'!AF102+'Pza Arauc'!AF92*'Pza Arauc'!AF102+RRetail!AF92*RRetail!AF102+Bucarest!AF92*Bucarest!AF102+Magdalena!AF92*Magdalena!AF102+BFC!AF92*BFC!AF102</f>
        <v>12312293.1</v>
      </c>
      <c r="AG87" s="19">
        <f>+Descubrimiento!AG93*Descubrimiento!AG103+'Rentas SpA'!AG92*'Rentas SpA'!AG102+'Pza Const'!AG92*'Pza Const'!AG102+'Pza Arauc'!AG92*'Pza Arauc'!AG102+RRetail!AG92*RRetail!AG102+Bucarest!AG92*Bucarest!AG102+Magdalena!AG92*Magdalena!AG102+BFC!AG92*BFC!AG102</f>
        <v>17936872</v>
      </c>
      <c r="AH87" s="19">
        <f>+Descubrimiento!AH93*Descubrimiento!AH103+'Rentas SpA'!AH92*'Rentas SpA'!AH102+'Pza Const'!AH92*'Pza Const'!AH102+'Pza Arauc'!AH92*'Pza Arauc'!AH102+RRetail!AH92*RRetail!AH102+Bucarest!AH92*Bucarest!AH102+Magdalena!AH92*Magdalena!AH102+BFC!AH92*BFC!AH102</f>
        <v>25318362</v>
      </c>
      <c r="AI87" s="19">
        <f>+Descubrimiento!AI93*Descubrimiento!AI103+'Rentas SpA'!AI92*'Rentas SpA'!AI102+'Pza Const'!AI92*'Pza Const'!AI102+'Pza Arauc'!AI92*'Pza Arauc'!AI102+RRetail!AI92*RRetail!AI102+Bucarest!AI92*Bucarest!AI102+Magdalena!AI92*Magdalena!AI102+BFC!AI92*BFC!AI102</f>
        <v>5893825.6999999993</v>
      </c>
    </row>
    <row r="88" spans="1:35" x14ac:dyDescent="0.3">
      <c r="A88" s="1" t="s">
        <v>183</v>
      </c>
      <c r="B88" s="20">
        <f>+Descubrimiento!B100*Descubrimiento!B103+'Rentas SpA'!B99*'Rentas SpA'!B102+'Pza Const'!B99*'Pza Const'!B102+'Pza Arauc'!B99*'Pza Arauc'!B102+RRetail!B99*RRetail!B102+Bucarest!B99*Bucarest!B102+Magdalena!B99*Magdalena!B102+BFC!B99*BFC!B102</f>
        <v>14592467.5</v>
      </c>
      <c r="C88" s="20">
        <f>+Descubrimiento!C100*Descubrimiento!C103+'Rentas SpA'!C99*'Rentas SpA'!C102+'Pza Const'!C99*'Pza Const'!C102+'Pza Arauc'!C99*'Pza Arauc'!C102+RRetail!C99*RRetail!C102+Bucarest!C99*Bucarest!C102+Magdalena!C99*Magdalena!C102+BFC!C99*BFC!C102</f>
        <v>14100714</v>
      </c>
      <c r="D88" s="20">
        <f>+Descubrimiento!D100*Descubrimiento!D103+'Rentas SpA'!D99*'Rentas SpA'!D102+'Pza Const'!D99*'Pza Const'!D102+'Pza Arauc'!D99*'Pza Arauc'!D102+RRetail!D99*RRetail!D102+Bucarest!D99*Bucarest!D102+Magdalena!D99*Magdalena!D102+BFC!D99*BFC!D102</f>
        <v>16854336</v>
      </c>
      <c r="E88" s="20">
        <f>+Descubrimiento!E100*Descubrimiento!E103+'Rentas SpA'!E99*'Rentas SpA'!E102+'Pza Const'!E99*'Pza Const'!E102+'Pza Arauc'!E99*'Pza Arauc'!E102+RRetail!E99*RRetail!E102+Bucarest!E99*Bucarest!E102+Magdalena!E99*Magdalena!E102+BFC!E99*BFC!E102</f>
        <v>17605162</v>
      </c>
      <c r="F88" s="20">
        <f>+Descubrimiento!F100*Descubrimiento!F103+'Rentas SpA'!F99*'Rentas SpA'!F102+'Pza Const'!F99*'Pza Const'!F102+'Pza Arauc'!F99*'Pza Arauc'!F102+RRetail!F99*RRetail!F102+Bucarest!F99*Bucarest!F102+Magdalena!F99*Magdalena!F102+BFC!F99*BFC!F102</f>
        <v>18139733</v>
      </c>
      <c r="G88" s="20">
        <f>+Descubrimiento!G100*Descubrimiento!G103+'Rentas SpA'!G99*'Rentas SpA'!G102+'Pza Const'!G99*'Pza Const'!G102+'Pza Arauc'!G99*'Pza Arauc'!G102+RRetail!G99*RRetail!G102+Bucarest!G99*Bucarest!G102+Magdalena!G99*Magdalena!G102+BFC!G99*BFC!G102</f>
        <v>4619512</v>
      </c>
      <c r="H88" s="20">
        <f>+Descubrimiento!H100*Descubrimiento!H103+'Rentas SpA'!H99*'Rentas SpA'!H102+'Pza Const'!H99*'Pza Const'!H102+'Pza Arauc'!H99*'Pza Arauc'!H102+RRetail!H99*RRetail!H102+Bucarest!H99*Bucarest!H102+Magdalena!H99*Magdalena!H102+BFC!H99*BFC!H102</f>
        <v>9169571</v>
      </c>
      <c r="I88" s="20">
        <f>+Descubrimiento!I100*Descubrimiento!I103+'Rentas SpA'!I99*'Rentas SpA'!I102+'Pza Const'!I99*'Pza Const'!I102+'Pza Arauc'!I99*'Pza Arauc'!I102+RRetail!I99*RRetail!I102+Bucarest!I99*Bucarest!I102+Magdalena!I99*Magdalena!I102+BFC!I99*BFC!I102</f>
        <v>13579953</v>
      </c>
      <c r="J88" s="20">
        <f>+Descubrimiento!J100*Descubrimiento!J103+'Rentas SpA'!J99*'Rentas SpA'!J102+'Pza Const'!J99*'Pza Const'!J102+'Pza Arauc'!J99*'Pza Arauc'!J102+RRetail!J99*RRetail!J102+Bucarest!J99*Bucarest!J102+Magdalena!J99*Magdalena!J102+BFC!J99*BFC!J102</f>
        <v>18038987</v>
      </c>
      <c r="K88" s="20">
        <f>+Descubrimiento!K100*Descubrimiento!K103+'Rentas SpA'!K99*'Rentas SpA'!K102+'Pza Const'!K99*'Pza Const'!K102+'Pza Arauc'!K99*'Pza Arauc'!K102+RRetail!K99*RRetail!K102+Bucarest!K99*Bucarest!K102+Magdalena!K99*Magdalena!K102+BFC!K99*BFC!K102</f>
        <v>3597859</v>
      </c>
      <c r="L88" s="20">
        <f>+Descubrimiento!L100*Descubrimiento!L103+'Rentas SpA'!L99*'Rentas SpA'!L102+'Pza Const'!L99*'Pza Const'!L102+'Pza Arauc'!L99*'Pza Arauc'!L102+RRetail!L99*RRetail!L102+Bucarest!L99*Bucarest!L102+Magdalena!L99*Magdalena!L102+BFC!L99*BFC!L102</f>
        <v>9471978</v>
      </c>
      <c r="M88" s="20">
        <f>+Descubrimiento!M100*Descubrimiento!M103+'Rentas SpA'!M99*'Rentas SpA'!M102+'Pza Const'!M99*'Pza Const'!M102+'Pza Arauc'!M99*'Pza Arauc'!M102+RRetail!M99*RRetail!M102+Bucarest!M99*Bucarest!M102+Magdalena!M99*Magdalena!M102+BFC!M99*BFC!M102</f>
        <v>13261053</v>
      </c>
      <c r="N88" s="20">
        <f>+Descubrimiento!N100*Descubrimiento!N103+'Rentas SpA'!N99*'Rentas SpA'!N102+'Pza Const'!N99*'Pza Const'!N102+'Pza Arauc'!N99*'Pza Arauc'!N102+RRetail!N99*RRetail!N102+Bucarest!N99*Bucarest!N102+Magdalena!N99*Magdalena!N102+BFC!N99*BFC!N102</f>
        <v>19077273.600000001</v>
      </c>
      <c r="O88" s="20">
        <f>+Descubrimiento!O100*Descubrimiento!O103+'Rentas SpA'!O99*'Rentas SpA'!O102+'Pza Const'!O99*'Pza Const'!O102+'Pza Arauc'!O99*'Pza Arauc'!O102+RRetail!O99*RRetail!O102+Bucarest!O99*Bucarest!O102+Magdalena!O99*Magdalena!O102+BFC!O99*BFC!O102</f>
        <v>3980663.8</v>
      </c>
      <c r="P88" s="20">
        <f>+Descubrimiento!P100*Descubrimiento!P103+'Rentas SpA'!P99*'Rentas SpA'!P102+'Pza Const'!P99*'Pza Const'!P102+'Pza Arauc'!P99*'Pza Arauc'!P102+RRetail!P99*RRetail!P102+Bucarest!P99*Bucarest!P102+Magdalena!P99*Magdalena!P102+BFC!P99*BFC!P102</f>
        <v>7908212.5999999996</v>
      </c>
      <c r="Q88" s="20">
        <f>+Descubrimiento!Q100*Descubrimiento!Q103+'Rentas SpA'!Q99*'Rentas SpA'!Q102+'Pza Const'!Q99*'Pza Const'!Q102+'Pza Arauc'!Q99*'Pza Arauc'!Q102+RRetail!Q99*RRetail!Q102+Bucarest!Q99*Bucarest!Q102+Magdalena!Q99*Magdalena!Q102+BFC!Q99*BFC!Q102</f>
        <v>12090062.199999999</v>
      </c>
      <c r="R88" s="20">
        <f>+Descubrimiento!R100*Descubrimiento!R103+'Rentas SpA'!R99*'Rentas SpA'!R102+'Pza Const'!R99*'Pza Const'!R102+'Pza Arauc'!R99*'Pza Arauc'!R102+RRetail!R99*RRetail!R102+Bucarest!R99*Bucarest!R102+Magdalena!R99*Magdalena!R102+BFC!R99*BFC!R102</f>
        <v>17103636.600000001</v>
      </c>
      <c r="S88" s="20">
        <f>+Descubrimiento!S100*Descubrimiento!S103+'Rentas SpA'!S99*'Rentas SpA'!S102+'Pza Const'!S99*'Pza Const'!S102+'Pza Arauc'!S99*'Pza Arauc'!S102+RRetail!S99*RRetail!S102+Bucarest!S99*Bucarest!S102+Magdalena!S99*Magdalena!S102+BFC!S99*BFC!S102</f>
        <v>6272992.2000000002</v>
      </c>
      <c r="T88" s="20">
        <f>+Descubrimiento!T100*Descubrimiento!T103+'Rentas SpA'!T99*'Rentas SpA'!T102+'Pza Const'!T99*'Pza Const'!T102+'Pza Arauc'!T99*'Pza Arauc'!T102+RRetail!T99*RRetail!T102+Bucarest!T99*Bucarest!T102+Magdalena!T99*Magdalena!T102+BFC!T99*BFC!T102</f>
        <v>12921785.699999999</v>
      </c>
      <c r="U88" s="20">
        <f>+Descubrimiento!U100*Descubrimiento!U103+'Rentas SpA'!U99*'Rentas SpA'!U102+'Pza Const'!U99*'Pza Const'!U102+'Pza Arauc'!U99*'Pza Arauc'!U102+RRetail!U99*RRetail!U102+Bucarest!U99*Bucarest!U102+Magdalena!U99*Magdalena!U102+BFC!U99*BFC!U102</f>
        <v>20121770.800000001</v>
      </c>
      <c r="V88" s="20">
        <f>+Descubrimiento!V100*Descubrimiento!V103+'Rentas SpA'!V99*'Rentas SpA'!V102+'Pza Const'!V99*'Pza Const'!V102+'Pza Arauc'!V99*'Pza Arauc'!V102+RRetail!V99*RRetail!V102+Bucarest!V99*Bucarest!V102+Magdalena!V99*Magdalena!V102+BFC!V99*BFC!V102</f>
        <v>27765262.5</v>
      </c>
      <c r="W88" s="20">
        <f>+Descubrimiento!W100*Descubrimiento!W103+'Rentas SpA'!W99*'Rentas SpA'!W102+'Pza Const'!W99*'Pza Const'!W102+'Pza Arauc'!W99*'Pza Arauc'!W102+RRetail!W99*RRetail!W102+Bucarest!W99*Bucarest!W102+Magdalena!W99*Magdalena!W102+BFC!W99*BFC!W102</f>
        <v>6744419.0999999996</v>
      </c>
      <c r="X88" s="20">
        <f>+Descubrimiento!X100*Descubrimiento!X103+'Rentas SpA'!X99*'Rentas SpA'!X102+'Pza Const'!X99*'Pza Const'!X102+'Pza Arauc'!X99*'Pza Arauc'!X102+RRetail!X99*RRetail!X102+Bucarest!X99*Bucarest!X102+Magdalena!X99*Magdalena!X102+BFC!X99*BFC!X102</f>
        <v>13468615.1</v>
      </c>
      <c r="Y88" s="20">
        <f>+Descubrimiento!Y100*Descubrimiento!Y103+'Rentas SpA'!Y99*'Rentas SpA'!Y102+'Pza Const'!Y99*'Pza Const'!Y102+'Pza Arauc'!Y99*'Pza Arauc'!Y102+RRetail!Y99*RRetail!Y102+Bucarest!Y99*Bucarest!Y102+Magdalena!Y99*Magdalena!Y102+BFC!Y99*BFC!Y102</f>
        <v>20618670.199999999</v>
      </c>
      <c r="Z88" s="20">
        <f>+Descubrimiento!Z100*Descubrimiento!Z103+'Rentas SpA'!Z99*'Rentas SpA'!Z102+'Pza Const'!Z99*'Pza Const'!Z102+'Pza Arauc'!Z99*'Pza Arauc'!Z102+RRetail!Z99*RRetail!Z102+Bucarest!Z99*Bucarest!Z102+Magdalena!Z99*Magdalena!Z102+BFC!Z99*BFC!Z102</f>
        <v>27306593.899999999</v>
      </c>
      <c r="AA88" s="20">
        <f>+Descubrimiento!AA100*Descubrimiento!AA103+'Rentas SpA'!AA99*'Rentas SpA'!AA102+'Pza Const'!AA99*'Pza Const'!AA102+'Pza Arauc'!AA99*'Pza Arauc'!AA102+RRetail!AA99*RRetail!AA102+Bucarest!AA99*Bucarest!AA102+Magdalena!AA99*Magdalena!AA102+BFC!AA99*BFC!AA102</f>
        <v>7544951.7999999998</v>
      </c>
      <c r="AB88" s="20">
        <f>+Descubrimiento!AB100*Descubrimiento!AB103+'Rentas SpA'!AB99*'Rentas SpA'!AB102+'Pza Const'!AB99*'Pza Const'!AB102+'Pza Arauc'!AB99*'Pza Arauc'!AB102+RRetail!AB99*RRetail!AB102+Bucarest!AB99*Bucarest!AB102+Magdalena!AB99*Magdalena!AB102+BFC!AB99*BFC!AB102</f>
        <v>15203524.1</v>
      </c>
      <c r="AC88" s="20">
        <f>+Descubrimiento!AC100*Descubrimiento!AC103+'Rentas SpA'!AC99*'Rentas SpA'!AC102+'Pza Const'!AC99*'Pza Const'!AC102+'Pza Arauc'!AC99*'Pza Arauc'!AC102+RRetail!AC99*RRetail!AC102+Bucarest!AC99*Bucarest!AC102+Magdalena!AC99*Magdalena!AC102+BFC!AC99*BFC!AC102</f>
        <v>23327193.600000001</v>
      </c>
      <c r="AD88" s="20">
        <f>+Descubrimiento!AD100*Descubrimiento!AD103+'Rentas SpA'!AD99*'Rentas SpA'!AD102+'Pza Const'!AD99*'Pza Const'!AD102+'Pza Arauc'!AD99*'Pza Arauc'!AD102+RRetail!AD99*RRetail!AD102+Bucarest!AD99*Bucarest!AD102+Magdalena!AD99*Magdalena!AD102+BFC!AD99*BFC!AD102</f>
        <v>31358253.399999999</v>
      </c>
      <c r="AE88" s="20">
        <f>+Descubrimiento!AE100*Descubrimiento!AE103+'Rentas SpA'!AE99*'Rentas SpA'!AE102+'Pza Const'!AE99*'Pza Const'!AE102+'Pza Arauc'!AE99*'Pza Arauc'!AE102+RRetail!AE99*RRetail!AE102+Bucarest!AE99*Bucarest!AE102+Magdalena!AE99*Magdalena!AE102+BFC!AE99*BFC!AE102</f>
        <v>8045958.0999999996</v>
      </c>
      <c r="AF88" s="20">
        <f>+Descubrimiento!AF100*Descubrimiento!AF103+'Rentas SpA'!AF99*'Rentas SpA'!AF102+'Pza Const'!AF99*'Pza Const'!AF102+'Pza Arauc'!AF99*'Pza Arauc'!AF102+RRetail!AF99*RRetail!AF102+Bucarest!AF99*Bucarest!AF102+Magdalena!AF99*Magdalena!AF102+BFC!AF99*BFC!AF102</f>
        <v>16102946.800000001</v>
      </c>
      <c r="AG88" s="20">
        <f>+Descubrimiento!AG100*Descubrimiento!AG103+'Rentas SpA'!AG99*'Rentas SpA'!AG102+'Pza Const'!AG99*'Pza Const'!AG102+'Pza Arauc'!AG99*'Pza Arauc'!AG102+RRetail!AG99*RRetail!AG102+Bucarest!AG99*Bucarest!AG102+Magdalena!AG99*Magdalena!AG102+BFC!AG99*BFC!AG102</f>
        <v>23937154.5</v>
      </c>
      <c r="AH88" s="20">
        <f>+Descubrimiento!AH100*Descubrimiento!AH103+'Rentas SpA'!AH99*'Rentas SpA'!AH102+'Pza Const'!AH99*'Pza Const'!AH102+'Pza Arauc'!AH99*'Pza Arauc'!AH102+RRetail!AH99*RRetail!AH102+Bucarest!AH99*Bucarest!AH102+Magdalena!AH99*Magdalena!AH102+BFC!AH99*BFC!AH102</f>
        <v>31665164.5</v>
      </c>
      <c r="AI88" s="20">
        <f>+Descubrimiento!AI100*Descubrimiento!AI103+'Rentas SpA'!AI99*'Rentas SpA'!AI102+'Pza Const'!AI99*'Pza Const'!AI102+'Pza Arauc'!AI99*'Pza Arauc'!AI102+RRetail!AI99*RRetail!AI102+Bucarest!AI99*Bucarest!AI102+Magdalena!AI99*Magdalena!AI102+BFC!AI99*BFC!AI102</f>
        <v>7587924</v>
      </c>
    </row>
    <row r="89" spans="1:35" x14ac:dyDescent="0.3">
      <c r="A89" s="1" t="s">
        <v>98</v>
      </c>
      <c r="B89" s="21">
        <f>+B88+B87-B84-B77</f>
        <v>0</v>
      </c>
      <c r="C89" s="21">
        <f t="shared" ref="C89:R89" si="177">+C88+C87-C84-C77</f>
        <v>0</v>
      </c>
      <c r="D89" s="21">
        <f t="shared" si="177"/>
        <v>0</v>
      </c>
      <c r="E89" s="21">
        <f t="shared" si="177"/>
        <v>0</v>
      </c>
      <c r="F89" s="21">
        <f t="shared" si="177"/>
        <v>0</v>
      </c>
      <c r="G89" s="21">
        <f t="shared" ref="G89:I89" si="178">+G88+G87-G84-G77</f>
        <v>0</v>
      </c>
      <c r="H89" s="21">
        <f t="shared" si="178"/>
        <v>0</v>
      </c>
      <c r="I89" s="21">
        <f t="shared" si="178"/>
        <v>0</v>
      </c>
      <c r="J89" s="21">
        <f t="shared" si="177"/>
        <v>0</v>
      </c>
      <c r="K89" s="21">
        <f t="shared" ref="K89:M89" si="179">+K88+K87-K84-K77</f>
        <v>0</v>
      </c>
      <c r="L89" s="21">
        <f t="shared" si="179"/>
        <v>0</v>
      </c>
      <c r="M89" s="21">
        <f t="shared" si="179"/>
        <v>0</v>
      </c>
      <c r="N89" s="21">
        <f t="shared" si="177"/>
        <v>0</v>
      </c>
      <c r="O89" s="21">
        <f t="shared" ref="O89:Q89" si="180">+O88+O87-O84-O77</f>
        <v>0</v>
      </c>
      <c r="P89" s="21">
        <f t="shared" si="180"/>
        <v>0</v>
      </c>
      <c r="Q89" s="21">
        <f t="shared" si="180"/>
        <v>0</v>
      </c>
      <c r="R89" s="21">
        <f t="shared" si="177"/>
        <v>0</v>
      </c>
      <c r="S89" s="21">
        <f t="shared" ref="S89:U89" si="181">+S88+S87-S84-S77</f>
        <v>0</v>
      </c>
      <c r="T89" s="21">
        <f t="shared" si="181"/>
        <v>0</v>
      </c>
      <c r="U89" s="21">
        <f t="shared" si="181"/>
        <v>0</v>
      </c>
      <c r="V89" s="21">
        <f t="shared" ref="V89:X89" si="182">+V88+V87-V84-V77</f>
        <v>0</v>
      </c>
      <c r="W89" s="21">
        <f t="shared" si="182"/>
        <v>0</v>
      </c>
      <c r="X89" s="21">
        <f t="shared" si="182"/>
        <v>0</v>
      </c>
      <c r="Y89" s="21">
        <f t="shared" ref="Y89:AD89" si="183">+Y88+Y87-Y84-Y77</f>
        <v>0</v>
      </c>
      <c r="Z89" s="21">
        <f t="shared" si="183"/>
        <v>0</v>
      </c>
      <c r="AA89" s="21">
        <f t="shared" si="183"/>
        <v>0</v>
      </c>
      <c r="AB89" s="21">
        <f t="shared" si="183"/>
        <v>0</v>
      </c>
      <c r="AC89" s="21">
        <f t="shared" si="183"/>
        <v>0</v>
      </c>
      <c r="AD89" s="21">
        <f t="shared" si="183"/>
        <v>0</v>
      </c>
      <c r="AE89" s="21">
        <f t="shared" ref="AE89:AF89" si="184">+AE88+AE87-AE84-AE77</f>
        <v>0</v>
      </c>
      <c r="AF89" s="21">
        <f t="shared" si="184"/>
        <v>0</v>
      </c>
      <c r="AG89" s="21">
        <f t="shared" ref="AG89:AH89" si="185">+AG88+AG87-AG84-AG77</f>
        <v>0</v>
      </c>
      <c r="AH89" s="21">
        <f t="shared" si="185"/>
        <v>0</v>
      </c>
      <c r="AI89" s="21">
        <f t="shared" ref="AI89" si="186">+AI88+AI87-AI84-AI77</f>
        <v>0</v>
      </c>
    </row>
    <row r="91" spans="1:35" ht="28.8" x14ac:dyDescent="0.3">
      <c r="A91" s="59" t="s">
        <v>184</v>
      </c>
    </row>
    <row r="93" spans="1:35" s="1" customFormat="1" x14ac:dyDescent="0.3">
      <c r="B93" s="3"/>
      <c r="C93" s="3"/>
      <c r="D93" s="3"/>
      <c r="E93" s="3"/>
      <c r="F93" s="3"/>
      <c r="G93" s="3"/>
      <c r="H93" s="3"/>
      <c r="I93" s="3"/>
      <c r="J93" s="3"/>
      <c r="K93" s="3"/>
      <c r="L93" s="3"/>
      <c r="M93" s="3"/>
      <c r="N93" s="3"/>
      <c r="O93" s="3"/>
      <c r="P93" s="3"/>
      <c r="Q93" s="3"/>
      <c r="R93" s="3"/>
      <c r="S93" s="3"/>
      <c r="T93" s="3"/>
      <c r="U93" s="3"/>
      <c r="V93" s="3"/>
    </row>
    <row r="94" spans="1:35" s="1" customFormat="1" x14ac:dyDescent="0.3">
      <c r="B94" s="3"/>
      <c r="C94" s="3"/>
      <c r="D94" s="3"/>
      <c r="E94" s="3"/>
      <c r="F94" s="3"/>
      <c r="G94" s="3"/>
      <c r="H94" s="3"/>
      <c r="I94" s="3"/>
      <c r="J94" s="3"/>
      <c r="K94" s="3"/>
      <c r="L94" s="3"/>
      <c r="M94" s="3"/>
      <c r="N94" s="3"/>
      <c r="O94" s="3"/>
      <c r="P94" s="3"/>
      <c r="Q94" s="3"/>
      <c r="R94" s="3"/>
      <c r="S94" s="3"/>
      <c r="T94" s="3"/>
      <c r="U94" s="3"/>
      <c r="V94" s="3"/>
    </row>
    <row r="95" spans="1:35" s="1" customFormat="1" x14ac:dyDescent="0.3">
      <c r="B95" s="3"/>
      <c r="C95" s="3"/>
      <c r="D95" s="3"/>
      <c r="E95" s="3"/>
      <c r="F95" s="3"/>
      <c r="G95" s="3"/>
      <c r="H95" s="3"/>
      <c r="I95" s="3"/>
      <c r="J95" s="3"/>
      <c r="K95" s="3"/>
      <c r="L95" s="3"/>
      <c r="M95" s="3"/>
      <c r="N95" s="3"/>
      <c r="O95" s="3"/>
      <c r="P95" s="3"/>
      <c r="Q95" s="3"/>
      <c r="R95" s="3"/>
      <c r="S95" s="3"/>
      <c r="T95" s="3"/>
      <c r="U95" s="3"/>
      <c r="V95" s="3"/>
    </row>
    <row r="96" spans="1:35" s="1" customFormat="1" x14ac:dyDescent="0.3">
      <c r="B96" s="3"/>
      <c r="C96" s="3"/>
      <c r="D96" s="3"/>
      <c r="E96" s="3"/>
      <c r="F96" s="3"/>
      <c r="G96" s="3"/>
      <c r="H96" s="3"/>
      <c r="I96" s="3"/>
      <c r="J96" s="3"/>
      <c r="K96" s="3"/>
      <c r="L96" s="3"/>
      <c r="M96" s="3"/>
      <c r="N96" s="3"/>
      <c r="O96" s="3"/>
      <c r="P96" s="3"/>
      <c r="Q96" s="3"/>
      <c r="R96" s="3"/>
      <c r="S96" s="3"/>
      <c r="T96" s="3"/>
      <c r="U96" s="3"/>
      <c r="V96" s="3"/>
    </row>
    <row r="97" spans="2:22" s="1" customFormat="1" x14ac:dyDescent="0.3">
      <c r="B97" s="3"/>
      <c r="C97" s="3"/>
      <c r="D97" s="3"/>
      <c r="E97" s="3"/>
      <c r="F97" s="3"/>
      <c r="G97" s="3"/>
      <c r="H97" s="3"/>
      <c r="I97" s="3"/>
      <c r="J97" s="3"/>
      <c r="K97" s="3"/>
      <c r="L97" s="3"/>
      <c r="M97" s="3"/>
      <c r="N97" s="3"/>
      <c r="O97" s="3"/>
      <c r="P97" s="3"/>
      <c r="Q97" s="3"/>
      <c r="R97" s="3"/>
      <c r="S97" s="3"/>
      <c r="T97" s="3"/>
      <c r="U97" s="3"/>
      <c r="V97" s="3"/>
    </row>
    <row r="98" spans="2:22" s="1" customFormat="1" x14ac:dyDescent="0.3">
      <c r="B98" s="3"/>
      <c r="C98" s="3"/>
      <c r="D98" s="3"/>
      <c r="E98" s="3"/>
      <c r="F98" s="3"/>
      <c r="G98" s="3"/>
      <c r="H98" s="3"/>
      <c r="I98" s="3"/>
      <c r="J98" s="3"/>
      <c r="K98" s="3"/>
      <c r="L98" s="3"/>
      <c r="M98" s="3"/>
      <c r="N98" s="3"/>
      <c r="O98" s="3"/>
      <c r="P98" s="3"/>
      <c r="Q98" s="3"/>
      <c r="R98" s="3"/>
      <c r="S98" s="3"/>
      <c r="T98" s="3"/>
      <c r="U98" s="3"/>
      <c r="V98"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4F53-5CF5-45AB-844F-5AABF1D1FD68}">
  <dimension ref="A1:N91"/>
  <sheetViews>
    <sheetView workbookViewId="0">
      <pane xSplit="1" ySplit="1" topLeftCell="E47" activePane="bottomRight" state="frozen"/>
      <selection pane="topRight" activeCell="B1" sqref="B1"/>
      <selection pane="bottomLeft" activeCell="A2" sqref="A2"/>
      <selection pane="bottomRight" activeCell="K64" sqref="K64"/>
    </sheetView>
  </sheetViews>
  <sheetFormatPr baseColWidth="10" defaultColWidth="11.44140625" defaultRowHeight="14.4" x14ac:dyDescent="0.3"/>
  <cols>
    <col min="1" max="1" width="56.88671875" style="1" customWidth="1"/>
    <col min="2" max="10" width="12.88671875" style="1" customWidth="1"/>
    <col min="11" max="13" width="12.88671875" style="1" bestFit="1" customWidth="1"/>
    <col min="14" max="16384" width="11.44140625" style="1"/>
  </cols>
  <sheetData>
    <row r="1" spans="1:14" x14ac:dyDescent="0.3">
      <c r="A1" s="1" t="s">
        <v>185</v>
      </c>
      <c r="B1" s="2">
        <v>42004</v>
      </c>
      <c r="C1" s="2">
        <v>42369</v>
      </c>
      <c r="D1" s="2">
        <v>42735</v>
      </c>
      <c r="E1" s="2">
        <v>43100</v>
      </c>
      <c r="F1" s="2">
        <v>43465</v>
      </c>
      <c r="G1" s="2">
        <v>43830</v>
      </c>
      <c r="H1" s="2">
        <v>44196</v>
      </c>
      <c r="I1" s="2">
        <v>44561</v>
      </c>
      <c r="J1" s="2">
        <v>44926</v>
      </c>
      <c r="K1" s="2">
        <v>45291</v>
      </c>
      <c r="L1" s="2">
        <v>45657</v>
      </c>
      <c r="M1" s="2">
        <v>46022</v>
      </c>
      <c r="N1" s="2"/>
    </row>
    <row r="2" spans="1:14" s="6" customFormat="1" x14ac:dyDescent="0.3">
      <c r="A2" s="6" t="s">
        <v>8</v>
      </c>
      <c r="B2" s="7"/>
      <c r="C2" s="7"/>
      <c r="D2" s="7"/>
      <c r="E2" s="7"/>
      <c r="F2" s="7"/>
      <c r="G2" s="7"/>
      <c r="H2" s="7"/>
      <c r="I2" s="7"/>
      <c r="J2" s="7"/>
      <c r="K2" s="10"/>
      <c r="L2" s="10"/>
      <c r="M2" s="10"/>
      <c r="N2" s="10"/>
    </row>
    <row r="3" spans="1:14" x14ac:dyDescent="0.3">
      <c r="A3" s="1" t="s">
        <v>9</v>
      </c>
      <c r="B3" s="3"/>
      <c r="C3" s="3"/>
      <c r="D3" s="3"/>
      <c r="E3" s="3"/>
      <c r="F3" s="3"/>
      <c r="G3" s="3"/>
      <c r="H3" s="3"/>
      <c r="I3" s="3"/>
      <c r="J3" s="3"/>
      <c r="K3" s="3"/>
      <c r="L3" s="3"/>
      <c r="M3" s="3"/>
      <c r="N3" s="3"/>
    </row>
    <row r="4" spans="1:14" x14ac:dyDescent="0.3">
      <c r="A4" s="1" t="s">
        <v>10</v>
      </c>
      <c r="B4" s="3"/>
      <c r="C4" s="3"/>
      <c r="D4" s="3"/>
      <c r="E4" s="3"/>
      <c r="F4" s="3"/>
      <c r="G4" s="3"/>
      <c r="H4" s="3"/>
      <c r="I4" s="3"/>
      <c r="J4" s="3"/>
      <c r="K4" s="3"/>
      <c r="L4" s="3"/>
      <c r="M4" s="3"/>
      <c r="N4" s="3"/>
    </row>
    <row r="5" spans="1:14" x14ac:dyDescent="0.3">
      <c r="A5" s="1" t="s">
        <v>11</v>
      </c>
      <c r="B5" s="3">
        <v>2620640</v>
      </c>
      <c r="C5" s="3">
        <v>1341576</v>
      </c>
      <c r="D5" s="3">
        <v>1493653</v>
      </c>
      <c r="E5" s="3">
        <v>1236716</v>
      </c>
      <c r="F5" s="3">
        <v>441532</v>
      </c>
      <c r="G5" s="3">
        <v>6836182</v>
      </c>
      <c r="H5" s="3">
        <v>1534269</v>
      </c>
      <c r="I5" s="3">
        <v>807111</v>
      </c>
      <c r="J5" s="3">
        <v>506957</v>
      </c>
      <c r="K5" s="3">
        <v>547694</v>
      </c>
      <c r="L5" s="3">
        <v>682156</v>
      </c>
      <c r="M5" s="3">
        <v>583804</v>
      </c>
    </row>
    <row r="6" spans="1:14" x14ac:dyDescent="0.3">
      <c r="A6" s="1" t="s">
        <v>101</v>
      </c>
      <c r="B6" s="3">
        <v>35368</v>
      </c>
      <c r="C6" s="3">
        <v>43700</v>
      </c>
      <c r="D6" s="3">
        <v>41260</v>
      </c>
      <c r="E6" s="3">
        <v>43135</v>
      </c>
      <c r="F6" s="3">
        <v>50570</v>
      </c>
      <c r="G6" s="3">
        <v>57030</v>
      </c>
      <c r="H6" s="3">
        <v>55728</v>
      </c>
      <c r="I6" s="3">
        <v>93664</v>
      </c>
      <c r="J6" s="3">
        <v>0</v>
      </c>
      <c r="K6" s="3">
        <v>0</v>
      </c>
      <c r="L6" s="3">
        <v>0</v>
      </c>
      <c r="M6" s="3">
        <v>0</v>
      </c>
    </row>
    <row r="7" spans="1:14" x14ac:dyDescent="0.3">
      <c r="A7" s="1" t="s">
        <v>102</v>
      </c>
      <c r="B7" s="3">
        <v>1562392</v>
      </c>
      <c r="C7" s="3">
        <v>1062174</v>
      </c>
      <c r="D7" s="3">
        <v>374100</v>
      </c>
      <c r="E7" s="3">
        <v>194639</v>
      </c>
      <c r="F7" s="3">
        <v>466735</v>
      </c>
      <c r="G7" s="3">
        <v>884885</v>
      </c>
      <c r="H7" s="3">
        <v>1179080</v>
      </c>
      <c r="I7" s="3">
        <v>793623</v>
      </c>
      <c r="J7" s="3">
        <v>0</v>
      </c>
      <c r="K7" s="3">
        <v>0</v>
      </c>
      <c r="L7" s="3">
        <v>0</v>
      </c>
      <c r="M7" s="3">
        <v>0</v>
      </c>
    </row>
    <row r="8" spans="1:14" x14ac:dyDescent="0.3">
      <c r="A8" s="1" t="s">
        <v>103</v>
      </c>
      <c r="B8" s="3">
        <v>88594</v>
      </c>
      <c r="C8" s="3">
        <v>53275</v>
      </c>
      <c r="D8" s="3">
        <v>9134</v>
      </c>
      <c r="E8" s="3">
        <v>57350</v>
      </c>
      <c r="F8" s="3">
        <v>0</v>
      </c>
      <c r="G8" s="3">
        <v>106155</v>
      </c>
      <c r="H8" s="3">
        <v>145950</v>
      </c>
      <c r="I8" s="3">
        <v>175796</v>
      </c>
      <c r="J8" s="3">
        <v>0</v>
      </c>
      <c r="K8" s="3">
        <v>213</v>
      </c>
      <c r="L8" s="3">
        <v>0</v>
      </c>
      <c r="M8" s="3">
        <v>0</v>
      </c>
    </row>
    <row r="9" spans="1:14" x14ac:dyDescent="0.3">
      <c r="A9" s="1" t="s">
        <v>104</v>
      </c>
      <c r="B9" s="3">
        <v>3970</v>
      </c>
      <c r="C9" s="3">
        <v>11594</v>
      </c>
      <c r="D9" s="3">
        <v>194741</v>
      </c>
      <c r="E9" s="3">
        <v>1386</v>
      </c>
      <c r="F9" s="3">
        <v>43461</v>
      </c>
      <c r="G9" s="3">
        <v>0</v>
      </c>
      <c r="H9" s="3">
        <v>0</v>
      </c>
      <c r="I9" s="3">
        <v>6717</v>
      </c>
      <c r="J9" s="3">
        <v>0</v>
      </c>
      <c r="K9" s="3">
        <v>0</v>
      </c>
      <c r="L9" s="3">
        <v>3085</v>
      </c>
      <c r="M9" s="3">
        <v>4944</v>
      </c>
    </row>
    <row r="10" spans="1:14" x14ac:dyDescent="0.3">
      <c r="A10" s="1" t="s">
        <v>105</v>
      </c>
      <c r="B10" s="3">
        <v>0</v>
      </c>
      <c r="C10" s="3">
        <v>0</v>
      </c>
      <c r="D10" s="3">
        <v>0</v>
      </c>
      <c r="E10" s="3">
        <v>0</v>
      </c>
      <c r="F10" s="3">
        <v>0</v>
      </c>
      <c r="G10" s="3">
        <v>0</v>
      </c>
      <c r="H10" s="3">
        <v>0</v>
      </c>
      <c r="I10" s="3">
        <v>0</v>
      </c>
      <c r="J10" s="3">
        <v>0</v>
      </c>
      <c r="K10" s="3">
        <v>0</v>
      </c>
      <c r="L10" s="3">
        <v>0</v>
      </c>
      <c r="M10" s="3">
        <v>0</v>
      </c>
    </row>
    <row r="11" spans="1:14" x14ac:dyDescent="0.3">
      <c r="A11" s="1" t="s">
        <v>106</v>
      </c>
      <c r="B11" s="3">
        <v>0</v>
      </c>
      <c r="C11" s="3">
        <v>35750399</v>
      </c>
      <c r="D11" s="3">
        <v>50186475</v>
      </c>
      <c r="E11" s="3">
        <v>30458475</v>
      </c>
      <c r="F11" s="3">
        <v>13026774</v>
      </c>
      <c r="G11" s="3">
        <v>0</v>
      </c>
      <c r="H11" s="3">
        <v>0</v>
      </c>
      <c r="I11" s="3">
        <v>0</v>
      </c>
      <c r="J11" s="3">
        <v>0</v>
      </c>
      <c r="K11" s="3">
        <v>0</v>
      </c>
      <c r="L11" s="3">
        <v>0</v>
      </c>
      <c r="M11" s="3">
        <v>0</v>
      </c>
    </row>
    <row r="12" spans="1:14" s="6" customFormat="1" x14ac:dyDescent="0.3">
      <c r="A12" s="6" t="s">
        <v>15</v>
      </c>
      <c r="B12" s="7">
        <f>+SUM(B2:B11)</f>
        <v>4310964</v>
      </c>
      <c r="C12" s="7">
        <f t="shared" ref="C12:I12" si="0">+SUM(C2:C11)</f>
        <v>38262718</v>
      </c>
      <c r="D12" s="7">
        <f t="shared" si="0"/>
        <v>52299363</v>
      </c>
      <c r="E12" s="7">
        <f t="shared" si="0"/>
        <v>31991701</v>
      </c>
      <c r="F12" s="7">
        <f t="shared" si="0"/>
        <v>14029072</v>
      </c>
      <c r="G12" s="7">
        <f t="shared" si="0"/>
        <v>7884252</v>
      </c>
      <c r="H12" s="7">
        <f t="shared" si="0"/>
        <v>2915027</v>
      </c>
      <c r="I12" s="7">
        <f t="shared" si="0"/>
        <v>1876911</v>
      </c>
      <c r="J12" s="7">
        <f t="shared" ref="J12:K12" si="1">+SUM(J2:J11)</f>
        <v>506957</v>
      </c>
      <c r="K12" s="7">
        <f t="shared" si="1"/>
        <v>547907</v>
      </c>
      <c r="L12" s="7">
        <f t="shared" ref="L12:M12" si="2">+SUM(L2:L11)</f>
        <v>685241</v>
      </c>
      <c r="M12" s="7">
        <f t="shared" si="2"/>
        <v>588748</v>
      </c>
    </row>
    <row r="13" spans="1:14" x14ac:dyDescent="0.3">
      <c r="A13" s="1" t="s">
        <v>16</v>
      </c>
      <c r="B13" s="3"/>
      <c r="C13" s="3"/>
      <c r="D13" s="3"/>
      <c r="E13" s="3"/>
      <c r="F13" s="3"/>
      <c r="G13" s="3"/>
      <c r="H13" s="3"/>
      <c r="I13" s="3"/>
      <c r="J13" s="3"/>
      <c r="K13" s="3"/>
      <c r="L13" s="3"/>
      <c r="M13" s="3"/>
    </row>
    <row r="14" spans="1:14" x14ac:dyDescent="0.3">
      <c r="A14" s="1" t="s">
        <v>107</v>
      </c>
      <c r="B14" s="3">
        <v>194374</v>
      </c>
      <c r="C14" s="3">
        <v>0</v>
      </c>
      <c r="D14" s="3">
        <v>0</v>
      </c>
      <c r="E14" s="3">
        <v>0</v>
      </c>
      <c r="F14" s="3">
        <v>0</v>
      </c>
      <c r="G14" s="3">
        <v>0</v>
      </c>
      <c r="H14" s="3">
        <v>0</v>
      </c>
      <c r="I14" s="3">
        <v>0</v>
      </c>
      <c r="J14" s="3">
        <v>0</v>
      </c>
      <c r="K14" s="3">
        <v>0</v>
      </c>
      <c r="L14" s="3">
        <v>0</v>
      </c>
      <c r="M14" s="3">
        <v>0</v>
      </c>
    </row>
    <row r="15" spans="1:14" x14ac:dyDescent="0.3">
      <c r="A15" s="1" t="s">
        <v>108</v>
      </c>
      <c r="B15" s="3">
        <v>0</v>
      </c>
      <c r="C15" s="3">
        <v>0</v>
      </c>
      <c r="D15" s="3">
        <v>0</v>
      </c>
      <c r="E15" s="3">
        <v>0</v>
      </c>
      <c r="F15" s="3">
        <v>0</v>
      </c>
      <c r="G15" s="3">
        <v>0</v>
      </c>
      <c r="H15" s="3">
        <v>0</v>
      </c>
      <c r="I15" s="3">
        <v>0</v>
      </c>
      <c r="J15" s="3">
        <v>0</v>
      </c>
      <c r="K15" s="3">
        <v>0</v>
      </c>
      <c r="L15" s="3">
        <v>0</v>
      </c>
      <c r="M15" s="3">
        <v>0</v>
      </c>
    </row>
    <row r="16" spans="1:14" x14ac:dyDescent="0.3">
      <c r="A16" s="1" t="s">
        <v>109</v>
      </c>
      <c r="B16" s="3">
        <v>0</v>
      </c>
      <c r="C16" s="3">
        <v>0</v>
      </c>
      <c r="D16" s="3">
        <v>0</v>
      </c>
      <c r="E16" s="3">
        <v>0</v>
      </c>
      <c r="F16" s="3">
        <v>0</v>
      </c>
      <c r="G16" s="3">
        <v>0</v>
      </c>
      <c r="H16" s="3">
        <v>0</v>
      </c>
      <c r="I16" s="3">
        <v>0</v>
      </c>
      <c r="J16" s="3">
        <v>0</v>
      </c>
      <c r="K16" s="3">
        <v>0</v>
      </c>
      <c r="L16" s="3">
        <v>0</v>
      </c>
      <c r="M16" s="3">
        <v>0</v>
      </c>
    </row>
    <row r="17" spans="1:13" ht="28.8" x14ac:dyDescent="0.3">
      <c r="A17" s="13" t="s">
        <v>110</v>
      </c>
      <c r="B17" s="3">
        <v>56893761</v>
      </c>
      <c r="C17" s="3">
        <v>47523485</v>
      </c>
      <c r="D17" s="3">
        <v>48662323</v>
      </c>
      <c r="E17" s="3">
        <v>40378900</v>
      </c>
      <c r="F17" s="3">
        <v>27282471</v>
      </c>
      <c r="G17" s="3">
        <v>12010428</v>
      </c>
      <c r="H17" s="3">
        <v>10714148</v>
      </c>
      <c r="I17" s="3">
        <v>3946407</v>
      </c>
      <c r="J17" s="3">
        <v>3931900</v>
      </c>
      <c r="K17" s="3">
        <v>318424</v>
      </c>
      <c r="L17" s="3">
        <v>169935</v>
      </c>
      <c r="M17" s="3">
        <v>2</v>
      </c>
    </row>
    <row r="18" spans="1:13" x14ac:dyDescent="0.3">
      <c r="A18" s="13" t="s">
        <v>111</v>
      </c>
      <c r="B18" s="3">
        <v>0</v>
      </c>
      <c r="C18" s="3">
        <v>0</v>
      </c>
      <c r="D18" s="3">
        <v>0</v>
      </c>
      <c r="E18" s="3">
        <v>0</v>
      </c>
      <c r="F18" s="3">
        <v>0</v>
      </c>
      <c r="G18" s="3">
        <v>0</v>
      </c>
      <c r="H18" s="3">
        <v>0</v>
      </c>
      <c r="I18" s="3">
        <v>0</v>
      </c>
      <c r="J18" s="3">
        <v>0</v>
      </c>
      <c r="K18" s="3">
        <v>0</v>
      </c>
      <c r="L18" s="3">
        <v>0</v>
      </c>
      <c r="M18" s="3">
        <v>0</v>
      </c>
    </row>
    <row r="19" spans="1:13" x14ac:dyDescent="0.3">
      <c r="A19" s="1" t="s">
        <v>112</v>
      </c>
      <c r="B19" s="3">
        <v>86314000</v>
      </c>
      <c r="C19" s="3">
        <v>45550000</v>
      </c>
      <c r="D19" s="3">
        <v>20100000</v>
      </c>
      <c r="E19" s="3">
        <v>19900000</v>
      </c>
      <c r="F19" s="3">
        <v>20700000</v>
      </c>
      <c r="G19" s="3">
        <v>20400000</v>
      </c>
      <c r="H19" s="3">
        <v>14200000</v>
      </c>
      <c r="I19" s="3">
        <v>11093494</v>
      </c>
      <c r="J19" s="3">
        <v>0</v>
      </c>
      <c r="K19" s="3">
        <v>0</v>
      </c>
      <c r="L19" s="3">
        <v>0</v>
      </c>
      <c r="M19" s="3">
        <v>0</v>
      </c>
    </row>
    <row r="20" spans="1:13" x14ac:dyDescent="0.3">
      <c r="A20" s="1" t="s">
        <v>113</v>
      </c>
      <c r="B20" s="3">
        <v>0</v>
      </c>
      <c r="C20" s="3">
        <v>0</v>
      </c>
      <c r="D20" s="3">
        <v>0</v>
      </c>
      <c r="E20" s="3">
        <v>0</v>
      </c>
      <c r="F20" s="3">
        <v>0</v>
      </c>
      <c r="G20" s="3">
        <v>0</v>
      </c>
      <c r="H20" s="3">
        <v>0</v>
      </c>
      <c r="I20" s="3">
        <v>0</v>
      </c>
      <c r="J20" s="3">
        <v>0</v>
      </c>
      <c r="K20" s="3">
        <v>0</v>
      </c>
      <c r="L20" s="3">
        <v>0</v>
      </c>
      <c r="M20" s="3">
        <v>0</v>
      </c>
    </row>
    <row r="21" spans="1:13" s="6" customFormat="1" x14ac:dyDescent="0.3">
      <c r="A21" s="6" t="s">
        <v>18</v>
      </c>
      <c r="B21" s="7">
        <f>+SUM(B13:B20)</f>
        <v>143402135</v>
      </c>
      <c r="C21" s="7">
        <f>+SUM(C13:C20)</f>
        <v>93073485</v>
      </c>
      <c r="D21" s="7">
        <f t="shared" ref="D21:I21" si="3">+SUM(D13:D20)</f>
        <v>68762323</v>
      </c>
      <c r="E21" s="7">
        <f t="shared" si="3"/>
        <v>60278900</v>
      </c>
      <c r="F21" s="7">
        <f t="shared" si="3"/>
        <v>47982471</v>
      </c>
      <c r="G21" s="7">
        <f t="shared" si="3"/>
        <v>32410428</v>
      </c>
      <c r="H21" s="7">
        <f t="shared" si="3"/>
        <v>24914148</v>
      </c>
      <c r="I21" s="7">
        <f t="shared" si="3"/>
        <v>15039901</v>
      </c>
      <c r="J21" s="7">
        <f t="shared" ref="J21:K21" si="4">+SUM(J13:J20)</f>
        <v>3931900</v>
      </c>
      <c r="K21" s="7">
        <f t="shared" si="4"/>
        <v>318424</v>
      </c>
      <c r="L21" s="7">
        <f t="shared" ref="L21:M21" si="5">+SUM(L13:L20)</f>
        <v>169935</v>
      </c>
      <c r="M21" s="7">
        <f t="shared" si="5"/>
        <v>2</v>
      </c>
    </row>
    <row r="22" spans="1:13" s="6" customFormat="1" x14ac:dyDescent="0.3">
      <c r="A22" s="6" t="s">
        <v>19</v>
      </c>
      <c r="B22" s="7">
        <f t="shared" ref="B22:I22" si="6">+B21+B12</f>
        <v>147713099</v>
      </c>
      <c r="C22" s="7">
        <f t="shared" si="6"/>
        <v>131336203</v>
      </c>
      <c r="D22" s="7">
        <f t="shared" si="6"/>
        <v>121061686</v>
      </c>
      <c r="E22" s="7">
        <f t="shared" si="6"/>
        <v>92270601</v>
      </c>
      <c r="F22" s="7">
        <f t="shared" si="6"/>
        <v>62011543</v>
      </c>
      <c r="G22" s="7">
        <f t="shared" si="6"/>
        <v>40294680</v>
      </c>
      <c r="H22" s="7">
        <f t="shared" si="6"/>
        <v>27829175</v>
      </c>
      <c r="I22" s="7">
        <f t="shared" si="6"/>
        <v>16916812</v>
      </c>
      <c r="J22" s="7">
        <f t="shared" ref="J22:K22" si="7">+J21+J12</f>
        <v>4438857</v>
      </c>
      <c r="K22" s="7">
        <f t="shared" si="7"/>
        <v>866331</v>
      </c>
      <c r="L22" s="7">
        <f t="shared" ref="L22:M22" si="8">+L21+L12</f>
        <v>855176</v>
      </c>
      <c r="M22" s="7">
        <f t="shared" si="8"/>
        <v>588750</v>
      </c>
    </row>
    <row r="23" spans="1:13" x14ac:dyDescent="0.3">
      <c r="A23" s="1" t="s">
        <v>114</v>
      </c>
      <c r="B23" s="3"/>
      <c r="C23" s="3"/>
      <c r="D23" s="3"/>
      <c r="E23" s="3"/>
      <c r="F23" s="3"/>
      <c r="G23" s="3"/>
      <c r="H23" s="3"/>
      <c r="I23" s="3"/>
      <c r="J23" s="3"/>
      <c r="K23" s="3"/>
      <c r="L23" s="3"/>
      <c r="M23" s="3"/>
    </row>
    <row r="24" spans="1:13" x14ac:dyDescent="0.3">
      <c r="A24" s="1" t="s">
        <v>21</v>
      </c>
      <c r="B24" s="3"/>
      <c r="C24" s="3"/>
      <c r="D24" s="3"/>
      <c r="E24" s="3"/>
      <c r="F24" s="3"/>
      <c r="G24" s="3"/>
      <c r="H24" s="3"/>
      <c r="I24" s="3"/>
      <c r="J24" s="3"/>
      <c r="K24" s="3"/>
      <c r="L24" s="3"/>
      <c r="M24" s="3"/>
    </row>
    <row r="25" spans="1:13" x14ac:dyDescent="0.3">
      <c r="A25" s="1" t="s">
        <v>115</v>
      </c>
      <c r="B25" s="3">
        <v>28680696</v>
      </c>
      <c r="C25" s="3">
        <v>11595747</v>
      </c>
      <c r="D25" s="3">
        <v>190000</v>
      </c>
      <c r="E25" s="3">
        <v>0</v>
      </c>
      <c r="F25" s="3">
        <v>0</v>
      </c>
      <c r="G25" s="3">
        <v>0</v>
      </c>
      <c r="H25" s="3">
        <v>0</v>
      </c>
      <c r="I25" s="3">
        <v>12086310</v>
      </c>
      <c r="J25" s="3">
        <v>0</v>
      </c>
      <c r="K25" s="3">
        <v>0</v>
      </c>
      <c r="L25" s="3">
        <v>0</v>
      </c>
      <c r="M25" s="3">
        <v>0</v>
      </c>
    </row>
    <row r="26" spans="1:13" x14ac:dyDescent="0.3">
      <c r="A26" s="1" t="s">
        <v>116</v>
      </c>
      <c r="B26" s="3">
        <v>1152806</v>
      </c>
      <c r="C26" s="3">
        <v>650546</v>
      </c>
      <c r="D26" s="3">
        <v>227816</v>
      </c>
      <c r="E26" s="3">
        <v>218735</v>
      </c>
      <c r="F26" s="3">
        <v>496652</v>
      </c>
      <c r="G26" s="3">
        <v>199978</v>
      </c>
      <c r="H26" s="3">
        <v>283030</v>
      </c>
      <c r="I26" s="3">
        <v>129506</v>
      </c>
      <c r="J26" s="3">
        <v>17996</v>
      </c>
      <c r="K26" s="3">
        <v>30072</v>
      </c>
      <c r="L26" s="3">
        <v>23350</v>
      </c>
      <c r="M26" s="3">
        <v>11000</v>
      </c>
    </row>
    <row r="27" spans="1:13" x14ac:dyDescent="0.3">
      <c r="A27" s="1" t="s">
        <v>117</v>
      </c>
      <c r="B27" s="3">
        <v>301914</v>
      </c>
      <c r="C27" s="3">
        <v>326708</v>
      </c>
      <c r="D27" s="3">
        <v>327395</v>
      </c>
      <c r="E27" s="3">
        <v>0</v>
      </c>
      <c r="F27" s="3">
        <v>0</v>
      </c>
      <c r="G27" s="3">
        <v>0</v>
      </c>
      <c r="H27" s="3">
        <v>0</v>
      </c>
      <c r="I27" s="3">
        <v>24298</v>
      </c>
      <c r="J27" s="3">
        <v>0</v>
      </c>
      <c r="K27" s="3">
        <v>0</v>
      </c>
      <c r="L27" s="3">
        <v>0</v>
      </c>
      <c r="M27" s="3">
        <v>0</v>
      </c>
    </row>
    <row r="28" spans="1:13" x14ac:dyDescent="0.3">
      <c r="A28" s="1" t="s">
        <v>118</v>
      </c>
      <c r="B28" s="3">
        <v>0</v>
      </c>
      <c r="C28" s="3">
        <v>0</v>
      </c>
      <c r="D28" s="3">
        <v>0</v>
      </c>
      <c r="E28" s="3">
        <v>0</v>
      </c>
      <c r="F28" s="3">
        <v>0</v>
      </c>
      <c r="G28" s="3">
        <v>744925</v>
      </c>
      <c r="H28" s="3">
        <v>0</v>
      </c>
      <c r="I28" s="3">
        <v>0</v>
      </c>
      <c r="J28" s="3">
        <v>0</v>
      </c>
      <c r="K28" s="3">
        <v>0</v>
      </c>
      <c r="L28" s="3">
        <v>0</v>
      </c>
      <c r="M28" s="3">
        <v>0</v>
      </c>
    </row>
    <row r="29" spans="1:13" x14ac:dyDescent="0.3">
      <c r="A29" s="1" t="s">
        <v>119</v>
      </c>
      <c r="B29" s="3">
        <v>6001</v>
      </c>
      <c r="C29" s="3">
        <v>5330</v>
      </c>
      <c r="D29" s="3">
        <v>4058</v>
      </c>
      <c r="E29" s="3">
        <v>4644</v>
      </c>
      <c r="F29" s="3">
        <v>1719</v>
      </c>
      <c r="G29" s="3">
        <v>9129</v>
      </c>
      <c r="H29" s="3">
        <v>10616</v>
      </c>
      <c r="I29" s="3">
        <v>9105</v>
      </c>
      <c r="J29" s="3">
        <v>3484</v>
      </c>
      <c r="K29" s="3">
        <v>2448</v>
      </c>
      <c r="L29" s="3">
        <v>6821</v>
      </c>
      <c r="M29" s="3">
        <v>4380</v>
      </c>
    </row>
    <row r="30" spans="1:13" x14ac:dyDescent="0.3">
      <c r="A30" s="1" t="s">
        <v>120</v>
      </c>
      <c r="B30" s="3">
        <v>468587</v>
      </c>
      <c r="C30" s="3">
        <v>210753</v>
      </c>
      <c r="D30" s="3">
        <v>57568</v>
      </c>
      <c r="E30" s="3">
        <v>668623</v>
      </c>
      <c r="F30" s="3">
        <v>52409</v>
      </c>
      <c r="G30" s="3">
        <v>48335</v>
      </c>
      <c r="H30" s="3">
        <v>66351</v>
      </c>
      <c r="I30" s="3">
        <v>108513</v>
      </c>
      <c r="J30" s="3">
        <v>0</v>
      </c>
      <c r="K30" s="3">
        <v>0</v>
      </c>
      <c r="L30" s="3">
        <v>0</v>
      </c>
      <c r="M30" s="3">
        <v>0</v>
      </c>
    </row>
    <row r="31" spans="1:13" x14ac:dyDescent="0.3">
      <c r="A31" s="1" t="s">
        <v>121</v>
      </c>
      <c r="B31" s="3">
        <v>0</v>
      </c>
      <c r="C31" s="3">
        <v>35750399</v>
      </c>
      <c r="D31" s="3">
        <v>50186475</v>
      </c>
      <c r="E31" s="3">
        <v>30458475</v>
      </c>
      <c r="F31" s="3">
        <v>13026774</v>
      </c>
      <c r="G31" s="3">
        <v>0</v>
      </c>
      <c r="H31" s="3">
        <v>0</v>
      </c>
      <c r="I31" s="3">
        <v>0</v>
      </c>
      <c r="J31" s="3">
        <v>0</v>
      </c>
      <c r="K31" s="3">
        <v>0</v>
      </c>
      <c r="L31" s="3">
        <v>0</v>
      </c>
      <c r="M31" s="3">
        <v>0</v>
      </c>
    </row>
    <row r="32" spans="1:13" s="6" customFormat="1" x14ac:dyDescent="0.3">
      <c r="A32" s="6" t="s">
        <v>122</v>
      </c>
      <c r="B32" s="7">
        <f t="shared" ref="B32:C32" si="9">+SUM(B23:B31)</f>
        <v>30610004</v>
      </c>
      <c r="C32" s="7">
        <f t="shared" si="9"/>
        <v>48539483</v>
      </c>
      <c r="D32" s="7">
        <f>+SUM(D23:D31)</f>
        <v>50993312</v>
      </c>
      <c r="E32" s="7">
        <f t="shared" ref="E32:I32" si="10">+SUM(E23:E31)</f>
        <v>31350477</v>
      </c>
      <c r="F32" s="7">
        <f t="shared" si="10"/>
        <v>13577554</v>
      </c>
      <c r="G32" s="7">
        <f t="shared" si="10"/>
        <v>1002367</v>
      </c>
      <c r="H32" s="7">
        <f t="shared" si="10"/>
        <v>359997</v>
      </c>
      <c r="I32" s="7">
        <f t="shared" si="10"/>
        <v>12357732</v>
      </c>
      <c r="J32" s="7">
        <f t="shared" ref="J32:K32" si="11">+SUM(J23:J31)</f>
        <v>21480</v>
      </c>
      <c r="K32" s="7">
        <f t="shared" si="11"/>
        <v>32520</v>
      </c>
      <c r="L32" s="7">
        <f t="shared" ref="L32:M32" si="12">+SUM(L23:L31)</f>
        <v>30171</v>
      </c>
      <c r="M32" s="7">
        <f t="shared" si="12"/>
        <v>15380</v>
      </c>
    </row>
    <row r="33" spans="1:13" x14ac:dyDescent="0.3">
      <c r="A33" s="1" t="s">
        <v>27</v>
      </c>
      <c r="B33" s="3"/>
      <c r="C33" s="3"/>
      <c r="D33" s="3"/>
      <c r="E33" s="3"/>
      <c r="F33" s="3"/>
      <c r="G33" s="3"/>
      <c r="H33" s="3"/>
      <c r="I33" s="3"/>
      <c r="J33" s="3"/>
      <c r="K33" s="3"/>
      <c r="L33" s="3"/>
      <c r="M33" s="3"/>
    </row>
    <row r="34" spans="1:13" x14ac:dyDescent="0.3">
      <c r="A34" s="1" t="s">
        <v>123</v>
      </c>
      <c r="B34" s="3">
        <v>48654881</v>
      </c>
      <c r="C34" s="3">
        <v>30208314</v>
      </c>
      <c r="D34" s="3">
        <v>13051057</v>
      </c>
      <c r="E34" s="3">
        <v>12862378</v>
      </c>
      <c r="F34" s="3">
        <v>12663518</v>
      </c>
      <c r="G34" s="3">
        <v>12453982</v>
      </c>
      <c r="H34" s="3">
        <v>12215058</v>
      </c>
      <c r="I34" s="3">
        <v>0</v>
      </c>
      <c r="J34" s="3">
        <v>0</v>
      </c>
      <c r="K34" s="3">
        <v>0</v>
      </c>
      <c r="L34" s="3">
        <v>0</v>
      </c>
      <c r="M34" s="3">
        <v>0</v>
      </c>
    </row>
    <row r="35" spans="1:13" x14ac:dyDescent="0.3">
      <c r="A35" s="1" t="s">
        <v>124</v>
      </c>
      <c r="B35" s="3">
        <v>65522016</v>
      </c>
      <c r="C35" s="3">
        <v>56947886</v>
      </c>
      <c r="D35" s="3">
        <v>57491795</v>
      </c>
      <c r="E35" s="3">
        <v>52097602</v>
      </c>
      <c r="F35" s="3">
        <v>43204228</v>
      </c>
      <c r="G35" s="3">
        <v>38762223</v>
      </c>
      <c r="H35" s="3">
        <v>40494689</v>
      </c>
      <c r="I35" s="3">
        <v>13146919</v>
      </c>
      <c r="J35" s="3">
        <v>12615284</v>
      </c>
      <c r="K35" s="3">
        <v>12430373</v>
      </c>
      <c r="L35" s="3">
        <v>12425373</v>
      </c>
      <c r="M35" s="3">
        <v>12400373</v>
      </c>
    </row>
    <row r="36" spans="1:13" x14ac:dyDescent="0.3">
      <c r="A36" s="1" t="s">
        <v>125</v>
      </c>
      <c r="B36" s="3">
        <v>15140</v>
      </c>
      <c r="C36" s="3">
        <v>15140</v>
      </c>
      <c r="D36" s="3">
        <v>8902</v>
      </c>
      <c r="E36" s="3">
        <v>11985</v>
      </c>
      <c r="F36" s="3">
        <v>11985</v>
      </c>
      <c r="G36" s="3">
        <v>1333911</v>
      </c>
      <c r="H36" s="3">
        <v>1229164</v>
      </c>
      <c r="I36" s="3">
        <v>262251</v>
      </c>
      <c r="J36" s="3">
        <v>363319</v>
      </c>
      <c r="K36" s="3">
        <v>0</v>
      </c>
      <c r="L36" s="3">
        <v>0</v>
      </c>
      <c r="M36" s="3">
        <v>0</v>
      </c>
    </row>
    <row r="37" spans="1:13" x14ac:dyDescent="0.3">
      <c r="A37" s="1" t="s">
        <v>126</v>
      </c>
      <c r="B37" s="3">
        <v>0</v>
      </c>
      <c r="C37" s="3">
        <v>0</v>
      </c>
      <c r="D37" s="3">
        <v>0</v>
      </c>
      <c r="E37" s="3">
        <v>0</v>
      </c>
      <c r="F37" s="3">
        <v>0</v>
      </c>
      <c r="G37" s="3">
        <v>11985</v>
      </c>
      <c r="H37" s="3">
        <v>11985</v>
      </c>
      <c r="I37" s="3">
        <v>0</v>
      </c>
      <c r="J37" s="3">
        <v>0</v>
      </c>
      <c r="K37" s="3">
        <v>0</v>
      </c>
      <c r="L37" s="3">
        <v>0</v>
      </c>
      <c r="M37" s="3">
        <v>0</v>
      </c>
    </row>
    <row r="38" spans="1:13" s="6" customFormat="1" x14ac:dyDescent="0.3">
      <c r="A38" s="6" t="s">
        <v>28</v>
      </c>
      <c r="B38" s="7">
        <f>+SUM(B33:B37)</f>
        <v>114192037</v>
      </c>
      <c r="C38" s="7">
        <f t="shared" ref="C38:I38" si="13">+SUM(C33:C37)</f>
        <v>87171340</v>
      </c>
      <c r="D38" s="7">
        <f t="shared" si="13"/>
        <v>70551754</v>
      </c>
      <c r="E38" s="7">
        <f t="shared" si="13"/>
        <v>64971965</v>
      </c>
      <c r="F38" s="7">
        <f t="shared" si="13"/>
        <v>55879731</v>
      </c>
      <c r="G38" s="7">
        <f t="shared" si="13"/>
        <v>52562101</v>
      </c>
      <c r="H38" s="7">
        <f t="shared" si="13"/>
        <v>53950896</v>
      </c>
      <c r="I38" s="7">
        <f t="shared" si="13"/>
        <v>13409170</v>
      </c>
      <c r="J38" s="7">
        <f t="shared" ref="J38:K38" si="14">+SUM(J33:J37)</f>
        <v>12978603</v>
      </c>
      <c r="K38" s="7">
        <f t="shared" si="14"/>
        <v>12430373</v>
      </c>
      <c r="L38" s="7">
        <f t="shared" ref="L38:M38" si="15">+SUM(L33:L37)</f>
        <v>12425373</v>
      </c>
      <c r="M38" s="7">
        <f t="shared" si="15"/>
        <v>12400373</v>
      </c>
    </row>
    <row r="39" spans="1:13" x14ac:dyDescent="0.3">
      <c r="A39" s="6" t="s">
        <v>29</v>
      </c>
      <c r="B39" s="7">
        <f>+B38+B32</f>
        <v>144802041</v>
      </c>
      <c r="C39" s="7">
        <f t="shared" ref="C39:I39" si="16">+C38+C32</f>
        <v>135710823</v>
      </c>
      <c r="D39" s="7">
        <f t="shared" si="16"/>
        <v>121545066</v>
      </c>
      <c r="E39" s="7">
        <f t="shared" si="16"/>
        <v>96322442</v>
      </c>
      <c r="F39" s="7">
        <f t="shared" si="16"/>
        <v>69457285</v>
      </c>
      <c r="G39" s="7">
        <f t="shared" si="16"/>
        <v>53564468</v>
      </c>
      <c r="H39" s="7">
        <f t="shared" si="16"/>
        <v>54310893</v>
      </c>
      <c r="I39" s="7">
        <f t="shared" si="16"/>
        <v>25766902</v>
      </c>
      <c r="J39" s="7">
        <f t="shared" ref="J39:K39" si="17">+J38+J32</f>
        <v>13000083</v>
      </c>
      <c r="K39" s="7">
        <f t="shared" si="17"/>
        <v>12462893</v>
      </c>
      <c r="L39" s="7">
        <f t="shared" ref="L39:M39" si="18">+L38+L32</f>
        <v>12455544</v>
      </c>
      <c r="M39" s="7">
        <f t="shared" si="18"/>
        <v>12415753</v>
      </c>
    </row>
    <row r="40" spans="1:13" x14ac:dyDescent="0.3">
      <c r="A40" s="6" t="s">
        <v>127</v>
      </c>
      <c r="B40" s="3"/>
      <c r="C40" s="3"/>
      <c r="D40" s="3"/>
      <c r="E40" s="3"/>
      <c r="F40" s="3"/>
      <c r="G40" s="3"/>
      <c r="H40" s="3"/>
      <c r="I40" s="3"/>
      <c r="J40" s="3"/>
      <c r="K40" s="3"/>
      <c r="L40" s="3"/>
      <c r="M40" s="3"/>
    </row>
    <row r="41" spans="1:13" x14ac:dyDescent="0.3">
      <c r="A41" s="1" t="s">
        <v>128</v>
      </c>
      <c r="B41" s="3">
        <v>23493355</v>
      </c>
      <c r="C41" s="3">
        <v>23493355</v>
      </c>
      <c r="D41" s="3">
        <v>23493355</v>
      </c>
      <c r="E41" s="3">
        <v>23493355</v>
      </c>
      <c r="F41" s="3">
        <v>23493355</v>
      </c>
      <c r="G41" s="3">
        <v>23493355</v>
      </c>
      <c r="H41" s="3">
        <v>17776644</v>
      </c>
      <c r="I41" s="3">
        <v>17776644</v>
      </c>
      <c r="J41" s="3">
        <v>17776644</v>
      </c>
      <c r="K41" s="3">
        <v>17776644</v>
      </c>
      <c r="L41" s="3">
        <v>17776644</v>
      </c>
      <c r="M41" s="3">
        <v>17776644</v>
      </c>
    </row>
    <row r="42" spans="1:13" x14ac:dyDescent="0.3">
      <c r="A42" s="1" t="s">
        <v>32</v>
      </c>
      <c r="B42" s="3">
        <v>-2252</v>
      </c>
      <c r="C42" s="3">
        <v>-2252</v>
      </c>
      <c r="D42" s="3">
        <v>-2252</v>
      </c>
      <c r="E42" s="3">
        <v>-2252</v>
      </c>
      <c r="F42" s="3">
        <v>-2252</v>
      </c>
      <c r="G42" s="3">
        <v>-2252</v>
      </c>
      <c r="H42" s="3">
        <v>-2252</v>
      </c>
      <c r="I42" s="3">
        <v>-2252</v>
      </c>
      <c r="J42" s="3">
        <v>-2252</v>
      </c>
      <c r="K42" s="3">
        <v>-2252</v>
      </c>
      <c r="L42" s="3">
        <v>-2252</v>
      </c>
      <c r="M42" s="3">
        <v>-2252</v>
      </c>
    </row>
    <row r="43" spans="1:13" x14ac:dyDescent="0.3">
      <c r="A43" s="1" t="s">
        <v>33</v>
      </c>
      <c r="B43" s="3">
        <v>-22827361</v>
      </c>
      <c r="C43" s="3">
        <v>-29909311</v>
      </c>
      <c r="D43" s="3">
        <v>-26307491</v>
      </c>
      <c r="E43" s="3">
        <v>-29824711</v>
      </c>
      <c r="F43" s="3">
        <v>-33464697</v>
      </c>
      <c r="G43" s="3">
        <v>-39320659</v>
      </c>
      <c r="H43" s="3">
        <v>-45556440</v>
      </c>
      <c r="I43" s="3">
        <v>-27162691</v>
      </c>
      <c r="J43" s="3">
        <v>-26335618</v>
      </c>
      <c r="K43" s="3">
        <v>-29370954</v>
      </c>
      <c r="L43" s="3">
        <v>-29374760</v>
      </c>
      <c r="M43" s="3">
        <v>-29601395</v>
      </c>
    </row>
    <row r="44" spans="1:13" s="6" customFormat="1" x14ac:dyDescent="0.3">
      <c r="A44" s="6" t="s">
        <v>129</v>
      </c>
      <c r="B44" s="7">
        <f t="shared" ref="B44:I44" si="19">+SUM(B40:B43)</f>
        <v>663742</v>
      </c>
      <c r="C44" s="7">
        <f t="shared" si="19"/>
        <v>-6418208</v>
      </c>
      <c r="D44" s="7">
        <f t="shared" si="19"/>
        <v>-2816388</v>
      </c>
      <c r="E44" s="7">
        <f t="shared" si="19"/>
        <v>-6333608</v>
      </c>
      <c r="F44" s="7">
        <f t="shared" si="19"/>
        <v>-9973594</v>
      </c>
      <c r="G44" s="7">
        <f t="shared" si="19"/>
        <v>-15829556</v>
      </c>
      <c r="H44" s="7">
        <f t="shared" si="19"/>
        <v>-27782048</v>
      </c>
      <c r="I44" s="7">
        <f t="shared" si="19"/>
        <v>-9388299</v>
      </c>
      <c r="J44" s="7">
        <f t="shared" ref="J44:K44" si="20">+SUM(J40:J43)</f>
        <v>-8561226</v>
      </c>
      <c r="K44" s="7">
        <f t="shared" si="20"/>
        <v>-11596562</v>
      </c>
      <c r="L44" s="7">
        <f t="shared" ref="L44:M44" si="21">+SUM(L40:L43)</f>
        <v>-11600368</v>
      </c>
      <c r="M44" s="7">
        <f t="shared" si="21"/>
        <v>-11827003</v>
      </c>
    </row>
    <row r="45" spans="1:13" s="8" customFormat="1" x14ac:dyDescent="0.3">
      <c r="A45" s="8" t="s">
        <v>130</v>
      </c>
      <c r="B45" s="9">
        <v>2247316</v>
      </c>
      <c r="C45" s="9">
        <v>2043588</v>
      </c>
      <c r="D45" s="9">
        <v>2333008</v>
      </c>
      <c r="E45" s="9">
        <v>2281767</v>
      </c>
      <c r="F45" s="9">
        <v>2527852</v>
      </c>
      <c r="G45" s="9">
        <v>2559768</v>
      </c>
      <c r="H45" s="9">
        <v>1300330</v>
      </c>
      <c r="I45" s="9">
        <v>538209</v>
      </c>
      <c r="J45" s="3">
        <v>0</v>
      </c>
      <c r="K45" s="3">
        <v>0</v>
      </c>
      <c r="L45" s="3">
        <v>0</v>
      </c>
      <c r="M45" s="3">
        <v>0</v>
      </c>
    </row>
    <row r="46" spans="1:13" x14ac:dyDescent="0.3">
      <c r="A46" s="6" t="s">
        <v>131</v>
      </c>
      <c r="B46" s="7">
        <f>+B44+B39+B45</f>
        <v>147713099</v>
      </c>
      <c r="C46" s="7">
        <f t="shared" ref="C46:H46" si="22">+C44+C39+C45</f>
        <v>131336203</v>
      </c>
      <c r="D46" s="7">
        <f t="shared" si="22"/>
        <v>121061686</v>
      </c>
      <c r="E46" s="7">
        <f t="shared" si="22"/>
        <v>92270601</v>
      </c>
      <c r="F46" s="7">
        <f t="shared" si="22"/>
        <v>62011543</v>
      </c>
      <c r="G46" s="7">
        <f t="shared" si="22"/>
        <v>40294680</v>
      </c>
      <c r="H46" s="7">
        <f t="shared" si="22"/>
        <v>27829175</v>
      </c>
      <c r="I46" s="7">
        <f>+I44+I39+I45</f>
        <v>16916812</v>
      </c>
      <c r="J46" s="7">
        <f>+J44+J39+J45</f>
        <v>4438857</v>
      </c>
      <c r="K46" s="7">
        <f>+K44+K39+K45</f>
        <v>866331</v>
      </c>
      <c r="L46" s="7">
        <f>+L44+L39+L45</f>
        <v>855176</v>
      </c>
      <c r="M46" s="7">
        <f>+M44+M39+M45</f>
        <v>588750</v>
      </c>
    </row>
    <row r="47" spans="1:13" x14ac:dyDescent="0.3">
      <c r="A47" s="1" t="s">
        <v>38</v>
      </c>
      <c r="B47" s="4" t="str">
        <f>IF((+B46-B22)=0,"ok","error")</f>
        <v>ok</v>
      </c>
      <c r="C47" s="4" t="str">
        <f>IF((+C46-C22)=0,"ok","error")</f>
        <v>ok</v>
      </c>
      <c r="D47" s="4" t="str">
        <f t="shared" ref="D47:H47" si="23">IF((+D46-D22)=0,"ok","error")</f>
        <v>ok</v>
      </c>
      <c r="E47" s="4" t="str">
        <f t="shared" si="23"/>
        <v>ok</v>
      </c>
      <c r="F47" s="4" t="str">
        <f t="shared" si="23"/>
        <v>ok</v>
      </c>
      <c r="G47" s="4" t="str">
        <f t="shared" si="23"/>
        <v>ok</v>
      </c>
      <c r="H47" s="4" t="str">
        <f t="shared" si="23"/>
        <v>ok</v>
      </c>
      <c r="I47" s="4" t="str">
        <f>IF((+I46-I22)=0,"ok","error")</f>
        <v>ok</v>
      </c>
      <c r="J47" s="4" t="str">
        <f>IF((+J46-J22)=0,"ok","error")</f>
        <v>ok</v>
      </c>
      <c r="K47" s="4" t="str">
        <f>IF((+K46-K22)=0,"ok","error")</f>
        <v>ok</v>
      </c>
      <c r="L47" s="4" t="str">
        <f>IF((+L46-L22)=0,"ok","error")</f>
        <v>ok</v>
      </c>
      <c r="M47" s="4" t="str">
        <f>IF((+M46-M22)=0,"ok","error")</f>
        <v>ok</v>
      </c>
    </row>
    <row r="48" spans="1:13" x14ac:dyDescent="0.3">
      <c r="A48" s="6" t="s">
        <v>132</v>
      </c>
      <c r="B48" s="3"/>
      <c r="C48" s="3"/>
      <c r="D48" s="3"/>
      <c r="E48" s="3"/>
      <c r="F48" s="3"/>
      <c r="G48" s="3"/>
      <c r="H48" s="3"/>
      <c r="I48" s="3"/>
      <c r="J48" s="3"/>
      <c r="K48" s="3"/>
      <c r="L48" s="3"/>
      <c r="M48" s="3"/>
    </row>
    <row r="49" spans="1:13" x14ac:dyDescent="0.3">
      <c r="A49" s="1" t="s">
        <v>133</v>
      </c>
      <c r="B49" s="3"/>
      <c r="C49" s="3"/>
      <c r="D49" s="3"/>
      <c r="E49" s="3"/>
      <c r="F49" s="3"/>
      <c r="G49" s="3"/>
      <c r="H49" s="3"/>
      <c r="I49" s="3"/>
      <c r="J49" s="3"/>
      <c r="K49" s="3"/>
      <c r="L49" s="3"/>
      <c r="M49" s="3"/>
    </row>
    <row r="50" spans="1:13" x14ac:dyDescent="0.3">
      <c r="A50" s="1" t="s">
        <v>134</v>
      </c>
      <c r="B50" s="3">
        <v>9849605</v>
      </c>
      <c r="C50" s="3">
        <v>5648646</v>
      </c>
      <c r="D50" s="3">
        <v>5215212</v>
      </c>
      <c r="E50" s="3">
        <v>2074868</v>
      </c>
      <c r="F50" s="3">
        <v>2084693</v>
      </c>
      <c r="G50" s="3">
        <v>2228853</v>
      </c>
      <c r="H50" s="3">
        <v>2134000</v>
      </c>
      <c r="I50" s="3">
        <v>1347801</v>
      </c>
      <c r="J50" s="3">
        <v>0</v>
      </c>
      <c r="K50" s="3">
        <v>0</v>
      </c>
      <c r="L50" s="3">
        <v>0</v>
      </c>
      <c r="M50" s="3">
        <v>0</v>
      </c>
    </row>
    <row r="51" spans="1:13" x14ac:dyDescent="0.3">
      <c r="A51" s="1" t="s">
        <v>135</v>
      </c>
      <c r="B51" s="3">
        <v>-6735005</v>
      </c>
      <c r="C51" s="3">
        <v>-8544228</v>
      </c>
      <c r="D51" s="3">
        <v>-6031952</v>
      </c>
      <c r="E51" s="3">
        <v>-5305041</v>
      </c>
      <c r="F51" s="3">
        <v>-4835322</v>
      </c>
      <c r="G51" s="3">
        <v>-3284153</v>
      </c>
      <c r="H51" s="3">
        <v>-2701570</v>
      </c>
      <c r="I51" s="3">
        <v>-2718029</v>
      </c>
      <c r="J51" s="3">
        <v>0</v>
      </c>
      <c r="K51" s="3">
        <v>0</v>
      </c>
      <c r="L51" s="3">
        <v>0</v>
      </c>
      <c r="M51" s="3">
        <v>0</v>
      </c>
    </row>
    <row r="52" spans="1:13" s="6" customFormat="1" x14ac:dyDescent="0.3">
      <c r="A52" s="6" t="s">
        <v>136</v>
      </c>
      <c r="B52" s="7">
        <f>+SUM(B50:B51)</f>
        <v>3114600</v>
      </c>
      <c r="C52" s="7">
        <f t="shared" ref="C52:I52" si="24">+SUM(C50:C51)</f>
        <v>-2895582</v>
      </c>
      <c r="D52" s="7">
        <f t="shared" si="24"/>
        <v>-816740</v>
      </c>
      <c r="E52" s="7">
        <f t="shared" si="24"/>
        <v>-3230173</v>
      </c>
      <c r="F52" s="7">
        <f t="shared" si="24"/>
        <v>-2750629</v>
      </c>
      <c r="G52" s="7">
        <f t="shared" si="24"/>
        <v>-1055300</v>
      </c>
      <c r="H52" s="7">
        <f t="shared" si="24"/>
        <v>-567570</v>
      </c>
      <c r="I52" s="7">
        <f t="shared" si="24"/>
        <v>-1370228</v>
      </c>
      <c r="J52" s="7">
        <f t="shared" ref="J52:K52" si="25">+SUM(J50:J51)</f>
        <v>0</v>
      </c>
      <c r="K52" s="7">
        <f t="shared" si="25"/>
        <v>0</v>
      </c>
      <c r="L52" s="7">
        <f t="shared" ref="L52:M52" si="26">+SUM(L50:L51)</f>
        <v>0</v>
      </c>
      <c r="M52" s="7">
        <f t="shared" si="26"/>
        <v>0</v>
      </c>
    </row>
    <row r="53" spans="1:13" x14ac:dyDescent="0.3">
      <c r="A53" s="1" t="s">
        <v>137</v>
      </c>
      <c r="B53" s="3">
        <v>3810</v>
      </c>
      <c r="C53" s="3">
        <v>659</v>
      </c>
      <c r="D53" s="3">
        <f>2124+16356</f>
        <v>18480</v>
      </c>
      <c r="E53" s="3">
        <v>158960</v>
      </c>
      <c r="F53" s="3">
        <v>1629</v>
      </c>
      <c r="G53" s="3">
        <v>593</v>
      </c>
      <c r="H53" s="3">
        <v>4330</v>
      </c>
      <c r="I53" s="3">
        <v>3082</v>
      </c>
      <c r="J53" s="3">
        <v>0</v>
      </c>
      <c r="K53" s="3">
        <v>0</v>
      </c>
      <c r="L53" s="3">
        <v>0</v>
      </c>
      <c r="M53" s="3">
        <v>0</v>
      </c>
    </row>
    <row r="54" spans="1:13" x14ac:dyDescent="0.3">
      <c r="A54" s="1" t="s">
        <v>138</v>
      </c>
      <c r="B54" s="3">
        <v>-3185673</v>
      </c>
      <c r="C54" s="3">
        <v>-1962243</v>
      </c>
      <c r="D54" s="3">
        <v>-4511252</v>
      </c>
      <c r="E54" s="3">
        <v>-700496</v>
      </c>
      <c r="F54" s="3">
        <v>-748836</v>
      </c>
      <c r="G54" s="3">
        <v>-809390</v>
      </c>
      <c r="H54" s="3">
        <v>-756939</v>
      </c>
      <c r="I54" s="3">
        <v>-974278</v>
      </c>
      <c r="J54" s="3">
        <v>-88402</v>
      </c>
      <c r="K54" s="3">
        <v>-85091</v>
      </c>
      <c r="L54" s="3">
        <v>-66340</v>
      </c>
      <c r="M54" s="3">
        <v>-57490</v>
      </c>
    </row>
    <row r="55" spans="1:13" x14ac:dyDescent="0.3">
      <c r="A55" s="1" t="s">
        <v>139</v>
      </c>
      <c r="B55" s="3">
        <v>0</v>
      </c>
      <c r="C55" s="3">
        <v>0</v>
      </c>
      <c r="D55" s="3">
        <v>0</v>
      </c>
      <c r="E55" s="3">
        <v>124</v>
      </c>
      <c r="F55" s="3">
        <v>-92</v>
      </c>
      <c r="G55" s="3">
        <v>-52</v>
      </c>
      <c r="H55" s="3">
        <v>-101</v>
      </c>
      <c r="I55" s="3">
        <v>-62</v>
      </c>
      <c r="J55" s="3">
        <v>-100025</v>
      </c>
      <c r="K55" s="3">
        <v>-68487</v>
      </c>
      <c r="L55" s="3">
        <v>0</v>
      </c>
      <c r="M55" s="3">
        <v>0</v>
      </c>
    </row>
    <row r="56" spans="1:13" x14ac:dyDescent="0.3">
      <c r="A56" s="1" t="s">
        <v>140</v>
      </c>
      <c r="B56" s="3">
        <v>0</v>
      </c>
      <c r="C56" s="3">
        <v>0</v>
      </c>
      <c r="D56" s="3">
        <v>0</v>
      </c>
      <c r="E56" s="3">
        <v>-12294</v>
      </c>
      <c r="F56" s="3">
        <v>-2929</v>
      </c>
      <c r="G56" s="3">
        <v>0</v>
      </c>
      <c r="H56" s="3">
        <v>0</v>
      </c>
      <c r="I56" s="3">
        <v>28526380</v>
      </c>
      <c r="J56" s="3">
        <v>534776</v>
      </c>
      <c r="K56" s="3">
        <v>67944</v>
      </c>
      <c r="L56" s="3">
        <v>25980</v>
      </c>
      <c r="M56" s="3">
        <v>17975</v>
      </c>
    </row>
    <row r="57" spans="1:13" s="6" customFormat="1" x14ac:dyDescent="0.3">
      <c r="A57" s="6" t="s">
        <v>141</v>
      </c>
      <c r="B57" s="7">
        <f>+SUM(B52:B56)</f>
        <v>-67263</v>
      </c>
      <c r="C57" s="7">
        <f t="shared" ref="C57:I57" si="27">+SUM(C52:C56)</f>
        <v>-4857166</v>
      </c>
      <c r="D57" s="7">
        <f t="shared" si="27"/>
        <v>-5309512</v>
      </c>
      <c r="E57" s="7">
        <f t="shared" si="27"/>
        <v>-3783879</v>
      </c>
      <c r="F57" s="7">
        <f t="shared" si="27"/>
        <v>-3500857</v>
      </c>
      <c r="G57" s="7">
        <f t="shared" si="27"/>
        <v>-1864149</v>
      </c>
      <c r="H57" s="7">
        <f t="shared" si="27"/>
        <v>-1320280</v>
      </c>
      <c r="I57" s="7">
        <f t="shared" si="27"/>
        <v>26184894</v>
      </c>
      <c r="J57" s="7">
        <f t="shared" ref="J57:K57" si="28">+SUM(J52:J56)</f>
        <v>346349</v>
      </c>
      <c r="K57" s="7">
        <f t="shared" si="28"/>
        <v>-85634</v>
      </c>
      <c r="L57" s="7">
        <f t="shared" ref="L57:M57" si="29">+SUM(L52:L56)</f>
        <v>-40360</v>
      </c>
      <c r="M57" s="7">
        <f t="shared" si="29"/>
        <v>-39515</v>
      </c>
    </row>
    <row r="58" spans="1:13" x14ac:dyDescent="0.3">
      <c r="A58" s="1" t="s">
        <v>142</v>
      </c>
      <c r="B58" s="3">
        <v>670</v>
      </c>
      <c r="C58" s="3">
        <v>151</v>
      </c>
      <c r="D58" s="3">
        <v>82</v>
      </c>
      <c r="E58" s="3">
        <v>65</v>
      </c>
      <c r="F58" s="3">
        <v>84</v>
      </c>
      <c r="G58" s="3">
        <v>42569</v>
      </c>
      <c r="H58" s="3">
        <v>8330</v>
      </c>
      <c r="I58" s="3">
        <v>1914</v>
      </c>
      <c r="J58" s="3">
        <v>1452</v>
      </c>
      <c r="K58" s="3">
        <v>95202</v>
      </c>
      <c r="L58" s="3">
        <v>0</v>
      </c>
      <c r="M58" s="3">
        <v>0</v>
      </c>
    </row>
    <row r="59" spans="1:13" x14ac:dyDescent="0.3">
      <c r="A59" s="1" t="s">
        <v>143</v>
      </c>
      <c r="B59" s="3">
        <v>-4426745</v>
      </c>
      <c r="C59" s="3">
        <v>-246</v>
      </c>
      <c r="D59" s="3">
        <v>-265</v>
      </c>
      <c r="E59" s="3">
        <v>-278</v>
      </c>
      <c r="F59" s="3">
        <v>-428</v>
      </c>
      <c r="G59" s="3">
        <v>-287</v>
      </c>
      <c r="H59" s="3">
        <v>-681</v>
      </c>
      <c r="I59" s="3">
        <v>-1365</v>
      </c>
      <c r="J59" s="3">
        <v>-3669</v>
      </c>
      <c r="K59" s="3">
        <v>-2167</v>
      </c>
      <c r="L59" s="3">
        <v>-1862</v>
      </c>
      <c r="M59" s="3">
        <v>-1917</v>
      </c>
    </row>
    <row r="60" spans="1:13" ht="28.8" x14ac:dyDescent="0.3">
      <c r="A60" s="5" t="s">
        <v>144</v>
      </c>
      <c r="B60" s="3">
        <v>9070515</v>
      </c>
      <c r="C60" s="3">
        <v>4953958</v>
      </c>
      <c r="D60" s="3">
        <v>6501066</v>
      </c>
      <c r="E60" s="3">
        <v>972752</v>
      </c>
      <c r="F60" s="3">
        <v>-316831</v>
      </c>
      <c r="G60" s="3">
        <v>-1589029</v>
      </c>
      <c r="H60" s="3">
        <v>-594774</v>
      </c>
      <c r="I60" s="3">
        <v>-6290570</v>
      </c>
      <c r="J60" s="3">
        <v>610906</v>
      </c>
      <c r="K60" s="3">
        <v>-3406056</v>
      </c>
      <c r="L60" s="3">
        <v>38416</v>
      </c>
      <c r="M60" s="3">
        <v>-169933</v>
      </c>
    </row>
    <row r="61" spans="1:13" x14ac:dyDescent="0.3">
      <c r="A61" s="1" t="s">
        <v>145</v>
      </c>
      <c r="B61" s="3">
        <v>0</v>
      </c>
      <c r="C61" s="3">
        <v>0</v>
      </c>
      <c r="D61" s="3">
        <v>0</v>
      </c>
      <c r="E61" s="3">
        <v>0</v>
      </c>
      <c r="F61" s="3">
        <v>0</v>
      </c>
      <c r="G61" s="3">
        <v>0</v>
      </c>
      <c r="H61" s="3">
        <v>0</v>
      </c>
      <c r="I61" s="3">
        <v>0</v>
      </c>
      <c r="J61" s="3">
        <v>0</v>
      </c>
      <c r="K61" s="3">
        <v>0</v>
      </c>
      <c r="L61" s="3">
        <v>0</v>
      </c>
      <c r="M61" s="3">
        <v>0</v>
      </c>
    </row>
    <row r="62" spans="1:13" x14ac:dyDescent="0.3">
      <c r="A62" s="1" t="s">
        <v>146</v>
      </c>
      <c r="B62" s="3">
        <v>0</v>
      </c>
      <c r="C62" s="3">
        <v>0</v>
      </c>
      <c r="D62" s="3">
        <v>0</v>
      </c>
      <c r="E62" s="3">
        <v>0</v>
      </c>
      <c r="F62" s="3">
        <v>0</v>
      </c>
      <c r="G62" s="3">
        <v>0</v>
      </c>
      <c r="H62" s="3">
        <v>0</v>
      </c>
      <c r="I62" s="3">
        <v>0</v>
      </c>
      <c r="J62" s="3">
        <v>0</v>
      </c>
      <c r="K62" s="3">
        <v>0</v>
      </c>
      <c r="L62" s="3">
        <v>0</v>
      </c>
      <c r="M62" s="3">
        <v>0</v>
      </c>
    </row>
    <row r="63" spans="1:13" x14ac:dyDescent="0.3">
      <c r="A63" s="1" t="s">
        <v>147</v>
      </c>
      <c r="B63" s="3">
        <v>-6214205</v>
      </c>
      <c r="C63" s="3">
        <v>-6310545</v>
      </c>
      <c r="D63" s="3">
        <v>2787994</v>
      </c>
      <c r="E63" s="3">
        <v>-509356</v>
      </c>
      <c r="F63" s="3">
        <v>884101</v>
      </c>
      <c r="G63" s="3">
        <v>-292588</v>
      </c>
      <c r="H63" s="3">
        <v>-6111444</v>
      </c>
      <c r="I63" s="3">
        <v>-3281747</v>
      </c>
      <c r="J63" s="3">
        <v>0</v>
      </c>
      <c r="K63" s="3">
        <v>0</v>
      </c>
      <c r="L63" s="3">
        <v>0</v>
      </c>
      <c r="M63" s="3">
        <v>0</v>
      </c>
    </row>
    <row r="64" spans="1:13" s="6" customFormat="1" x14ac:dyDescent="0.3">
      <c r="A64" s="6" t="s">
        <v>148</v>
      </c>
      <c r="B64" s="7">
        <f>+SUM(B57:B63)</f>
        <v>-1637028</v>
      </c>
      <c r="C64" s="7">
        <f t="shared" ref="C64:I64" si="30">+SUM(C57:C63)</f>
        <v>-6213848</v>
      </c>
      <c r="D64" s="7">
        <f t="shared" si="30"/>
        <v>3979365</v>
      </c>
      <c r="E64" s="7">
        <f t="shared" si="30"/>
        <v>-3320696</v>
      </c>
      <c r="F64" s="7">
        <f t="shared" si="30"/>
        <v>-2933931</v>
      </c>
      <c r="G64" s="7">
        <f t="shared" si="30"/>
        <v>-3703484</v>
      </c>
      <c r="H64" s="7">
        <f t="shared" si="30"/>
        <v>-8018849</v>
      </c>
      <c r="I64" s="7">
        <f t="shared" si="30"/>
        <v>16613126</v>
      </c>
      <c r="J64" s="7">
        <f t="shared" ref="J64:K64" si="31">+SUM(J57:J63)</f>
        <v>955038</v>
      </c>
      <c r="K64" s="7">
        <f t="shared" si="31"/>
        <v>-3398655</v>
      </c>
      <c r="L64" s="7">
        <f t="shared" ref="L64:M64" si="32">+SUM(L57:L63)</f>
        <v>-3806</v>
      </c>
      <c r="M64" s="7">
        <f t="shared" si="32"/>
        <v>-211365</v>
      </c>
    </row>
    <row r="65" spans="1:13" x14ac:dyDescent="0.3">
      <c r="A65" s="1" t="s">
        <v>149</v>
      </c>
      <c r="B65" s="3">
        <v>0</v>
      </c>
      <c r="C65" s="3">
        <v>0</v>
      </c>
      <c r="D65" s="3">
        <v>0</v>
      </c>
      <c r="E65" s="3">
        <v>-107000</v>
      </c>
      <c r="F65" s="3">
        <v>-295000</v>
      </c>
      <c r="G65" s="3">
        <v>-1997657</v>
      </c>
      <c r="H65" s="3">
        <v>556530</v>
      </c>
      <c r="I65" s="3">
        <v>995899</v>
      </c>
      <c r="J65" s="3">
        <v>-127965</v>
      </c>
      <c r="K65" s="3">
        <v>363319</v>
      </c>
      <c r="L65" s="3">
        <v>0</v>
      </c>
      <c r="M65" s="3">
        <v>-15270</v>
      </c>
    </row>
    <row r="66" spans="1:13" x14ac:dyDescent="0.3">
      <c r="A66" s="1" t="s">
        <v>150</v>
      </c>
      <c r="B66" s="7">
        <f>+SUM(B64:B65)</f>
        <v>-1637028</v>
      </c>
      <c r="C66" s="7">
        <f t="shared" ref="C66:I66" si="33">+SUM(C64:C65)</f>
        <v>-6213848</v>
      </c>
      <c r="D66" s="7">
        <f t="shared" si="33"/>
        <v>3979365</v>
      </c>
      <c r="E66" s="7">
        <f t="shared" si="33"/>
        <v>-3427696</v>
      </c>
      <c r="F66" s="7">
        <f t="shared" si="33"/>
        <v>-3228931</v>
      </c>
      <c r="G66" s="7">
        <f t="shared" si="33"/>
        <v>-5701141</v>
      </c>
      <c r="H66" s="7">
        <f t="shared" si="33"/>
        <v>-7462319</v>
      </c>
      <c r="I66" s="7">
        <f t="shared" si="33"/>
        <v>17609025</v>
      </c>
      <c r="J66" s="7">
        <f t="shared" ref="J66:K66" si="34">+SUM(J64:J65)</f>
        <v>827073</v>
      </c>
      <c r="K66" s="7">
        <f t="shared" si="34"/>
        <v>-3035336</v>
      </c>
      <c r="L66" s="7">
        <f t="shared" ref="L66:M66" si="35">+SUM(L64:L65)</f>
        <v>-3806</v>
      </c>
      <c r="M66" s="7">
        <f t="shared" si="35"/>
        <v>-226635</v>
      </c>
    </row>
    <row r="67" spans="1:13" x14ac:dyDescent="0.3">
      <c r="A67" s="1" t="s">
        <v>151</v>
      </c>
      <c r="B67" s="3">
        <v>0</v>
      </c>
      <c r="C67" s="3">
        <v>-868101</v>
      </c>
      <c r="D67" s="3">
        <v>0</v>
      </c>
      <c r="E67" s="3">
        <v>0</v>
      </c>
      <c r="F67" s="3">
        <v>0</v>
      </c>
      <c r="G67" s="3">
        <v>0</v>
      </c>
      <c r="H67" s="3">
        <v>0</v>
      </c>
      <c r="I67" s="3">
        <v>0</v>
      </c>
      <c r="J67" s="3">
        <v>0</v>
      </c>
      <c r="K67" s="3">
        <v>0</v>
      </c>
      <c r="L67" s="3">
        <v>0</v>
      </c>
      <c r="M67" s="3">
        <v>0</v>
      </c>
    </row>
    <row r="68" spans="1:13" s="6" customFormat="1" x14ac:dyDescent="0.3">
      <c r="A68" s="6" t="s">
        <v>152</v>
      </c>
      <c r="B68" s="7">
        <f>+SUM(B66:B67)</f>
        <v>-1637028</v>
      </c>
      <c r="C68" s="7">
        <f>+SUM(C66:C67)</f>
        <v>-7081949</v>
      </c>
      <c r="D68" s="7">
        <f t="shared" ref="D68:I68" si="36">+SUM(D66:D67)</f>
        <v>3979365</v>
      </c>
      <c r="E68" s="7">
        <f t="shared" si="36"/>
        <v>-3427696</v>
      </c>
      <c r="F68" s="7">
        <f t="shared" si="36"/>
        <v>-3228931</v>
      </c>
      <c r="G68" s="7">
        <f t="shared" si="36"/>
        <v>-5701141</v>
      </c>
      <c r="H68" s="7">
        <f t="shared" si="36"/>
        <v>-7462319</v>
      </c>
      <c r="I68" s="7">
        <f t="shared" si="36"/>
        <v>17609025</v>
      </c>
      <c r="J68" s="7">
        <f t="shared" ref="J68:K68" si="37">+SUM(J66:J67)</f>
        <v>827073</v>
      </c>
      <c r="K68" s="7">
        <f t="shared" si="37"/>
        <v>-3035336</v>
      </c>
      <c r="L68" s="7">
        <f t="shared" ref="L68:M68" si="38">+SUM(L66:L67)</f>
        <v>-3806</v>
      </c>
      <c r="M68" s="7">
        <f t="shared" si="38"/>
        <v>-226635</v>
      </c>
    </row>
    <row r="89" spans="1:1" x14ac:dyDescent="0.3">
      <c r="A89" s="1" t="s">
        <v>99</v>
      </c>
    </row>
    <row r="90" spans="1:1" x14ac:dyDescent="0.3">
      <c r="A90" s="1" t="s">
        <v>186</v>
      </c>
    </row>
    <row r="91" spans="1:1" x14ac:dyDescent="0.3">
      <c r="A91" s="1" t="s">
        <v>187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B5679-945D-457B-9800-B5F40A913F18}">
  <dimension ref="A1:N91"/>
  <sheetViews>
    <sheetView workbookViewId="0">
      <pane xSplit="1" ySplit="1" topLeftCell="E53" activePane="bottomRight" state="frozen"/>
      <selection pane="topRight" activeCell="B1" sqref="B1"/>
      <selection pane="bottomLeft" activeCell="A2" sqref="A2"/>
      <selection pane="bottomRight" activeCell="M64" sqref="M64"/>
    </sheetView>
  </sheetViews>
  <sheetFormatPr baseColWidth="10" defaultColWidth="11.44140625" defaultRowHeight="14.4" x14ac:dyDescent="0.3"/>
  <cols>
    <col min="1" max="1" width="56.88671875" style="1" customWidth="1"/>
    <col min="2" max="13" width="12.88671875" style="1" customWidth="1"/>
    <col min="14" max="16384" width="11.44140625" style="1"/>
  </cols>
  <sheetData>
    <row r="1" spans="1:14" x14ac:dyDescent="0.3">
      <c r="A1" s="1" t="s">
        <v>185</v>
      </c>
      <c r="B1" s="2">
        <v>42004</v>
      </c>
      <c r="C1" s="2">
        <v>42369</v>
      </c>
      <c r="D1" s="2">
        <v>42735</v>
      </c>
      <c r="E1" s="2">
        <v>43100</v>
      </c>
      <c r="F1" s="2">
        <v>43465</v>
      </c>
      <c r="G1" s="2">
        <v>43830</v>
      </c>
      <c r="H1" s="2">
        <v>44196</v>
      </c>
      <c r="I1" s="2">
        <v>44561</v>
      </c>
      <c r="J1" s="2">
        <v>44926</v>
      </c>
      <c r="K1" s="2">
        <v>45291</v>
      </c>
      <c r="L1" s="2">
        <v>45657</v>
      </c>
      <c r="M1" s="2">
        <v>46022</v>
      </c>
      <c r="N1" s="2"/>
    </row>
    <row r="2" spans="1:14" s="6" customFormat="1" x14ac:dyDescent="0.3">
      <c r="A2" s="6" t="s">
        <v>8</v>
      </c>
      <c r="B2" s="7"/>
      <c r="C2" s="7"/>
      <c r="D2" s="7"/>
      <c r="E2" s="7"/>
      <c r="F2" s="7"/>
      <c r="G2" s="7"/>
      <c r="H2" s="7"/>
      <c r="I2" s="7"/>
      <c r="J2" s="7"/>
      <c r="K2" s="7"/>
      <c r="L2" s="7"/>
      <c r="M2" s="7"/>
      <c r="N2" s="10"/>
    </row>
    <row r="3" spans="1:14" x14ac:dyDescent="0.3">
      <c r="A3" s="1" t="s">
        <v>9</v>
      </c>
      <c r="B3" s="3"/>
      <c r="C3" s="3"/>
      <c r="D3" s="3"/>
      <c r="E3" s="3"/>
      <c r="F3" s="3"/>
      <c r="G3" s="3"/>
      <c r="H3" s="3"/>
      <c r="I3" s="3"/>
      <c r="J3" s="3"/>
      <c r="K3" s="3"/>
      <c r="L3" s="3"/>
      <c r="M3" s="3"/>
      <c r="N3" s="3"/>
    </row>
    <row r="4" spans="1:14" x14ac:dyDescent="0.3">
      <c r="A4" s="1" t="s">
        <v>10</v>
      </c>
      <c r="B4" s="3"/>
      <c r="C4" s="3"/>
      <c r="D4" s="3"/>
      <c r="E4" s="3"/>
      <c r="F4" s="3"/>
      <c r="G4" s="3"/>
      <c r="H4" s="3"/>
      <c r="I4" s="3"/>
      <c r="J4" s="3"/>
      <c r="K4" s="3"/>
      <c r="L4" s="3"/>
      <c r="M4" s="3"/>
      <c r="N4" s="3"/>
    </row>
    <row r="5" spans="1:14" x14ac:dyDescent="0.3">
      <c r="A5" s="1" t="s">
        <v>11</v>
      </c>
      <c r="B5" s="3">
        <v>11990</v>
      </c>
      <c r="C5" s="3">
        <v>70144</v>
      </c>
      <c r="D5" s="3">
        <v>6895</v>
      </c>
      <c r="E5" s="3">
        <v>16887</v>
      </c>
      <c r="F5" s="3">
        <v>24712</v>
      </c>
      <c r="G5" s="3">
        <v>18339</v>
      </c>
      <c r="H5" s="3">
        <v>8856</v>
      </c>
      <c r="I5" s="3">
        <v>18139</v>
      </c>
      <c r="J5" s="3">
        <v>2172</v>
      </c>
      <c r="K5" s="3">
        <v>4849</v>
      </c>
      <c r="L5" s="3">
        <v>296</v>
      </c>
      <c r="M5" s="3">
        <v>9038</v>
      </c>
    </row>
    <row r="6" spans="1:14" x14ac:dyDescent="0.3">
      <c r="A6" s="1" t="s">
        <v>101</v>
      </c>
      <c r="B6" s="3">
        <v>0</v>
      </c>
      <c r="C6" s="3">
        <v>0</v>
      </c>
      <c r="D6" s="3">
        <v>0</v>
      </c>
      <c r="E6" s="3">
        <v>0</v>
      </c>
      <c r="F6" s="3">
        <v>0</v>
      </c>
      <c r="G6" s="3">
        <v>0</v>
      </c>
      <c r="H6" s="3">
        <v>0</v>
      </c>
      <c r="I6" s="3">
        <v>0</v>
      </c>
      <c r="J6" s="3">
        <v>0</v>
      </c>
      <c r="K6" s="3">
        <v>0</v>
      </c>
      <c r="L6" s="3">
        <v>0</v>
      </c>
      <c r="M6" s="3">
        <v>0</v>
      </c>
    </row>
    <row r="7" spans="1:14" x14ac:dyDescent="0.3">
      <c r="A7" s="1" t="s">
        <v>102</v>
      </c>
      <c r="B7" s="3">
        <v>0</v>
      </c>
      <c r="C7" s="3">
        <v>0</v>
      </c>
      <c r="D7" s="3">
        <v>0</v>
      </c>
      <c r="E7" s="3">
        <v>0</v>
      </c>
      <c r="F7" s="3">
        <v>0</v>
      </c>
      <c r="G7" s="3">
        <v>0</v>
      </c>
      <c r="H7" s="3">
        <v>0</v>
      </c>
      <c r="I7" s="3">
        <v>0</v>
      </c>
      <c r="J7" s="3">
        <v>0</v>
      </c>
      <c r="K7" s="3">
        <v>0</v>
      </c>
      <c r="L7" s="3">
        <v>0</v>
      </c>
      <c r="M7" s="3">
        <v>0</v>
      </c>
    </row>
    <row r="8" spans="1:14" x14ac:dyDescent="0.3">
      <c r="A8" s="1" t="s">
        <v>103</v>
      </c>
      <c r="B8" s="3">
        <v>5810912</v>
      </c>
      <c r="C8" s="3">
        <v>6072197</v>
      </c>
      <c r="D8" s="3">
        <v>0</v>
      </c>
      <c r="E8" s="3">
        <v>0</v>
      </c>
      <c r="F8" s="3">
        <v>0</v>
      </c>
      <c r="G8" s="3">
        <v>0</v>
      </c>
      <c r="H8" s="3">
        <v>0</v>
      </c>
      <c r="I8" s="3">
        <v>0</v>
      </c>
      <c r="J8" s="3">
        <v>0</v>
      </c>
      <c r="K8" s="3">
        <v>0</v>
      </c>
      <c r="L8" s="3">
        <v>0</v>
      </c>
      <c r="M8" s="3">
        <v>0</v>
      </c>
    </row>
    <row r="9" spans="1:14" x14ac:dyDescent="0.3">
      <c r="A9" s="1" t="s">
        <v>104</v>
      </c>
      <c r="B9" s="3">
        <v>0</v>
      </c>
      <c r="C9" s="3">
        <v>0</v>
      </c>
      <c r="D9" s="3">
        <v>1</v>
      </c>
      <c r="E9" s="3">
        <v>0</v>
      </c>
      <c r="F9" s="3">
        <v>0</v>
      </c>
      <c r="G9" s="3">
        <v>0</v>
      </c>
      <c r="H9" s="3">
        <v>0</v>
      </c>
      <c r="I9" s="3">
        <v>0</v>
      </c>
      <c r="J9" s="3">
        <v>0</v>
      </c>
      <c r="K9" s="3">
        <v>0</v>
      </c>
      <c r="L9" s="3">
        <v>0</v>
      </c>
      <c r="M9" s="3">
        <v>0</v>
      </c>
    </row>
    <row r="10" spans="1:14" x14ac:dyDescent="0.3">
      <c r="A10" s="1" t="s">
        <v>105</v>
      </c>
      <c r="B10" s="3">
        <v>0</v>
      </c>
      <c r="C10" s="3">
        <v>0</v>
      </c>
      <c r="D10" s="3">
        <v>0</v>
      </c>
      <c r="E10" s="3">
        <v>0</v>
      </c>
      <c r="F10" s="3">
        <v>0</v>
      </c>
      <c r="G10" s="3">
        <v>0</v>
      </c>
      <c r="H10" s="3">
        <v>0</v>
      </c>
      <c r="I10" s="3">
        <v>0</v>
      </c>
      <c r="J10" s="3">
        <v>0</v>
      </c>
      <c r="K10" s="3">
        <v>0</v>
      </c>
      <c r="L10" s="3">
        <v>0</v>
      </c>
      <c r="M10" s="3">
        <v>0</v>
      </c>
    </row>
    <row r="11" spans="1:14" x14ac:dyDescent="0.3">
      <c r="A11" s="1" t="s">
        <v>106</v>
      </c>
      <c r="B11" s="3">
        <v>0</v>
      </c>
      <c r="C11" s="3">
        <v>0</v>
      </c>
      <c r="D11" s="3">
        <v>0</v>
      </c>
      <c r="E11" s="3">
        <v>0</v>
      </c>
      <c r="F11" s="3">
        <v>0</v>
      </c>
      <c r="G11" s="3">
        <v>0</v>
      </c>
      <c r="H11" s="3">
        <v>0</v>
      </c>
      <c r="I11" s="3">
        <v>0</v>
      </c>
      <c r="J11" s="3">
        <v>0</v>
      </c>
      <c r="K11" s="3">
        <v>0</v>
      </c>
      <c r="L11" s="3">
        <v>0</v>
      </c>
      <c r="M11" s="3">
        <v>0</v>
      </c>
    </row>
    <row r="12" spans="1:14" s="6" customFormat="1" x14ac:dyDescent="0.3">
      <c r="A12" s="6" t="s">
        <v>15</v>
      </c>
      <c r="B12" s="7">
        <f>+SUM(B2:B11)</f>
        <v>5822902</v>
      </c>
      <c r="C12" s="7">
        <f t="shared" ref="C12:I12" si="0">+SUM(C2:C11)</f>
        <v>6142341</v>
      </c>
      <c r="D12" s="7">
        <f t="shared" si="0"/>
        <v>6896</v>
      </c>
      <c r="E12" s="7">
        <f t="shared" si="0"/>
        <v>16887</v>
      </c>
      <c r="F12" s="7">
        <f t="shared" si="0"/>
        <v>24712</v>
      </c>
      <c r="G12" s="7">
        <f t="shared" si="0"/>
        <v>18339</v>
      </c>
      <c r="H12" s="7">
        <f t="shared" si="0"/>
        <v>8856</v>
      </c>
      <c r="I12" s="7">
        <f t="shared" si="0"/>
        <v>18139</v>
      </c>
      <c r="J12" s="7">
        <f t="shared" ref="J12:K12" si="1">+SUM(J2:J11)</f>
        <v>2172</v>
      </c>
      <c r="K12" s="7">
        <f t="shared" si="1"/>
        <v>4849</v>
      </c>
      <c r="L12" s="7">
        <f t="shared" ref="L12:M12" si="2">+SUM(L2:L11)</f>
        <v>296</v>
      </c>
      <c r="M12" s="7">
        <f t="shared" si="2"/>
        <v>9038</v>
      </c>
    </row>
    <row r="13" spans="1:14" x14ac:dyDescent="0.3">
      <c r="A13" s="1" t="s">
        <v>16</v>
      </c>
      <c r="B13" s="3"/>
      <c r="C13" s="3"/>
      <c r="D13" s="3"/>
      <c r="E13" s="3"/>
      <c r="F13" s="3"/>
      <c r="G13" s="3"/>
      <c r="H13" s="3"/>
      <c r="I13" s="3"/>
      <c r="J13" s="3"/>
      <c r="K13" s="3"/>
      <c r="L13" s="3"/>
      <c r="M13" s="3"/>
    </row>
    <row r="14" spans="1:14" x14ac:dyDescent="0.3">
      <c r="A14" s="1" t="s">
        <v>107</v>
      </c>
      <c r="B14" s="3">
        <v>0</v>
      </c>
      <c r="C14" s="3">
        <v>0</v>
      </c>
      <c r="D14" s="3">
        <v>0</v>
      </c>
      <c r="E14" s="3">
        <v>0</v>
      </c>
      <c r="F14" s="3">
        <v>0</v>
      </c>
      <c r="G14" s="3">
        <v>0</v>
      </c>
      <c r="H14" s="3">
        <v>0</v>
      </c>
      <c r="I14" s="3">
        <v>0</v>
      </c>
      <c r="J14" s="3">
        <v>0</v>
      </c>
      <c r="K14" s="3">
        <v>0</v>
      </c>
      <c r="L14" s="3">
        <v>0</v>
      </c>
      <c r="M14" s="3">
        <v>0</v>
      </c>
    </row>
    <row r="15" spans="1:14" x14ac:dyDescent="0.3">
      <c r="A15" s="1" t="s">
        <v>108</v>
      </c>
      <c r="B15" s="3">
        <v>0</v>
      </c>
      <c r="C15" s="3">
        <v>0</v>
      </c>
      <c r="D15" s="3">
        <v>0</v>
      </c>
      <c r="E15" s="3">
        <v>0</v>
      </c>
      <c r="F15" s="3">
        <v>0</v>
      </c>
      <c r="G15" s="3">
        <v>0</v>
      </c>
      <c r="H15" s="3">
        <v>0</v>
      </c>
      <c r="I15" s="3">
        <v>0</v>
      </c>
      <c r="J15" s="3">
        <v>0</v>
      </c>
      <c r="K15" s="3">
        <v>0</v>
      </c>
      <c r="L15" s="3">
        <v>0</v>
      </c>
      <c r="M15" s="3">
        <v>0</v>
      </c>
    </row>
    <row r="16" spans="1:14" x14ac:dyDescent="0.3">
      <c r="A16" s="1" t="s">
        <v>109</v>
      </c>
      <c r="B16" s="3">
        <v>59698125</v>
      </c>
      <c r="C16" s="3">
        <v>50852400</v>
      </c>
      <c r="D16" s="3">
        <v>57475856</v>
      </c>
      <c r="E16" s="3">
        <v>52739707</v>
      </c>
      <c r="F16" s="3">
        <v>43179931</v>
      </c>
      <c r="G16" s="3">
        <v>38737926</v>
      </c>
      <c r="H16" s="3">
        <v>40470335</v>
      </c>
      <c r="I16" s="3">
        <v>13146861</v>
      </c>
      <c r="J16" s="3">
        <v>12615225</v>
      </c>
      <c r="K16" s="3">
        <v>12430316</v>
      </c>
      <c r="L16" s="3">
        <v>12425316</v>
      </c>
      <c r="M16" s="3">
        <v>12400316</v>
      </c>
    </row>
    <row r="17" spans="1:13" ht="28.8" x14ac:dyDescent="0.3">
      <c r="A17" s="13" t="s">
        <v>110</v>
      </c>
      <c r="B17" s="3">
        <v>493657</v>
      </c>
      <c r="C17" s="3">
        <v>6003</v>
      </c>
      <c r="D17" s="3">
        <v>0</v>
      </c>
      <c r="E17" s="3">
        <v>0</v>
      </c>
      <c r="F17" s="3">
        <v>0</v>
      </c>
      <c r="G17" s="3">
        <v>0</v>
      </c>
      <c r="H17" s="3">
        <v>0</v>
      </c>
      <c r="I17" s="3">
        <v>0</v>
      </c>
      <c r="J17" s="3">
        <v>0</v>
      </c>
      <c r="K17" s="3">
        <v>0</v>
      </c>
      <c r="L17" s="3">
        <v>0</v>
      </c>
      <c r="M17" s="3">
        <v>0</v>
      </c>
    </row>
    <row r="18" spans="1:13" x14ac:dyDescent="0.3">
      <c r="A18" s="13" t="s">
        <v>111</v>
      </c>
      <c r="B18" s="3">
        <v>0</v>
      </c>
      <c r="C18" s="3">
        <v>0</v>
      </c>
      <c r="D18" s="3">
        <v>0</v>
      </c>
      <c r="E18" s="3">
        <v>0</v>
      </c>
      <c r="F18" s="3">
        <v>0</v>
      </c>
      <c r="G18" s="3">
        <v>0</v>
      </c>
      <c r="H18" s="3">
        <v>0</v>
      </c>
      <c r="I18" s="3">
        <v>0</v>
      </c>
      <c r="J18" s="3">
        <v>0</v>
      </c>
      <c r="K18" s="3">
        <v>0</v>
      </c>
      <c r="L18" s="3">
        <v>0</v>
      </c>
      <c r="M18" s="3">
        <v>0</v>
      </c>
    </row>
    <row r="19" spans="1:13" x14ac:dyDescent="0.3">
      <c r="A19" s="1" t="s">
        <v>112</v>
      </c>
      <c r="B19" s="3">
        <v>0</v>
      </c>
      <c r="C19" s="3">
        <v>0</v>
      </c>
      <c r="D19" s="3">
        <v>0</v>
      </c>
      <c r="E19" s="3">
        <v>0</v>
      </c>
      <c r="F19" s="3">
        <v>0</v>
      </c>
      <c r="G19" s="3">
        <v>0</v>
      </c>
      <c r="H19" s="3">
        <v>0</v>
      </c>
      <c r="I19" s="3">
        <v>0</v>
      </c>
      <c r="J19" s="3">
        <v>0</v>
      </c>
      <c r="K19" s="3">
        <v>0</v>
      </c>
      <c r="L19" s="3">
        <v>0</v>
      </c>
      <c r="M19" s="3">
        <v>0</v>
      </c>
    </row>
    <row r="20" spans="1:13" x14ac:dyDescent="0.3">
      <c r="A20" s="1" t="s">
        <v>113</v>
      </c>
      <c r="B20" s="3">
        <v>0</v>
      </c>
      <c r="C20" s="3">
        <v>0</v>
      </c>
      <c r="D20" s="3">
        <v>0</v>
      </c>
      <c r="E20" s="3">
        <v>0</v>
      </c>
      <c r="F20" s="3">
        <v>0</v>
      </c>
      <c r="G20" s="3">
        <v>0</v>
      </c>
      <c r="H20" s="3">
        <v>0</v>
      </c>
      <c r="I20" s="3">
        <v>0</v>
      </c>
      <c r="J20" s="3">
        <v>0</v>
      </c>
      <c r="K20" s="3">
        <v>0</v>
      </c>
      <c r="L20" s="3">
        <v>0</v>
      </c>
      <c r="M20" s="3">
        <v>0</v>
      </c>
    </row>
    <row r="21" spans="1:13" s="6" customFormat="1" x14ac:dyDescent="0.3">
      <c r="A21" s="6" t="s">
        <v>18</v>
      </c>
      <c r="B21" s="7">
        <f>+SUM(B13:B20)</f>
        <v>60191782</v>
      </c>
      <c r="C21" s="7">
        <f>+SUM(C13:C20)</f>
        <v>50858403</v>
      </c>
      <c r="D21" s="7">
        <f t="shared" ref="D21:I21" si="3">+SUM(D13:D20)</f>
        <v>57475856</v>
      </c>
      <c r="E21" s="7">
        <f t="shared" si="3"/>
        <v>52739707</v>
      </c>
      <c r="F21" s="7">
        <f t="shared" si="3"/>
        <v>43179931</v>
      </c>
      <c r="G21" s="7">
        <f t="shared" si="3"/>
        <v>38737926</v>
      </c>
      <c r="H21" s="7">
        <f t="shared" si="3"/>
        <v>40470335</v>
      </c>
      <c r="I21" s="7">
        <f t="shared" si="3"/>
        <v>13146861</v>
      </c>
      <c r="J21" s="7">
        <f t="shared" ref="J21:K21" si="4">+SUM(J13:J20)</f>
        <v>12615225</v>
      </c>
      <c r="K21" s="7">
        <f t="shared" si="4"/>
        <v>12430316</v>
      </c>
      <c r="L21" s="7">
        <f t="shared" ref="L21:M21" si="5">+SUM(L13:L20)</f>
        <v>12425316</v>
      </c>
      <c r="M21" s="7">
        <f t="shared" si="5"/>
        <v>12400316</v>
      </c>
    </row>
    <row r="22" spans="1:13" s="6" customFormat="1" x14ac:dyDescent="0.3">
      <c r="A22" s="6" t="s">
        <v>19</v>
      </c>
      <c r="B22" s="7">
        <f t="shared" ref="B22:I22" si="6">+B21+B12</f>
        <v>66014684</v>
      </c>
      <c r="C22" s="7">
        <f t="shared" si="6"/>
        <v>57000744</v>
      </c>
      <c r="D22" s="7">
        <f t="shared" si="6"/>
        <v>57482752</v>
      </c>
      <c r="E22" s="7">
        <f t="shared" si="6"/>
        <v>52756594</v>
      </c>
      <c r="F22" s="7">
        <f t="shared" si="6"/>
        <v>43204643</v>
      </c>
      <c r="G22" s="7">
        <f t="shared" si="6"/>
        <v>38756265</v>
      </c>
      <c r="H22" s="7">
        <f t="shared" si="6"/>
        <v>40479191</v>
      </c>
      <c r="I22" s="7">
        <f t="shared" si="6"/>
        <v>13165000</v>
      </c>
      <c r="J22" s="7">
        <f t="shared" ref="J22:K22" si="7">+J21+J12</f>
        <v>12617397</v>
      </c>
      <c r="K22" s="7">
        <f t="shared" si="7"/>
        <v>12435165</v>
      </c>
      <c r="L22" s="7">
        <f t="shared" ref="L22:M22" si="8">+L21+L12</f>
        <v>12425612</v>
      </c>
      <c r="M22" s="7">
        <f t="shared" si="8"/>
        <v>12409354</v>
      </c>
    </row>
    <row r="23" spans="1:13" x14ac:dyDescent="0.3">
      <c r="A23" s="1" t="s">
        <v>114</v>
      </c>
      <c r="B23" s="3"/>
      <c r="C23" s="3"/>
      <c r="D23" s="3"/>
      <c r="E23" s="3"/>
      <c r="F23" s="3"/>
      <c r="G23" s="3"/>
      <c r="H23" s="3"/>
      <c r="I23" s="3"/>
      <c r="J23" s="3"/>
      <c r="K23" s="3"/>
      <c r="L23" s="3"/>
      <c r="M23" s="3"/>
    </row>
    <row r="24" spans="1:13" x14ac:dyDescent="0.3">
      <c r="A24" s="1" t="s">
        <v>21</v>
      </c>
      <c r="B24" s="3"/>
      <c r="C24" s="3"/>
      <c r="D24" s="3"/>
      <c r="E24" s="3"/>
      <c r="F24" s="3"/>
      <c r="G24" s="3"/>
      <c r="H24" s="3"/>
      <c r="I24" s="3"/>
      <c r="J24" s="3"/>
      <c r="K24" s="3"/>
      <c r="L24" s="3"/>
      <c r="M24" s="3"/>
    </row>
    <row r="25" spans="1:13" x14ac:dyDescent="0.3">
      <c r="A25" s="1" t="s">
        <v>115</v>
      </c>
      <c r="B25" s="3">
        <v>0</v>
      </c>
      <c r="C25" s="3">
        <v>0</v>
      </c>
      <c r="D25" s="3">
        <v>0</v>
      </c>
      <c r="E25" s="3">
        <v>0</v>
      </c>
      <c r="F25" s="3">
        <v>0</v>
      </c>
      <c r="G25" s="3">
        <v>0</v>
      </c>
      <c r="H25" s="3">
        <v>0</v>
      </c>
      <c r="I25" s="3">
        <v>0</v>
      </c>
      <c r="J25" s="3">
        <v>0</v>
      </c>
      <c r="K25" s="3">
        <v>0</v>
      </c>
      <c r="L25" s="3">
        <v>0</v>
      </c>
      <c r="M25" s="3">
        <v>0</v>
      </c>
    </row>
    <row r="26" spans="1:13" x14ac:dyDescent="0.3">
      <c r="A26" s="1" t="s">
        <v>116</v>
      </c>
      <c r="B26" s="3">
        <v>6223</v>
      </c>
      <c r="C26" s="3">
        <v>3054</v>
      </c>
      <c r="D26" s="3">
        <v>5589</v>
      </c>
      <c r="E26" s="3">
        <v>4020</v>
      </c>
      <c r="F26" s="3">
        <v>875</v>
      </c>
      <c r="G26" s="3">
        <v>958</v>
      </c>
      <c r="H26" s="3">
        <v>1918</v>
      </c>
      <c r="I26" s="3">
        <v>2291</v>
      </c>
      <c r="J26" s="3">
        <v>496</v>
      </c>
      <c r="K26" s="3">
        <v>0</v>
      </c>
      <c r="L26" s="3">
        <v>3260</v>
      </c>
      <c r="M26" s="3">
        <v>0</v>
      </c>
    </row>
    <row r="27" spans="1:13" x14ac:dyDescent="0.3">
      <c r="A27" s="1" t="s">
        <v>117</v>
      </c>
      <c r="B27" s="3">
        <v>29000</v>
      </c>
      <c r="C27" s="3">
        <v>29000</v>
      </c>
      <c r="D27" s="3">
        <v>0</v>
      </c>
      <c r="E27" s="3">
        <v>0</v>
      </c>
      <c r="F27" s="3">
        <v>0</v>
      </c>
      <c r="G27" s="3">
        <v>0</v>
      </c>
      <c r="H27" s="3">
        <v>0</v>
      </c>
      <c r="I27" s="3">
        <v>4500</v>
      </c>
      <c r="J27" s="3">
        <v>0</v>
      </c>
      <c r="K27" s="3">
        <v>0</v>
      </c>
      <c r="L27" s="3">
        <v>0</v>
      </c>
      <c r="M27" s="3">
        <v>0</v>
      </c>
    </row>
    <row r="28" spans="1:13" x14ac:dyDescent="0.3">
      <c r="A28" s="1" t="s">
        <v>118</v>
      </c>
      <c r="B28" s="3">
        <v>0</v>
      </c>
      <c r="C28" s="3">
        <v>0</v>
      </c>
      <c r="D28" s="3">
        <v>0</v>
      </c>
      <c r="E28" s="3">
        <v>0</v>
      </c>
      <c r="F28" s="3">
        <v>0</v>
      </c>
      <c r="G28" s="3">
        <v>0</v>
      </c>
      <c r="H28" s="3">
        <v>0</v>
      </c>
      <c r="I28" s="3">
        <v>0</v>
      </c>
      <c r="J28" s="3">
        <v>0</v>
      </c>
      <c r="K28" s="3">
        <v>0</v>
      </c>
      <c r="L28" s="3">
        <v>0</v>
      </c>
      <c r="M28" s="3">
        <v>0</v>
      </c>
    </row>
    <row r="29" spans="1:13" x14ac:dyDescent="0.3">
      <c r="A29" s="1" t="s">
        <v>119</v>
      </c>
      <c r="B29" s="3">
        <v>4869</v>
      </c>
      <c r="C29" s="3">
        <v>1083</v>
      </c>
      <c r="D29" s="3">
        <v>2853</v>
      </c>
      <c r="E29" s="3">
        <v>4154</v>
      </c>
      <c r="F29" s="3">
        <v>1719</v>
      </c>
      <c r="G29" s="3">
        <v>4538</v>
      </c>
      <c r="H29" s="3">
        <v>4907</v>
      </c>
      <c r="I29" s="3">
        <v>2642</v>
      </c>
      <c r="J29" s="3">
        <v>1231</v>
      </c>
      <c r="K29" s="3">
        <v>2924</v>
      </c>
      <c r="L29" s="3">
        <v>3231</v>
      </c>
      <c r="M29" s="3">
        <v>2304</v>
      </c>
    </row>
    <row r="30" spans="1:13" x14ac:dyDescent="0.3">
      <c r="A30" s="1" t="s">
        <v>120</v>
      </c>
      <c r="B30" s="3">
        <v>0</v>
      </c>
      <c r="C30" s="3">
        <v>0</v>
      </c>
      <c r="D30" s="3">
        <v>0</v>
      </c>
      <c r="E30" s="3">
        <v>0</v>
      </c>
      <c r="F30" s="3">
        <v>0</v>
      </c>
      <c r="G30" s="3">
        <v>0</v>
      </c>
      <c r="H30" s="3">
        <v>0</v>
      </c>
      <c r="I30" s="3">
        <v>0</v>
      </c>
      <c r="J30" s="3">
        <v>0</v>
      </c>
      <c r="K30" s="3">
        <v>0</v>
      </c>
      <c r="L30" s="3">
        <v>0</v>
      </c>
      <c r="M30" s="3">
        <v>0</v>
      </c>
    </row>
    <row r="31" spans="1:13" x14ac:dyDescent="0.3">
      <c r="A31" s="1" t="s">
        <v>121</v>
      </c>
      <c r="B31" s="3">
        <v>0</v>
      </c>
      <c r="C31" s="3">
        <v>0</v>
      </c>
      <c r="D31" s="3">
        <v>0</v>
      </c>
      <c r="E31" s="3">
        <v>0</v>
      </c>
      <c r="F31" s="3">
        <v>0</v>
      </c>
      <c r="G31" s="3">
        <v>0</v>
      </c>
      <c r="H31" s="3">
        <v>0</v>
      </c>
      <c r="I31" s="3">
        <v>0</v>
      </c>
      <c r="J31" s="3">
        <v>0</v>
      </c>
      <c r="K31" s="3">
        <v>0</v>
      </c>
      <c r="L31" s="3">
        <v>0</v>
      </c>
      <c r="M31" s="3">
        <v>0</v>
      </c>
    </row>
    <row r="32" spans="1:13" s="6" customFormat="1" x14ac:dyDescent="0.3">
      <c r="A32" s="6" t="s">
        <v>122</v>
      </c>
      <c r="B32" s="7">
        <f t="shared" ref="B32:C32" si="9">+SUM(B23:B31)</f>
        <v>40092</v>
      </c>
      <c r="C32" s="7">
        <f t="shared" si="9"/>
        <v>33137</v>
      </c>
      <c r="D32" s="7">
        <f>+SUM(D23:D31)</f>
        <v>8442</v>
      </c>
      <c r="E32" s="7">
        <f t="shared" ref="E32:I32" si="10">+SUM(E23:E31)</f>
        <v>8174</v>
      </c>
      <c r="F32" s="7">
        <f t="shared" si="10"/>
        <v>2594</v>
      </c>
      <c r="G32" s="7">
        <f t="shared" si="10"/>
        <v>5496</v>
      </c>
      <c r="H32" s="7">
        <f t="shared" si="10"/>
        <v>6825</v>
      </c>
      <c r="I32" s="7">
        <f t="shared" si="10"/>
        <v>9433</v>
      </c>
      <c r="J32" s="7">
        <f t="shared" ref="J32:K32" si="11">+SUM(J23:J31)</f>
        <v>1727</v>
      </c>
      <c r="K32" s="7">
        <f t="shared" si="11"/>
        <v>2924</v>
      </c>
      <c r="L32" s="7">
        <f t="shared" ref="L32:M32" si="12">+SUM(L23:L31)</f>
        <v>6491</v>
      </c>
      <c r="M32" s="7">
        <f t="shared" si="12"/>
        <v>2304</v>
      </c>
    </row>
    <row r="33" spans="1:13" x14ac:dyDescent="0.3">
      <c r="A33" s="1" t="s">
        <v>27</v>
      </c>
      <c r="B33" s="3"/>
      <c r="C33" s="3"/>
      <c r="D33" s="3"/>
      <c r="E33" s="3"/>
      <c r="F33" s="3"/>
      <c r="G33" s="3"/>
      <c r="H33" s="3"/>
      <c r="I33" s="3"/>
      <c r="J33" s="3"/>
      <c r="K33" s="3"/>
      <c r="L33" s="3"/>
      <c r="M33" s="3"/>
    </row>
    <row r="34" spans="1:13" x14ac:dyDescent="0.3">
      <c r="A34" s="1" t="s">
        <v>123</v>
      </c>
      <c r="B34" s="3">
        <v>0</v>
      </c>
      <c r="C34" s="3">
        <v>0</v>
      </c>
      <c r="D34" s="3">
        <v>0</v>
      </c>
      <c r="E34" s="3">
        <v>0</v>
      </c>
      <c r="F34" s="3">
        <v>0</v>
      </c>
      <c r="G34" s="3">
        <v>0</v>
      </c>
      <c r="H34" s="3">
        <v>0</v>
      </c>
      <c r="I34" s="3">
        <v>0</v>
      </c>
      <c r="J34" s="3">
        <v>0</v>
      </c>
      <c r="K34" s="3">
        <v>0</v>
      </c>
      <c r="L34" s="3">
        <v>0</v>
      </c>
      <c r="M34" s="3">
        <v>0</v>
      </c>
    </row>
    <row r="35" spans="1:13" x14ac:dyDescent="0.3">
      <c r="A35" s="1" t="s">
        <v>124</v>
      </c>
      <c r="B35" s="3">
        <v>0</v>
      </c>
      <c r="C35" s="3">
        <v>0</v>
      </c>
      <c r="D35" s="3">
        <v>0</v>
      </c>
      <c r="E35" s="3">
        <v>0</v>
      </c>
      <c r="F35" s="3">
        <v>0</v>
      </c>
      <c r="G35" s="3">
        <v>0</v>
      </c>
      <c r="H35" s="3">
        <v>0</v>
      </c>
      <c r="I35" s="3">
        <v>0</v>
      </c>
      <c r="J35" s="3">
        <v>0</v>
      </c>
      <c r="K35" s="3">
        <v>0</v>
      </c>
      <c r="L35" s="3">
        <v>0</v>
      </c>
      <c r="M35" s="3">
        <v>0</v>
      </c>
    </row>
    <row r="36" spans="1:13" x14ac:dyDescent="0.3">
      <c r="A36" s="1" t="s">
        <v>125</v>
      </c>
      <c r="B36" s="3">
        <v>0</v>
      </c>
      <c r="C36" s="3">
        <v>0</v>
      </c>
      <c r="D36" s="3">
        <v>0</v>
      </c>
      <c r="E36" s="3">
        <v>0</v>
      </c>
      <c r="F36" s="3">
        <v>0</v>
      </c>
      <c r="G36" s="3">
        <v>0</v>
      </c>
      <c r="H36" s="3">
        <v>0</v>
      </c>
      <c r="I36" s="3">
        <v>0</v>
      </c>
      <c r="J36" s="3">
        <v>0</v>
      </c>
      <c r="K36" s="3">
        <v>0</v>
      </c>
      <c r="L36" s="3">
        <v>0</v>
      </c>
      <c r="M36" s="3">
        <v>0</v>
      </c>
    </row>
    <row r="37" spans="1:13" x14ac:dyDescent="0.3">
      <c r="A37" s="1" t="s">
        <v>126</v>
      </c>
      <c r="B37" s="3">
        <v>0</v>
      </c>
      <c r="C37" s="3">
        <v>0</v>
      </c>
      <c r="D37" s="3">
        <v>0</v>
      </c>
      <c r="E37" s="3">
        <v>0</v>
      </c>
      <c r="F37" s="3">
        <v>0</v>
      </c>
      <c r="G37" s="3">
        <v>0</v>
      </c>
      <c r="H37" s="3">
        <v>0</v>
      </c>
      <c r="I37" s="3">
        <v>0</v>
      </c>
      <c r="J37" s="3">
        <v>0</v>
      </c>
      <c r="K37" s="3">
        <v>0</v>
      </c>
      <c r="L37" s="3">
        <v>0</v>
      </c>
      <c r="M37" s="3">
        <v>0</v>
      </c>
    </row>
    <row r="38" spans="1:13" s="6" customFormat="1" x14ac:dyDescent="0.3">
      <c r="A38" s="6" t="s">
        <v>28</v>
      </c>
      <c r="B38" s="7">
        <f>+SUM(B33:B37)</f>
        <v>0</v>
      </c>
      <c r="C38" s="7">
        <f t="shared" ref="C38:I38" si="13">+SUM(C33:C37)</f>
        <v>0</v>
      </c>
      <c r="D38" s="7">
        <f t="shared" si="13"/>
        <v>0</v>
      </c>
      <c r="E38" s="7">
        <f t="shared" si="13"/>
        <v>0</v>
      </c>
      <c r="F38" s="7">
        <f t="shared" si="13"/>
        <v>0</v>
      </c>
      <c r="G38" s="7">
        <f t="shared" si="13"/>
        <v>0</v>
      </c>
      <c r="H38" s="7">
        <f t="shared" si="13"/>
        <v>0</v>
      </c>
      <c r="I38" s="7">
        <f t="shared" si="13"/>
        <v>0</v>
      </c>
      <c r="J38" s="7">
        <f t="shared" ref="J38:K38" si="14">+SUM(J33:J37)</f>
        <v>0</v>
      </c>
      <c r="K38" s="7">
        <f t="shared" si="14"/>
        <v>0</v>
      </c>
      <c r="L38" s="7">
        <f t="shared" ref="L38:M38" si="15">+SUM(L33:L37)</f>
        <v>0</v>
      </c>
      <c r="M38" s="7">
        <f t="shared" si="15"/>
        <v>0</v>
      </c>
    </row>
    <row r="39" spans="1:13" x14ac:dyDescent="0.3">
      <c r="A39" s="6" t="s">
        <v>29</v>
      </c>
      <c r="B39" s="7">
        <f>+B38+B32</f>
        <v>40092</v>
      </c>
      <c r="C39" s="7">
        <f t="shared" ref="C39:I39" si="16">+C38+C32</f>
        <v>33137</v>
      </c>
      <c r="D39" s="7">
        <f t="shared" si="16"/>
        <v>8442</v>
      </c>
      <c r="E39" s="7">
        <f t="shared" si="16"/>
        <v>8174</v>
      </c>
      <c r="F39" s="7">
        <f t="shared" si="16"/>
        <v>2594</v>
      </c>
      <c r="G39" s="7">
        <f t="shared" si="16"/>
        <v>5496</v>
      </c>
      <c r="H39" s="7">
        <f t="shared" si="16"/>
        <v>6825</v>
      </c>
      <c r="I39" s="7">
        <f t="shared" si="16"/>
        <v>9433</v>
      </c>
      <c r="J39" s="7">
        <f t="shared" ref="J39:K39" si="17">+J38+J32</f>
        <v>1727</v>
      </c>
      <c r="K39" s="7">
        <f t="shared" si="17"/>
        <v>2924</v>
      </c>
      <c r="L39" s="7">
        <f t="shared" ref="L39:M39" si="18">+L38+L32</f>
        <v>6491</v>
      </c>
      <c r="M39" s="7">
        <f t="shared" si="18"/>
        <v>2304</v>
      </c>
    </row>
    <row r="40" spans="1:13" x14ac:dyDescent="0.3">
      <c r="A40" s="6" t="s">
        <v>127</v>
      </c>
      <c r="B40" s="3"/>
      <c r="C40" s="3"/>
      <c r="D40" s="3"/>
      <c r="E40" s="3"/>
      <c r="F40" s="3"/>
      <c r="G40" s="3"/>
      <c r="H40" s="3"/>
      <c r="I40" s="3"/>
      <c r="J40" s="3"/>
      <c r="K40" s="3"/>
      <c r="L40" s="3"/>
      <c r="M40" s="3"/>
    </row>
    <row r="41" spans="1:13" x14ac:dyDescent="0.3">
      <c r="A41" s="1" t="s">
        <v>128</v>
      </c>
      <c r="B41" s="3">
        <v>44421652</v>
      </c>
      <c r="C41" s="3">
        <v>29382419</v>
      </c>
      <c r="D41" s="3">
        <v>24502402</v>
      </c>
      <c r="E41" s="3">
        <v>19318114</v>
      </c>
      <c r="F41" s="3">
        <v>6131757</v>
      </c>
      <c r="G41" s="3">
        <v>3942034</v>
      </c>
      <c r="H41" s="3">
        <v>3584034</v>
      </c>
      <c r="I41" s="3">
        <v>2720213</v>
      </c>
      <c r="J41" s="3">
        <v>2192976</v>
      </c>
      <c r="K41" s="3">
        <v>2025067</v>
      </c>
      <c r="L41" s="3">
        <v>2025067</v>
      </c>
      <c r="M41" s="3">
        <v>2025067</v>
      </c>
    </row>
    <row r="42" spans="1:13" x14ac:dyDescent="0.3">
      <c r="A42" s="1" t="s">
        <v>32</v>
      </c>
      <c r="B42" s="3">
        <v>0</v>
      </c>
      <c r="C42" s="3">
        <v>0</v>
      </c>
      <c r="D42" s="3">
        <v>0</v>
      </c>
      <c r="E42" s="3">
        <v>0</v>
      </c>
      <c r="F42" s="3">
        <v>0</v>
      </c>
      <c r="G42" s="3">
        <v>0</v>
      </c>
      <c r="H42" s="3">
        <v>0</v>
      </c>
      <c r="I42" s="3">
        <v>0</v>
      </c>
      <c r="J42" s="3">
        <v>0</v>
      </c>
      <c r="K42" s="3">
        <v>0</v>
      </c>
      <c r="L42" s="3">
        <v>0</v>
      </c>
      <c r="M42" s="3">
        <v>0</v>
      </c>
    </row>
    <row r="43" spans="1:13" x14ac:dyDescent="0.3">
      <c r="A43" s="1" t="s">
        <v>33</v>
      </c>
      <c r="B43" s="3">
        <v>21552940</v>
      </c>
      <c r="C43" s="3">
        <v>27585188</v>
      </c>
      <c r="D43" s="3">
        <v>32971908</v>
      </c>
      <c r="E43" s="3">
        <v>33430306</v>
      </c>
      <c r="F43" s="3">
        <v>37070292</v>
      </c>
      <c r="G43" s="3">
        <v>34808735</v>
      </c>
      <c r="H43" s="3">
        <v>36888332</v>
      </c>
      <c r="I43" s="3">
        <v>10435354</v>
      </c>
      <c r="J43" s="3">
        <v>10422694</v>
      </c>
      <c r="K43" s="3">
        <v>10407174</v>
      </c>
      <c r="L43" s="3">
        <v>10394054</v>
      </c>
      <c r="M43" s="3">
        <v>10381983</v>
      </c>
    </row>
    <row r="44" spans="1:13" s="6" customFormat="1" x14ac:dyDescent="0.3">
      <c r="A44" s="6" t="s">
        <v>129</v>
      </c>
      <c r="B44" s="7">
        <f t="shared" ref="B44:J44" si="19">+SUM(B40:B43)</f>
        <v>65974592</v>
      </c>
      <c r="C44" s="7">
        <f t="shared" si="19"/>
        <v>56967607</v>
      </c>
      <c r="D44" s="7">
        <f t="shared" si="19"/>
        <v>57474310</v>
      </c>
      <c r="E44" s="7">
        <f t="shared" si="19"/>
        <v>52748420</v>
      </c>
      <c r="F44" s="7">
        <f t="shared" si="19"/>
        <v>43202049</v>
      </c>
      <c r="G44" s="7">
        <f t="shared" si="19"/>
        <v>38750769</v>
      </c>
      <c r="H44" s="7">
        <f t="shared" si="19"/>
        <v>40472366</v>
      </c>
      <c r="I44" s="7">
        <f t="shared" si="19"/>
        <v>13155567</v>
      </c>
      <c r="J44" s="7">
        <f t="shared" si="19"/>
        <v>12615670</v>
      </c>
      <c r="K44" s="7">
        <f t="shared" ref="K44:L44" si="20">+SUM(K40:K43)</f>
        <v>12432241</v>
      </c>
      <c r="L44" s="7">
        <f t="shared" si="20"/>
        <v>12419121</v>
      </c>
      <c r="M44" s="7">
        <f t="shared" ref="M44" si="21">+SUM(M40:M43)</f>
        <v>12407050</v>
      </c>
    </row>
    <row r="45" spans="1:13" s="8" customFormat="1" x14ac:dyDescent="0.3">
      <c r="A45" s="8" t="s">
        <v>130</v>
      </c>
      <c r="B45" s="9"/>
      <c r="C45" s="9"/>
      <c r="D45" s="9"/>
      <c r="E45" s="9"/>
      <c r="F45" s="9"/>
      <c r="G45" s="9"/>
      <c r="H45" s="9"/>
      <c r="I45" s="9"/>
      <c r="J45" s="9"/>
      <c r="K45" s="9"/>
      <c r="L45" s="9"/>
      <c r="M45" s="9"/>
    </row>
    <row r="46" spans="1:13" x14ac:dyDescent="0.3">
      <c r="A46" s="6" t="s">
        <v>131</v>
      </c>
      <c r="B46" s="7">
        <f>+B44+B39+B45</f>
        <v>66014684</v>
      </c>
      <c r="C46" s="7">
        <f t="shared" ref="C46:H46" si="22">+C44+C39+C45</f>
        <v>57000744</v>
      </c>
      <c r="D46" s="7">
        <f t="shared" si="22"/>
        <v>57482752</v>
      </c>
      <c r="E46" s="7">
        <f t="shared" si="22"/>
        <v>52756594</v>
      </c>
      <c r="F46" s="7">
        <f t="shared" si="22"/>
        <v>43204643</v>
      </c>
      <c r="G46" s="7">
        <f t="shared" si="22"/>
        <v>38756265</v>
      </c>
      <c r="H46" s="7">
        <f t="shared" si="22"/>
        <v>40479191</v>
      </c>
      <c r="I46" s="7">
        <f>+I44+I39+I45</f>
        <v>13165000</v>
      </c>
      <c r="J46" s="7">
        <f>+J44+J39+J45</f>
        <v>12617397</v>
      </c>
      <c r="K46" s="7">
        <f>+K44+K39+K45</f>
        <v>12435165</v>
      </c>
      <c r="L46" s="7">
        <f>+L44+L39+L45</f>
        <v>12425612</v>
      </c>
      <c r="M46" s="7">
        <f>+M44+M39+M45</f>
        <v>12409354</v>
      </c>
    </row>
    <row r="47" spans="1:13" x14ac:dyDescent="0.3">
      <c r="A47" s="1" t="s">
        <v>38</v>
      </c>
      <c r="B47" s="4" t="str">
        <f>IF((+B46-B22)=0,"ok","error")</f>
        <v>ok</v>
      </c>
      <c r="C47" s="4" t="str">
        <f>IF((+C46-C22)=0,"ok","error")</f>
        <v>ok</v>
      </c>
      <c r="D47" s="4" t="str">
        <f t="shared" ref="D47:H47" si="23">IF((+D46-D22)=0,"ok","error")</f>
        <v>ok</v>
      </c>
      <c r="E47" s="4" t="str">
        <f t="shared" si="23"/>
        <v>ok</v>
      </c>
      <c r="F47" s="4" t="str">
        <f t="shared" si="23"/>
        <v>ok</v>
      </c>
      <c r="G47" s="4" t="str">
        <f t="shared" si="23"/>
        <v>ok</v>
      </c>
      <c r="H47" s="4" t="str">
        <f t="shared" si="23"/>
        <v>ok</v>
      </c>
      <c r="I47" s="4" t="str">
        <f>IF((+I46-I22)=0,"ok","error")</f>
        <v>ok</v>
      </c>
      <c r="J47" s="4" t="str">
        <f>IF((+J46-J22)=0,"ok","error")</f>
        <v>ok</v>
      </c>
      <c r="K47" s="4" t="str">
        <f>IF((+K46-K22)=0,"ok","error")</f>
        <v>ok</v>
      </c>
      <c r="L47" s="4" t="str">
        <f>IF((+L46-L22)=0,"ok","error")</f>
        <v>ok</v>
      </c>
      <c r="M47" s="4" t="str">
        <f>IF((+M46-M22)=0,"ok","error")</f>
        <v>ok</v>
      </c>
    </row>
    <row r="48" spans="1:13" x14ac:dyDescent="0.3">
      <c r="A48" s="6" t="s">
        <v>132</v>
      </c>
      <c r="B48" s="3"/>
      <c r="C48" s="3"/>
      <c r="D48" s="3"/>
      <c r="E48" s="3"/>
      <c r="F48" s="3"/>
      <c r="G48" s="3"/>
      <c r="H48" s="3"/>
      <c r="I48" s="3"/>
      <c r="J48" s="3"/>
      <c r="K48" s="3"/>
      <c r="L48" s="3"/>
      <c r="M48" s="3"/>
    </row>
    <row r="49" spans="1:13" x14ac:dyDescent="0.3">
      <c r="A49" s="1" t="s">
        <v>133</v>
      </c>
      <c r="B49" s="3"/>
      <c r="C49" s="3"/>
      <c r="D49" s="3"/>
      <c r="E49" s="3"/>
      <c r="F49" s="3"/>
      <c r="G49" s="3"/>
      <c r="H49" s="3"/>
      <c r="I49" s="3"/>
      <c r="J49" s="3"/>
      <c r="K49" s="3"/>
      <c r="L49" s="3"/>
      <c r="M49" s="3"/>
    </row>
    <row r="50" spans="1:13" x14ac:dyDescent="0.3">
      <c r="A50" s="1" t="s">
        <v>134</v>
      </c>
      <c r="B50" s="3">
        <v>6953861</v>
      </c>
      <c r="C50" s="3">
        <v>6046725</v>
      </c>
      <c r="D50" s="3">
        <v>5380865</v>
      </c>
      <c r="E50" s="3">
        <v>4652131</v>
      </c>
      <c r="F50" s="3">
        <v>4206768</v>
      </c>
      <c r="G50" s="3">
        <v>2631301</v>
      </c>
      <c r="H50" s="3">
        <v>2092445</v>
      </c>
      <c r="I50" s="3">
        <v>2086728</v>
      </c>
      <c r="J50" s="3">
        <v>2086728</v>
      </c>
      <c r="K50" s="3">
        <v>0</v>
      </c>
      <c r="L50" s="3">
        <v>0</v>
      </c>
      <c r="M50" s="3">
        <v>0</v>
      </c>
    </row>
    <row r="51" spans="1:13" x14ac:dyDescent="0.3">
      <c r="A51" s="1" t="s">
        <v>135</v>
      </c>
      <c r="B51" s="3">
        <v>0</v>
      </c>
      <c r="C51" s="3">
        <v>0</v>
      </c>
      <c r="D51" s="3">
        <v>0</v>
      </c>
      <c r="E51" s="3">
        <v>0</v>
      </c>
      <c r="F51" s="3">
        <v>0</v>
      </c>
      <c r="G51" s="3">
        <v>0</v>
      </c>
      <c r="H51" s="3">
        <v>0</v>
      </c>
      <c r="I51" s="3">
        <v>0</v>
      </c>
      <c r="J51" s="3">
        <v>0</v>
      </c>
      <c r="K51" s="3">
        <v>0</v>
      </c>
      <c r="L51" s="3">
        <v>0</v>
      </c>
      <c r="M51" s="3">
        <v>0</v>
      </c>
    </row>
    <row r="52" spans="1:13" s="6" customFormat="1" x14ac:dyDescent="0.3">
      <c r="A52" s="6" t="s">
        <v>136</v>
      </c>
      <c r="B52" s="7">
        <f>+SUM(B50:B51)</f>
        <v>6953861</v>
      </c>
      <c r="C52" s="7">
        <f t="shared" ref="C52:I52" si="24">+SUM(C50:C51)</f>
        <v>6046725</v>
      </c>
      <c r="D52" s="7">
        <f t="shared" si="24"/>
        <v>5380865</v>
      </c>
      <c r="E52" s="7">
        <f t="shared" si="24"/>
        <v>4652131</v>
      </c>
      <c r="F52" s="7">
        <f t="shared" si="24"/>
        <v>4206768</v>
      </c>
      <c r="G52" s="7">
        <f t="shared" si="24"/>
        <v>2631301</v>
      </c>
      <c r="H52" s="7">
        <f t="shared" si="24"/>
        <v>2092445</v>
      </c>
      <c r="I52" s="7">
        <f t="shared" si="24"/>
        <v>2086728</v>
      </c>
      <c r="J52" s="7">
        <f t="shared" ref="J52:K52" si="25">+SUM(J50:J51)</f>
        <v>2086728</v>
      </c>
      <c r="K52" s="7">
        <f t="shared" si="25"/>
        <v>0</v>
      </c>
      <c r="L52" s="7">
        <f t="shared" ref="L52:M52" si="26">+SUM(L50:L51)</f>
        <v>0</v>
      </c>
      <c r="M52" s="7">
        <f t="shared" si="26"/>
        <v>0</v>
      </c>
    </row>
    <row r="53" spans="1:13" x14ac:dyDescent="0.3">
      <c r="A53" s="1" t="s">
        <v>137</v>
      </c>
      <c r="B53" s="3">
        <v>0</v>
      </c>
      <c r="C53" s="3">
        <v>0</v>
      </c>
      <c r="D53" s="3">
        <v>0</v>
      </c>
      <c r="E53" s="3">
        <v>0</v>
      </c>
      <c r="F53" s="3">
        <v>0</v>
      </c>
      <c r="G53" s="3">
        <v>0</v>
      </c>
      <c r="H53" s="3">
        <v>0</v>
      </c>
      <c r="I53" s="3">
        <v>0</v>
      </c>
      <c r="J53" s="3">
        <v>0</v>
      </c>
      <c r="K53" s="3">
        <v>0</v>
      </c>
      <c r="L53" s="3">
        <v>0</v>
      </c>
      <c r="M53" s="3">
        <v>0</v>
      </c>
    </row>
    <row r="54" spans="1:13" x14ac:dyDescent="0.3">
      <c r="A54" s="1" t="s">
        <v>138</v>
      </c>
      <c r="B54" s="3">
        <v>-19091</v>
      </c>
      <c r="C54" s="3">
        <v>-14388</v>
      </c>
      <c r="D54" s="3">
        <v>-17012</v>
      </c>
      <c r="E54" s="3">
        <v>-13368</v>
      </c>
      <c r="F54" s="3">
        <v>-12879</v>
      </c>
      <c r="G54" s="3">
        <v>-12409</v>
      </c>
      <c r="H54" s="3">
        <v>-12747</v>
      </c>
      <c r="I54" s="3">
        <v>-28539175</v>
      </c>
      <c r="J54" s="3">
        <v>-2098952</v>
      </c>
      <c r="K54" s="3">
        <v>-14793</v>
      </c>
      <c r="L54" s="3">
        <v>-12661</v>
      </c>
      <c r="M54" s="3">
        <v>-11494</v>
      </c>
    </row>
    <row r="55" spans="1:13" x14ac:dyDescent="0.3">
      <c r="A55" s="1" t="s">
        <v>139</v>
      </c>
      <c r="B55" s="3">
        <v>0</v>
      </c>
      <c r="C55" s="3">
        <v>0</v>
      </c>
      <c r="D55" s="3">
        <v>0</v>
      </c>
      <c r="E55" s="3">
        <v>0</v>
      </c>
      <c r="F55" s="3">
        <v>0</v>
      </c>
      <c r="G55" s="3">
        <v>0</v>
      </c>
      <c r="H55" s="3">
        <v>0</v>
      </c>
      <c r="I55" s="3">
        <v>0</v>
      </c>
      <c r="J55" s="3">
        <v>0</v>
      </c>
      <c r="K55" s="3">
        <v>0</v>
      </c>
      <c r="L55" s="3">
        <v>0</v>
      </c>
      <c r="M55" s="3">
        <v>0</v>
      </c>
    </row>
    <row r="56" spans="1:13" x14ac:dyDescent="0.3">
      <c r="A56" s="1" t="s">
        <v>140</v>
      </c>
      <c r="B56" s="3">
        <v>45832</v>
      </c>
      <c r="C56" s="3">
        <v>0</v>
      </c>
      <c r="D56" s="3">
        <v>23061</v>
      </c>
      <c r="E56" s="3">
        <v>105</v>
      </c>
      <c r="F56" s="3">
        <v>-151</v>
      </c>
      <c r="G56" s="3">
        <v>-52</v>
      </c>
      <c r="H56" s="3">
        <v>278</v>
      </c>
      <c r="I56" s="3">
        <v>-10</v>
      </c>
      <c r="J56" s="3">
        <v>-196</v>
      </c>
      <c r="K56" s="3">
        <v>0</v>
      </c>
      <c r="L56" s="3">
        <v>0</v>
      </c>
      <c r="M56" s="3">
        <v>0</v>
      </c>
    </row>
    <row r="57" spans="1:13" s="6" customFormat="1" x14ac:dyDescent="0.3">
      <c r="A57" s="6" t="s">
        <v>141</v>
      </c>
      <c r="B57" s="7">
        <f>+SUM(B52:B56)</f>
        <v>6980602</v>
      </c>
      <c r="C57" s="7">
        <f t="shared" ref="C57:I57" si="27">+SUM(C52:C56)</f>
        <v>6032337</v>
      </c>
      <c r="D57" s="7">
        <f t="shared" si="27"/>
        <v>5386914</v>
      </c>
      <c r="E57" s="7">
        <f t="shared" si="27"/>
        <v>4638868</v>
      </c>
      <c r="F57" s="7">
        <f t="shared" si="27"/>
        <v>4193738</v>
      </c>
      <c r="G57" s="7">
        <f t="shared" si="27"/>
        <v>2618840</v>
      </c>
      <c r="H57" s="7">
        <f t="shared" si="27"/>
        <v>2079976</v>
      </c>
      <c r="I57" s="7">
        <f t="shared" si="27"/>
        <v>-26452457</v>
      </c>
      <c r="J57" s="7">
        <f t="shared" ref="J57:K57" si="28">+SUM(J52:J56)</f>
        <v>-12420</v>
      </c>
      <c r="K57" s="7">
        <f t="shared" si="28"/>
        <v>-14793</v>
      </c>
      <c r="L57" s="7">
        <f t="shared" ref="L57:M57" si="29">+SUM(L52:L56)</f>
        <v>-12661</v>
      </c>
      <c r="M57" s="7">
        <f t="shared" si="29"/>
        <v>-11494</v>
      </c>
    </row>
    <row r="58" spans="1:13" x14ac:dyDescent="0.3">
      <c r="A58" s="1" t="s">
        <v>142</v>
      </c>
      <c r="B58" s="3">
        <v>1782</v>
      </c>
      <c r="C58" s="3">
        <v>407</v>
      </c>
      <c r="D58" s="3">
        <v>198</v>
      </c>
      <c r="E58" s="3">
        <v>7</v>
      </c>
      <c r="F58" s="3">
        <v>227</v>
      </c>
      <c r="G58" s="3">
        <v>20</v>
      </c>
      <c r="H58" s="3">
        <v>107</v>
      </c>
      <c r="I58" s="3">
        <v>0</v>
      </c>
      <c r="J58" s="3">
        <v>0</v>
      </c>
      <c r="K58" s="3">
        <v>0</v>
      </c>
      <c r="L58" s="3">
        <v>0</v>
      </c>
      <c r="M58" s="3">
        <v>0</v>
      </c>
    </row>
    <row r="59" spans="1:13" x14ac:dyDescent="0.3">
      <c r="A59" s="1" t="s">
        <v>143</v>
      </c>
      <c r="B59" s="3">
        <v>-340</v>
      </c>
      <c r="C59" s="3">
        <v>-496</v>
      </c>
      <c r="D59" s="3">
        <v>-392</v>
      </c>
      <c r="E59" s="3">
        <v>-599</v>
      </c>
      <c r="F59" s="3">
        <v>-336</v>
      </c>
      <c r="G59" s="3">
        <v>-400</v>
      </c>
      <c r="H59" s="3">
        <v>-486</v>
      </c>
      <c r="I59" s="3">
        <v>-521</v>
      </c>
      <c r="J59" s="3">
        <v>-240</v>
      </c>
      <c r="K59" s="3">
        <v>-727</v>
      </c>
      <c r="L59" s="3">
        <v>-459</v>
      </c>
      <c r="M59" s="3">
        <v>-577</v>
      </c>
    </row>
    <row r="60" spans="1:13" ht="28.8" x14ac:dyDescent="0.3">
      <c r="A60" s="5" t="s">
        <v>144</v>
      </c>
      <c r="B60" s="3">
        <v>1215166</v>
      </c>
      <c r="C60" s="3">
        <v>0</v>
      </c>
      <c r="D60" s="3">
        <v>0</v>
      </c>
      <c r="E60" s="3">
        <v>0</v>
      </c>
      <c r="F60" s="3">
        <v>0</v>
      </c>
      <c r="G60" s="3">
        <v>0</v>
      </c>
      <c r="H60" s="3">
        <v>0</v>
      </c>
      <c r="I60" s="3">
        <v>0</v>
      </c>
      <c r="J60" s="3">
        <v>0</v>
      </c>
      <c r="K60" s="3">
        <v>0</v>
      </c>
      <c r="L60" s="3">
        <v>0</v>
      </c>
      <c r="M60" s="3">
        <v>0</v>
      </c>
    </row>
    <row r="61" spans="1:13" x14ac:dyDescent="0.3">
      <c r="A61" s="1" t="s">
        <v>145</v>
      </c>
      <c r="B61" s="3">
        <v>0</v>
      </c>
      <c r="C61" s="3">
        <v>0</v>
      </c>
      <c r="D61" s="3">
        <v>0</v>
      </c>
      <c r="E61" s="3">
        <v>0</v>
      </c>
      <c r="F61" s="3">
        <v>0</v>
      </c>
      <c r="G61" s="3">
        <v>0</v>
      </c>
      <c r="H61" s="3">
        <v>0</v>
      </c>
      <c r="I61" s="3">
        <v>0</v>
      </c>
      <c r="J61" s="3">
        <v>0</v>
      </c>
      <c r="K61" s="3">
        <v>0</v>
      </c>
      <c r="L61" s="3">
        <v>0</v>
      </c>
      <c r="M61" s="3">
        <v>0</v>
      </c>
    </row>
    <row r="62" spans="1:13" x14ac:dyDescent="0.3">
      <c r="A62" s="1" t="s">
        <v>146</v>
      </c>
      <c r="B62" s="3">
        <v>0</v>
      </c>
      <c r="C62" s="3">
        <v>0</v>
      </c>
      <c r="D62" s="3">
        <v>0</v>
      </c>
      <c r="E62" s="3">
        <v>0</v>
      </c>
      <c r="F62" s="3">
        <v>0</v>
      </c>
      <c r="G62" s="3">
        <v>0</v>
      </c>
      <c r="H62" s="3">
        <v>0</v>
      </c>
      <c r="I62" s="3">
        <v>0</v>
      </c>
      <c r="J62" s="3">
        <v>0</v>
      </c>
      <c r="K62" s="3">
        <v>0</v>
      </c>
      <c r="L62" s="3">
        <v>0</v>
      </c>
      <c r="M62" s="3">
        <v>0</v>
      </c>
    </row>
    <row r="63" spans="1:13" x14ac:dyDescent="0.3">
      <c r="A63" s="1" t="s">
        <v>147</v>
      </c>
      <c r="B63" s="3">
        <v>0</v>
      </c>
      <c r="C63" s="3">
        <v>0</v>
      </c>
      <c r="D63" s="3">
        <v>0</v>
      </c>
      <c r="E63" s="3">
        <v>0</v>
      </c>
      <c r="F63" s="3">
        <v>0</v>
      </c>
      <c r="G63" s="3">
        <v>0</v>
      </c>
      <c r="H63" s="3">
        <v>0</v>
      </c>
      <c r="I63" s="3">
        <v>0</v>
      </c>
      <c r="J63" s="3">
        <v>0</v>
      </c>
      <c r="K63" s="3">
        <v>0</v>
      </c>
      <c r="L63" s="3">
        <v>0</v>
      </c>
      <c r="M63" s="3">
        <v>0</v>
      </c>
    </row>
    <row r="64" spans="1:13" s="6" customFormat="1" x14ac:dyDescent="0.3">
      <c r="A64" s="6" t="s">
        <v>148</v>
      </c>
      <c r="B64" s="7">
        <f>+SUM(B57:B63)</f>
        <v>8197210</v>
      </c>
      <c r="C64" s="7">
        <f t="shared" ref="C64:I64" si="30">+SUM(C57:C63)</f>
        <v>6032248</v>
      </c>
      <c r="D64" s="7">
        <f t="shared" si="30"/>
        <v>5386720</v>
      </c>
      <c r="E64" s="7">
        <f t="shared" si="30"/>
        <v>4638276</v>
      </c>
      <c r="F64" s="7">
        <f t="shared" si="30"/>
        <v>4193629</v>
      </c>
      <c r="G64" s="7">
        <f t="shared" si="30"/>
        <v>2618460</v>
      </c>
      <c r="H64" s="7">
        <f t="shared" si="30"/>
        <v>2079597</v>
      </c>
      <c r="I64" s="7">
        <f t="shared" si="30"/>
        <v>-26452978</v>
      </c>
      <c r="J64" s="7">
        <f t="shared" ref="J64:K64" si="31">+SUM(J57:J63)</f>
        <v>-12660</v>
      </c>
      <c r="K64" s="7">
        <f t="shared" si="31"/>
        <v>-15520</v>
      </c>
      <c r="L64" s="7">
        <f t="shared" ref="L64:M64" si="32">+SUM(L57:L63)</f>
        <v>-13120</v>
      </c>
      <c r="M64" s="7">
        <f t="shared" si="32"/>
        <v>-12071</v>
      </c>
    </row>
    <row r="65" spans="1:13" x14ac:dyDescent="0.3">
      <c r="A65" s="1" t="s">
        <v>149</v>
      </c>
      <c r="B65" s="3">
        <v>0</v>
      </c>
      <c r="C65" s="3">
        <v>0</v>
      </c>
      <c r="D65" s="3">
        <v>0</v>
      </c>
      <c r="E65" s="3">
        <v>0</v>
      </c>
      <c r="F65" s="3">
        <v>0</v>
      </c>
      <c r="G65" s="3">
        <v>0</v>
      </c>
      <c r="H65" s="3">
        <v>0</v>
      </c>
      <c r="I65" s="3">
        <v>0</v>
      </c>
      <c r="J65" s="3">
        <v>0</v>
      </c>
      <c r="K65" s="3">
        <v>0</v>
      </c>
      <c r="L65" s="3">
        <v>0</v>
      </c>
      <c r="M65" s="3">
        <v>0</v>
      </c>
    </row>
    <row r="66" spans="1:13" x14ac:dyDescent="0.3">
      <c r="A66" s="1" t="s">
        <v>150</v>
      </c>
      <c r="B66" s="7">
        <f>+SUM(B64:B65)</f>
        <v>8197210</v>
      </c>
      <c r="C66" s="7">
        <f t="shared" ref="C66:I66" si="33">+SUM(C64:C65)</f>
        <v>6032248</v>
      </c>
      <c r="D66" s="7">
        <f t="shared" si="33"/>
        <v>5386720</v>
      </c>
      <c r="E66" s="7">
        <f t="shared" si="33"/>
        <v>4638276</v>
      </c>
      <c r="F66" s="7">
        <f t="shared" si="33"/>
        <v>4193629</v>
      </c>
      <c r="G66" s="7">
        <f t="shared" si="33"/>
        <v>2618460</v>
      </c>
      <c r="H66" s="7">
        <f t="shared" si="33"/>
        <v>2079597</v>
      </c>
      <c r="I66" s="7">
        <f t="shared" si="33"/>
        <v>-26452978</v>
      </c>
      <c r="J66" s="7">
        <f t="shared" ref="J66:K66" si="34">+SUM(J64:J65)</f>
        <v>-12660</v>
      </c>
      <c r="K66" s="7">
        <f t="shared" si="34"/>
        <v>-15520</v>
      </c>
      <c r="L66" s="7">
        <f t="shared" ref="L66:M66" si="35">+SUM(L64:L65)</f>
        <v>-13120</v>
      </c>
      <c r="M66" s="7">
        <f t="shared" si="35"/>
        <v>-12071</v>
      </c>
    </row>
    <row r="67" spans="1:13" x14ac:dyDescent="0.3">
      <c r="A67" s="1" t="s">
        <v>151</v>
      </c>
      <c r="B67" s="3">
        <v>0</v>
      </c>
      <c r="C67" s="3">
        <v>0</v>
      </c>
      <c r="D67" s="3">
        <v>0</v>
      </c>
      <c r="E67" s="3">
        <v>0</v>
      </c>
      <c r="F67" s="3">
        <v>0</v>
      </c>
      <c r="G67" s="3">
        <v>0</v>
      </c>
      <c r="H67" s="3">
        <v>0</v>
      </c>
      <c r="I67" s="3">
        <v>0</v>
      </c>
      <c r="J67" s="3">
        <v>0</v>
      </c>
      <c r="K67" s="3">
        <v>0</v>
      </c>
      <c r="L67" s="3">
        <v>0</v>
      </c>
      <c r="M67" s="3">
        <v>0</v>
      </c>
    </row>
    <row r="68" spans="1:13" s="6" customFormat="1" x14ac:dyDescent="0.3">
      <c r="A68" s="6" t="s">
        <v>152</v>
      </c>
      <c r="B68" s="7">
        <f>+SUM(B66:B67)</f>
        <v>8197210</v>
      </c>
      <c r="C68" s="7">
        <f>+SUM(C66:C67)</f>
        <v>6032248</v>
      </c>
      <c r="D68" s="7">
        <f t="shared" ref="D68:I68" si="36">+SUM(D66:D67)</f>
        <v>5386720</v>
      </c>
      <c r="E68" s="7">
        <f t="shared" si="36"/>
        <v>4638276</v>
      </c>
      <c r="F68" s="7">
        <f t="shared" si="36"/>
        <v>4193629</v>
      </c>
      <c r="G68" s="7">
        <f t="shared" si="36"/>
        <v>2618460</v>
      </c>
      <c r="H68" s="7">
        <f t="shared" si="36"/>
        <v>2079597</v>
      </c>
      <c r="I68" s="7">
        <f t="shared" si="36"/>
        <v>-26452978</v>
      </c>
      <c r="J68" s="7">
        <f t="shared" ref="J68:K68" si="37">+SUM(J66:J67)</f>
        <v>-12660</v>
      </c>
      <c r="K68" s="7">
        <f t="shared" si="37"/>
        <v>-15520</v>
      </c>
      <c r="L68" s="7">
        <f t="shared" ref="L68:M68" si="38">+SUM(L66:L67)</f>
        <v>-13120</v>
      </c>
      <c r="M68" s="7">
        <f t="shared" si="38"/>
        <v>-12071</v>
      </c>
    </row>
    <row r="89" spans="1:1" x14ac:dyDescent="0.3">
      <c r="A89" s="1" t="s">
        <v>99</v>
      </c>
    </row>
    <row r="90" spans="1:1" x14ac:dyDescent="0.3">
      <c r="A90" s="1" t="s">
        <v>188</v>
      </c>
    </row>
    <row r="91" spans="1:1" x14ac:dyDescent="0.3">
      <c r="A91" s="1"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B0A0-E879-41E2-8ADD-3B29B4C12135}">
  <dimension ref="A1:N124"/>
  <sheetViews>
    <sheetView workbookViewId="0">
      <pane xSplit="1" ySplit="1" topLeftCell="B2" activePane="bottomRight" state="frozen"/>
      <selection pane="topRight" activeCell="B1" sqref="B1"/>
      <selection pane="bottomLeft" activeCell="A2" sqref="A2"/>
      <selection pane="bottomRight" activeCell="E7" sqref="E7"/>
    </sheetView>
  </sheetViews>
  <sheetFormatPr baseColWidth="10" defaultColWidth="11.44140625" defaultRowHeight="13.8" x14ac:dyDescent="0.3"/>
  <cols>
    <col min="1" max="1" width="57.44140625" style="31" customWidth="1"/>
    <col min="2" max="2" width="13.88671875" style="31" bestFit="1" customWidth="1"/>
    <col min="3" max="3" width="11.44140625" style="31"/>
    <col min="4" max="4" width="24.33203125" style="31" bestFit="1" customWidth="1"/>
    <col min="5" max="5" width="10.44140625" style="31" bestFit="1" customWidth="1"/>
    <col min="6" max="6" width="14.88671875" style="31" bestFit="1" customWidth="1"/>
    <col min="7" max="7" width="21.6640625" style="31" customWidth="1"/>
    <col min="8" max="8" width="5.44140625" style="31" customWidth="1"/>
    <col min="9" max="9" width="11.44140625" style="31"/>
    <col min="10" max="10" width="20.88671875" style="31" bestFit="1" customWidth="1"/>
    <col min="11" max="16384" width="11.44140625" style="31"/>
  </cols>
  <sheetData>
    <row r="1" spans="1:14" s="28" customFormat="1" ht="41.25" customHeight="1" x14ac:dyDescent="0.3">
      <c r="A1" s="26" t="s">
        <v>189</v>
      </c>
      <c r="B1" s="27" t="s">
        <v>190</v>
      </c>
      <c r="D1" s="75" t="s">
        <v>281</v>
      </c>
      <c r="E1" s="75" t="s">
        <v>282</v>
      </c>
      <c r="F1" s="76" t="s">
        <v>283</v>
      </c>
      <c r="G1" s="28" t="s">
        <v>349</v>
      </c>
    </row>
    <row r="2" spans="1:14" ht="16.5" customHeight="1" x14ac:dyDescent="0.3">
      <c r="A2" s="29" t="s">
        <v>191</v>
      </c>
      <c r="B2" s="30"/>
    </row>
    <row r="3" spans="1:14" ht="16.5" customHeight="1" x14ac:dyDescent="0.3">
      <c r="A3" s="32" t="s">
        <v>192</v>
      </c>
      <c r="B3" s="33">
        <v>24552.129999999997</v>
      </c>
      <c r="D3" s="56" t="s">
        <v>284</v>
      </c>
      <c r="E3" s="73">
        <v>2554.59</v>
      </c>
      <c r="F3" s="73">
        <v>895</v>
      </c>
      <c r="G3" s="31" t="str">
        <f>+J4</f>
        <v>Nueva Las Condes/El Golf</v>
      </c>
      <c r="J3" s="31" t="s">
        <v>335</v>
      </c>
      <c r="K3" s="55">
        <f>+SUMIF($G$3:$G$17,J3,$B$3:$B$17)</f>
        <v>0</v>
      </c>
    </row>
    <row r="4" spans="1:14" ht="16.5" customHeight="1" x14ac:dyDescent="0.3">
      <c r="A4" s="34" t="s">
        <v>193</v>
      </c>
      <c r="B4" s="35">
        <v>19365.46</v>
      </c>
      <c r="D4" s="56" t="s">
        <v>285</v>
      </c>
      <c r="E4" s="73">
        <v>1443.56</v>
      </c>
      <c r="F4" s="73">
        <v>769</v>
      </c>
      <c r="G4" s="31" t="str">
        <f>+J5</f>
        <v>San Damián/Apoquindo</v>
      </c>
      <c r="J4" s="31" t="s">
        <v>336</v>
      </c>
      <c r="K4" s="55">
        <f t="shared" ref="K4:K13" si="0">+SUMIF($G$3:$G$17,J4,$B$3:$B$17)</f>
        <v>34545.53</v>
      </c>
      <c r="N4" s="56"/>
    </row>
    <row r="5" spans="1:14" ht="16.5" customHeight="1" x14ac:dyDescent="0.3">
      <c r="A5" s="32" t="s">
        <v>196</v>
      </c>
      <c r="B5" s="33">
        <v>16006.459999999997</v>
      </c>
      <c r="D5" s="56" t="s">
        <v>286</v>
      </c>
      <c r="E5" s="73">
        <v>176.34</v>
      </c>
      <c r="F5" s="73">
        <v>160</v>
      </c>
      <c r="G5" s="31" t="str">
        <f>+J7</f>
        <v>Santiago Centro</v>
      </c>
      <c r="J5" s="31" t="s">
        <v>337</v>
      </c>
      <c r="K5" s="55">
        <f t="shared" si="0"/>
        <v>35871.509999999995</v>
      </c>
      <c r="N5" s="56"/>
    </row>
    <row r="6" spans="1:14" ht="16.5" customHeight="1" x14ac:dyDescent="0.3">
      <c r="A6" s="36" t="s">
        <v>195</v>
      </c>
      <c r="B6" s="35">
        <v>14739.77</v>
      </c>
      <c r="D6" s="56" t="s">
        <v>285</v>
      </c>
      <c r="E6" s="73">
        <v>3587.29</v>
      </c>
      <c r="F6" s="73">
        <v>902</v>
      </c>
      <c r="G6" s="31" t="str">
        <f>+J5</f>
        <v>San Damián/Apoquindo</v>
      </c>
      <c r="J6" s="31" t="s">
        <v>338</v>
      </c>
      <c r="K6" s="55">
        <f t="shared" si="0"/>
        <v>0</v>
      </c>
      <c r="N6" s="56"/>
    </row>
    <row r="7" spans="1:14" ht="16.5" customHeight="1" x14ac:dyDescent="0.3">
      <c r="A7" s="32" t="s">
        <v>197</v>
      </c>
      <c r="B7" s="33">
        <v>12856</v>
      </c>
      <c r="D7" s="56" t="s">
        <v>287</v>
      </c>
      <c r="E7" s="77">
        <v>17</v>
      </c>
      <c r="F7" s="73">
        <v>181</v>
      </c>
      <c r="G7" s="31" t="str">
        <f>+J8</f>
        <v>Providencia</v>
      </c>
      <c r="J7" s="31" t="s">
        <v>339</v>
      </c>
      <c r="K7" s="55">
        <f t="shared" si="0"/>
        <v>30226.67</v>
      </c>
      <c r="N7" s="56"/>
    </row>
    <row r="8" spans="1:14" ht="16.5" customHeight="1" x14ac:dyDescent="0.3">
      <c r="A8" s="36" t="s">
        <v>194</v>
      </c>
      <c r="B8" s="35">
        <v>9993.4</v>
      </c>
      <c r="D8" s="56" t="s">
        <v>288</v>
      </c>
      <c r="E8" s="73">
        <v>172.36</v>
      </c>
      <c r="F8" s="73">
        <v>262</v>
      </c>
      <c r="G8" s="31" t="str">
        <f>+J4</f>
        <v>Nueva Las Condes/El Golf</v>
      </c>
      <c r="J8" s="31" t="s">
        <v>340</v>
      </c>
      <c r="K8" s="55">
        <f t="shared" si="0"/>
        <v>27241.31</v>
      </c>
      <c r="N8" s="56"/>
    </row>
    <row r="9" spans="1:14" ht="16.5" customHeight="1" x14ac:dyDescent="0.3">
      <c r="A9" s="32" t="s">
        <v>199</v>
      </c>
      <c r="B9" s="33">
        <v>8791.9</v>
      </c>
      <c r="D9" s="56" t="s">
        <v>287</v>
      </c>
      <c r="E9" s="73">
        <v>199.35</v>
      </c>
      <c r="F9" s="73">
        <v>70</v>
      </c>
      <c r="G9" s="31" t="str">
        <f>+J7</f>
        <v>Santiago Centro</v>
      </c>
      <c r="J9" s="31" t="s">
        <v>341</v>
      </c>
      <c r="K9" s="55">
        <f t="shared" si="0"/>
        <v>0</v>
      </c>
      <c r="N9" s="56"/>
    </row>
    <row r="10" spans="1:14" ht="16.5" customHeight="1" x14ac:dyDescent="0.3">
      <c r="A10" s="36" t="s">
        <v>198</v>
      </c>
      <c r="B10" s="35">
        <v>7159.91</v>
      </c>
      <c r="D10" s="56" t="s">
        <v>289</v>
      </c>
      <c r="E10" s="73">
        <v>376.13</v>
      </c>
      <c r="F10" s="73">
        <v>170</v>
      </c>
      <c r="G10" s="31" t="str">
        <f>+J8</f>
        <v>Providencia</v>
      </c>
      <c r="J10" s="31" t="s">
        <v>342</v>
      </c>
      <c r="K10" s="55">
        <f t="shared" si="0"/>
        <v>0</v>
      </c>
      <c r="N10" s="56"/>
    </row>
    <row r="11" spans="1:14" ht="16.5" customHeight="1" x14ac:dyDescent="0.3">
      <c r="A11" s="32" t="s">
        <v>200</v>
      </c>
      <c r="B11" s="33">
        <v>6003</v>
      </c>
      <c r="D11" s="56" t="s">
        <v>287</v>
      </c>
      <c r="E11" s="73">
        <v>368.31</v>
      </c>
      <c r="F11" s="73">
        <v>188</v>
      </c>
      <c r="G11" s="31" t="str">
        <f>+J12</f>
        <v>Huechuraba</v>
      </c>
      <c r="J11" s="31" t="s">
        <v>343</v>
      </c>
      <c r="K11" s="55">
        <f t="shared" si="0"/>
        <v>0</v>
      </c>
    </row>
    <row r="12" spans="1:14" ht="16.5" customHeight="1" x14ac:dyDescent="0.3">
      <c r="A12" s="36" t="s">
        <v>202</v>
      </c>
      <c r="B12" s="35">
        <v>5428.3099999999995</v>
      </c>
      <c r="D12" s="56" t="s">
        <v>286</v>
      </c>
      <c r="E12" s="73">
        <v>154.57</v>
      </c>
      <c r="F12" s="73">
        <v>0</v>
      </c>
      <c r="G12" s="31" t="str">
        <f>+J7</f>
        <v>Santiago Centro</v>
      </c>
      <c r="J12" s="31" t="s">
        <v>344</v>
      </c>
      <c r="K12" s="55">
        <f t="shared" si="0"/>
        <v>8905.93</v>
      </c>
    </row>
    <row r="13" spans="1:14" ht="16.5" customHeight="1" x14ac:dyDescent="0.3">
      <c r="A13" s="32" t="s">
        <v>201</v>
      </c>
      <c r="B13" s="33">
        <v>4025.4</v>
      </c>
      <c r="D13" s="56" t="s">
        <v>286</v>
      </c>
      <c r="E13" s="73">
        <v>246.2</v>
      </c>
      <c r="F13" s="73">
        <v>130</v>
      </c>
      <c r="G13" s="31" t="str">
        <f>+J8</f>
        <v>Providencia</v>
      </c>
      <c r="J13" s="31" t="s">
        <v>345</v>
      </c>
      <c r="K13" s="55">
        <f t="shared" si="0"/>
        <v>0</v>
      </c>
    </row>
    <row r="14" spans="1:14" ht="16.5" customHeight="1" x14ac:dyDescent="0.3">
      <c r="A14" s="36" t="s">
        <v>203</v>
      </c>
      <c r="B14" s="35">
        <v>3200</v>
      </c>
      <c r="D14" s="56" t="s">
        <v>286</v>
      </c>
      <c r="E14" s="73">
        <v>37.090000000000003</v>
      </c>
      <c r="F14" s="73">
        <v>54</v>
      </c>
      <c r="G14" s="31" t="str">
        <f>+J8</f>
        <v>Providencia</v>
      </c>
    </row>
    <row r="15" spans="1:14" ht="16.5" customHeight="1" x14ac:dyDescent="0.3">
      <c r="A15" s="32" t="s">
        <v>204</v>
      </c>
      <c r="B15" s="33">
        <v>2902.9300000000003</v>
      </c>
      <c r="D15" s="56" t="s">
        <v>286</v>
      </c>
      <c r="E15" s="73">
        <v>102.71</v>
      </c>
      <c r="F15" s="73">
        <v>116</v>
      </c>
      <c r="G15" s="31" t="str">
        <f>+J12</f>
        <v>Huechuraba</v>
      </c>
      <c r="K15" s="55"/>
    </row>
    <row r="16" spans="1:14" ht="16.5" customHeight="1" x14ac:dyDescent="0.3">
      <c r="A16" s="36" t="s">
        <v>205</v>
      </c>
      <c r="B16" s="35">
        <v>1282</v>
      </c>
      <c r="D16" s="56" t="s">
        <v>287</v>
      </c>
      <c r="E16" s="73">
        <v>0</v>
      </c>
      <c r="F16" s="73">
        <v>0</v>
      </c>
      <c r="G16" s="31" t="str">
        <f>+J5</f>
        <v>San Damián/Apoquindo</v>
      </c>
      <c r="K16" s="55"/>
    </row>
    <row r="17" spans="1:11" ht="16.5" customHeight="1" x14ac:dyDescent="0.3">
      <c r="A17" s="32" t="s">
        <v>206</v>
      </c>
      <c r="B17" s="33">
        <v>484.28000000000003</v>
      </c>
      <c r="D17" s="56" t="s">
        <v>286</v>
      </c>
      <c r="E17" s="73">
        <v>0</v>
      </c>
      <c r="F17" s="73">
        <v>22</v>
      </c>
      <c r="G17" s="31" t="str">
        <f>+J5</f>
        <v>San Damián/Apoquindo</v>
      </c>
      <c r="K17" s="55"/>
    </row>
    <row r="18" spans="1:11" x14ac:dyDescent="0.3">
      <c r="A18" s="37"/>
      <c r="B18" s="38"/>
    </row>
    <row r="19" spans="1:11" x14ac:dyDescent="0.3">
      <c r="B19" s="39">
        <f>+SUM(B2:B18)</f>
        <v>136790.94999999998</v>
      </c>
      <c r="D19" s="74"/>
      <c r="E19" s="74"/>
      <c r="H19" s="56"/>
    </row>
    <row r="20" spans="1:11" ht="16.5" customHeight="1" x14ac:dyDescent="0.3">
      <c r="B20" s="40"/>
    </row>
    <row r="21" spans="1:11" ht="16.5" customHeight="1" x14ac:dyDescent="0.3">
      <c r="B21" s="35"/>
    </row>
    <row r="22" spans="1:11" ht="16.5" customHeight="1" x14ac:dyDescent="0.3">
      <c r="A22" s="29" t="s">
        <v>207</v>
      </c>
      <c r="B22" s="41"/>
    </row>
    <row r="23" spans="1:11" ht="16.5" customHeight="1" x14ac:dyDescent="0.3">
      <c r="A23" s="44" t="s">
        <v>208</v>
      </c>
      <c r="B23" s="45">
        <v>202</v>
      </c>
      <c r="D23" s="56" t="s">
        <v>286</v>
      </c>
      <c r="E23" s="73">
        <v>0</v>
      </c>
      <c r="F23" s="73">
        <v>0</v>
      </c>
      <c r="G23" s="31" t="str">
        <f>+J31</f>
        <v>Otros RM</v>
      </c>
      <c r="J23" s="31" t="s">
        <v>335</v>
      </c>
      <c r="K23" s="55">
        <f t="shared" ref="K23:K33" si="1">+SUMIF($G$23:$G$70,J23,$B$23:$B$70)</f>
        <v>0</v>
      </c>
    </row>
    <row r="24" spans="1:11" ht="16.5" customHeight="1" x14ac:dyDescent="0.3">
      <c r="A24" s="42" t="s">
        <v>209</v>
      </c>
      <c r="B24" s="43">
        <v>349.76</v>
      </c>
      <c r="D24" s="56" t="s">
        <v>286</v>
      </c>
      <c r="E24" s="73">
        <v>0</v>
      </c>
      <c r="F24" s="73">
        <v>0</v>
      </c>
      <c r="G24" s="31" t="str">
        <f>+J31</f>
        <v>Otros RM</v>
      </c>
      <c r="J24" s="31" t="s">
        <v>336</v>
      </c>
      <c r="K24" s="55">
        <f t="shared" si="1"/>
        <v>6794.99</v>
      </c>
    </row>
    <row r="25" spans="1:11" ht="16.5" customHeight="1" x14ac:dyDescent="0.3">
      <c r="A25" s="44" t="s">
        <v>210</v>
      </c>
      <c r="B25" s="45">
        <v>394</v>
      </c>
      <c r="D25" s="56" t="s">
        <v>286</v>
      </c>
      <c r="E25" s="73">
        <v>0</v>
      </c>
      <c r="F25" s="73">
        <v>0</v>
      </c>
      <c r="G25" s="31" t="str">
        <f>+J27</f>
        <v>Santiago Centro</v>
      </c>
      <c r="J25" s="31" t="s">
        <v>337</v>
      </c>
      <c r="K25" s="55">
        <f t="shared" si="1"/>
        <v>5730.48</v>
      </c>
    </row>
    <row r="26" spans="1:11" ht="16.5" customHeight="1" x14ac:dyDescent="0.3">
      <c r="A26" s="42" t="s">
        <v>211</v>
      </c>
      <c r="B26" s="43">
        <v>218</v>
      </c>
      <c r="D26" s="56" t="s">
        <v>286</v>
      </c>
      <c r="E26" s="73">
        <v>0</v>
      </c>
      <c r="F26" s="73">
        <v>0</v>
      </c>
      <c r="G26" s="31" t="str">
        <f>+J27</f>
        <v>Santiago Centro</v>
      </c>
      <c r="J26" s="31" t="s">
        <v>338</v>
      </c>
      <c r="K26" s="55">
        <f t="shared" si="1"/>
        <v>0</v>
      </c>
    </row>
    <row r="27" spans="1:11" ht="16.5" customHeight="1" x14ac:dyDescent="0.3">
      <c r="A27" s="44" t="s">
        <v>212</v>
      </c>
      <c r="B27" s="45">
        <v>410</v>
      </c>
      <c r="D27" s="56" t="s">
        <v>286</v>
      </c>
      <c r="E27" s="73">
        <v>0</v>
      </c>
      <c r="F27" s="73">
        <v>0</v>
      </c>
      <c r="G27" s="31" t="str">
        <f>+J27</f>
        <v>Santiago Centro</v>
      </c>
      <c r="J27" s="31" t="s">
        <v>339</v>
      </c>
      <c r="K27" s="55">
        <f t="shared" si="1"/>
        <v>15324.779999999999</v>
      </c>
    </row>
    <row r="28" spans="1:11" ht="16.5" customHeight="1" x14ac:dyDescent="0.3">
      <c r="A28" s="42" t="s">
        <v>213</v>
      </c>
      <c r="B28" s="43">
        <v>332.98</v>
      </c>
      <c r="D28" s="56" t="s">
        <v>286</v>
      </c>
      <c r="E28" s="73">
        <v>0</v>
      </c>
      <c r="F28" s="73">
        <v>0</v>
      </c>
      <c r="G28" s="31" t="str">
        <f>+J31</f>
        <v>Otros RM</v>
      </c>
      <c r="J28" s="31" t="s">
        <v>340</v>
      </c>
      <c r="K28" s="55">
        <f t="shared" si="1"/>
        <v>2451.2600000000002</v>
      </c>
    </row>
    <row r="29" spans="1:11" ht="16.5" customHeight="1" x14ac:dyDescent="0.3">
      <c r="A29" s="44" t="s">
        <v>214</v>
      </c>
      <c r="B29" s="45">
        <v>671</v>
      </c>
      <c r="D29" s="56" t="s">
        <v>286</v>
      </c>
      <c r="E29" s="73">
        <v>0</v>
      </c>
      <c r="F29" s="73">
        <v>0</v>
      </c>
      <c r="G29" s="31" t="str">
        <f>+J30</f>
        <v>Otros Regiones</v>
      </c>
      <c r="J29" s="31" t="s">
        <v>341</v>
      </c>
      <c r="K29" s="55">
        <f t="shared" si="1"/>
        <v>0</v>
      </c>
    </row>
    <row r="30" spans="1:11" ht="16.5" customHeight="1" x14ac:dyDescent="0.3">
      <c r="A30" s="42" t="s">
        <v>215</v>
      </c>
      <c r="B30" s="43">
        <v>393</v>
      </c>
      <c r="D30" s="56" t="s">
        <v>286</v>
      </c>
      <c r="E30" s="73">
        <v>0</v>
      </c>
      <c r="F30" s="73">
        <v>0</v>
      </c>
      <c r="G30" s="31" t="str">
        <f>+J31</f>
        <v>Otros RM</v>
      </c>
      <c r="J30" s="31" t="s">
        <v>342</v>
      </c>
      <c r="K30" s="55">
        <f t="shared" si="1"/>
        <v>13719.980000000001</v>
      </c>
    </row>
    <row r="31" spans="1:11" ht="16.5" customHeight="1" x14ac:dyDescent="0.3">
      <c r="A31" s="44" t="s">
        <v>216</v>
      </c>
      <c r="B31" s="45">
        <v>343.43</v>
      </c>
      <c r="D31" s="56" t="s">
        <v>286</v>
      </c>
      <c r="E31" s="73">
        <v>0</v>
      </c>
      <c r="F31" s="73">
        <v>0</v>
      </c>
      <c r="G31" s="31" t="str">
        <f>+J30</f>
        <v>Otros Regiones</v>
      </c>
      <c r="J31" s="31" t="s">
        <v>343</v>
      </c>
      <c r="K31" s="55">
        <f t="shared" si="1"/>
        <v>7819.76</v>
      </c>
    </row>
    <row r="32" spans="1:11" ht="16.5" customHeight="1" x14ac:dyDescent="0.3">
      <c r="A32" s="42" t="s">
        <v>217</v>
      </c>
      <c r="B32" s="43">
        <v>285</v>
      </c>
      <c r="D32" s="56" t="s">
        <v>286</v>
      </c>
      <c r="E32" s="73">
        <v>0</v>
      </c>
      <c r="F32" s="73">
        <v>0</v>
      </c>
      <c r="G32" s="31" t="str">
        <f>+J31</f>
        <v>Otros RM</v>
      </c>
      <c r="J32" s="31" t="s">
        <v>344</v>
      </c>
      <c r="K32" s="55">
        <f t="shared" si="1"/>
        <v>0</v>
      </c>
    </row>
    <row r="33" spans="1:11" ht="16.5" customHeight="1" x14ac:dyDescent="0.3">
      <c r="A33" s="44" t="s">
        <v>218</v>
      </c>
      <c r="B33" s="45">
        <v>226</v>
      </c>
      <c r="D33" s="56" t="s">
        <v>286</v>
      </c>
      <c r="E33" s="73">
        <v>0</v>
      </c>
      <c r="F33" s="73">
        <v>0</v>
      </c>
      <c r="G33" s="31" t="str">
        <f>+J28</f>
        <v>Providencia</v>
      </c>
      <c r="J33" s="31" t="s">
        <v>345</v>
      </c>
      <c r="K33" s="55">
        <f t="shared" si="1"/>
        <v>0</v>
      </c>
    </row>
    <row r="34" spans="1:11" ht="16.5" customHeight="1" x14ac:dyDescent="0.3">
      <c r="A34" s="42" t="s">
        <v>219</v>
      </c>
      <c r="B34" s="43">
        <v>520.67000000000007</v>
      </c>
      <c r="D34" s="56" t="s">
        <v>286</v>
      </c>
      <c r="E34" s="73">
        <v>0</v>
      </c>
      <c r="F34" s="73">
        <v>0</v>
      </c>
      <c r="G34" s="31" t="str">
        <f>+J30</f>
        <v>Otros Regiones</v>
      </c>
    </row>
    <row r="35" spans="1:11" ht="16.5" customHeight="1" x14ac:dyDescent="0.3">
      <c r="A35" s="44" t="s">
        <v>220</v>
      </c>
      <c r="B35" s="45">
        <v>704.93000000000006</v>
      </c>
      <c r="D35" s="56" t="s">
        <v>286</v>
      </c>
      <c r="E35" s="73">
        <v>0</v>
      </c>
      <c r="F35" s="73">
        <v>0</v>
      </c>
      <c r="G35" s="31" t="str">
        <f>+J30</f>
        <v>Otros Regiones</v>
      </c>
    </row>
    <row r="36" spans="1:11" ht="16.5" customHeight="1" x14ac:dyDescent="0.3">
      <c r="A36" s="42" t="s">
        <v>221</v>
      </c>
      <c r="B36" s="43">
        <v>672.53</v>
      </c>
      <c r="D36" s="56" t="s">
        <v>286</v>
      </c>
      <c r="E36" s="73">
        <v>0</v>
      </c>
      <c r="F36" s="73">
        <v>0</v>
      </c>
      <c r="G36" s="31" t="str">
        <f>+J30</f>
        <v>Otros Regiones</v>
      </c>
    </row>
    <row r="37" spans="1:11" ht="16.5" customHeight="1" x14ac:dyDescent="0.3">
      <c r="A37" s="44" t="s">
        <v>222</v>
      </c>
      <c r="B37" s="45">
        <v>701</v>
      </c>
      <c r="D37" s="56" t="s">
        <v>286</v>
      </c>
      <c r="E37" s="73">
        <v>0</v>
      </c>
      <c r="F37" s="73">
        <v>0</v>
      </c>
      <c r="G37" s="31" t="str">
        <f>+J30</f>
        <v>Otros Regiones</v>
      </c>
    </row>
    <row r="38" spans="1:11" ht="16.5" customHeight="1" x14ac:dyDescent="0.3">
      <c r="A38" s="42" t="s">
        <v>223</v>
      </c>
      <c r="B38" s="43">
        <v>758.23</v>
      </c>
      <c r="D38" s="56" t="s">
        <v>286</v>
      </c>
      <c r="E38" s="73">
        <v>0</v>
      </c>
      <c r="F38" s="73">
        <v>0</v>
      </c>
      <c r="G38" s="31" t="str">
        <f>+J30</f>
        <v>Otros Regiones</v>
      </c>
    </row>
    <row r="39" spans="1:11" ht="16.5" customHeight="1" x14ac:dyDescent="0.3">
      <c r="A39" s="44" t="s">
        <v>224</v>
      </c>
      <c r="B39" s="45">
        <v>426.81</v>
      </c>
      <c r="D39" s="56" t="s">
        <v>286</v>
      </c>
      <c r="E39" s="73">
        <v>0</v>
      </c>
      <c r="F39" s="73">
        <v>0</v>
      </c>
      <c r="G39" s="31" t="str">
        <f>+J30</f>
        <v>Otros Regiones</v>
      </c>
    </row>
    <row r="40" spans="1:11" ht="16.5" customHeight="1" x14ac:dyDescent="0.3">
      <c r="A40" s="42" t="s">
        <v>225</v>
      </c>
      <c r="B40" s="43">
        <v>841.84</v>
      </c>
      <c r="D40" s="56" t="s">
        <v>286</v>
      </c>
      <c r="E40" s="73">
        <v>0</v>
      </c>
      <c r="F40" s="73">
        <v>0</v>
      </c>
      <c r="G40" s="31" t="str">
        <f>+J30</f>
        <v>Otros Regiones</v>
      </c>
    </row>
    <row r="41" spans="1:11" ht="16.5" customHeight="1" x14ac:dyDescent="0.3">
      <c r="A41" s="44" t="s">
        <v>226</v>
      </c>
      <c r="B41" s="45">
        <v>437.02</v>
      </c>
      <c r="D41" s="56" t="s">
        <v>286</v>
      </c>
      <c r="E41" s="73">
        <v>0</v>
      </c>
      <c r="F41" s="73">
        <v>0</v>
      </c>
      <c r="G41" s="31" t="str">
        <f>+J31</f>
        <v>Otros RM</v>
      </c>
    </row>
    <row r="42" spans="1:11" ht="16.5" customHeight="1" x14ac:dyDescent="0.3">
      <c r="A42" s="42" t="s">
        <v>227</v>
      </c>
      <c r="B42" s="43">
        <v>1248</v>
      </c>
      <c r="D42" s="56" t="s">
        <v>286</v>
      </c>
      <c r="E42" s="73">
        <v>0</v>
      </c>
      <c r="F42" s="73">
        <v>0</v>
      </c>
      <c r="G42" s="31" t="str">
        <f>+J30</f>
        <v>Otros Regiones</v>
      </c>
    </row>
    <row r="43" spans="1:11" ht="16.5" customHeight="1" x14ac:dyDescent="0.3">
      <c r="A43" s="44" t="s">
        <v>228</v>
      </c>
      <c r="B43" s="45">
        <v>595.54</v>
      </c>
      <c r="D43" s="56" t="s">
        <v>286</v>
      </c>
      <c r="E43" s="73">
        <v>0</v>
      </c>
      <c r="F43" s="73">
        <v>0</v>
      </c>
      <c r="G43" s="31" t="str">
        <f>+J30</f>
        <v>Otros Regiones</v>
      </c>
    </row>
    <row r="44" spans="1:11" ht="16.5" customHeight="1" x14ac:dyDescent="0.3">
      <c r="A44" s="42" t="s">
        <v>229</v>
      </c>
      <c r="B44" s="43">
        <v>647</v>
      </c>
      <c r="D44" s="56" t="s">
        <v>286</v>
      </c>
      <c r="E44" s="73">
        <v>0</v>
      </c>
      <c r="F44" s="73">
        <v>0</v>
      </c>
      <c r="G44" s="31" t="str">
        <f>+J30</f>
        <v>Otros Regiones</v>
      </c>
    </row>
    <row r="45" spans="1:11" ht="16.5" customHeight="1" x14ac:dyDescent="0.3">
      <c r="A45" s="44" t="s">
        <v>230</v>
      </c>
      <c r="B45" s="45">
        <v>10147</v>
      </c>
      <c r="D45" s="55" t="s">
        <v>287</v>
      </c>
      <c r="E45" s="73">
        <v>0</v>
      </c>
      <c r="F45" s="73">
        <v>0</v>
      </c>
      <c r="G45" s="31" t="str">
        <f>+J27</f>
        <v>Santiago Centro</v>
      </c>
    </row>
    <row r="46" spans="1:11" ht="16.5" customHeight="1" x14ac:dyDescent="0.3">
      <c r="A46" s="42" t="s">
        <v>280</v>
      </c>
      <c r="B46" s="43"/>
      <c r="D46" s="55"/>
      <c r="E46" s="73">
        <v>0</v>
      </c>
      <c r="F46" s="73">
        <v>0</v>
      </c>
    </row>
    <row r="47" spans="1:11" ht="16.5" customHeight="1" x14ac:dyDescent="0.3">
      <c r="A47" s="42" t="s">
        <v>290</v>
      </c>
      <c r="B47" s="43">
        <v>665</v>
      </c>
      <c r="D47" s="55" t="s">
        <v>287</v>
      </c>
      <c r="E47" s="73">
        <v>0</v>
      </c>
      <c r="F47" s="73">
        <v>0</v>
      </c>
      <c r="G47" s="31" t="str">
        <f>+J25</f>
        <v>San Damián/Apoquindo</v>
      </c>
    </row>
    <row r="48" spans="1:11" ht="16.5" customHeight="1" x14ac:dyDescent="0.3">
      <c r="A48" s="42" t="s">
        <v>291</v>
      </c>
      <c r="B48" s="43">
        <v>608.08000000000004</v>
      </c>
      <c r="D48" s="55" t="s">
        <v>287</v>
      </c>
      <c r="E48" s="73">
        <v>0</v>
      </c>
      <c r="F48" s="73">
        <v>0</v>
      </c>
      <c r="G48" s="31" t="str">
        <f>+J25</f>
        <v>San Damián/Apoquindo</v>
      </c>
    </row>
    <row r="49" spans="1:7" ht="16.5" customHeight="1" x14ac:dyDescent="0.3">
      <c r="A49" s="42" t="s">
        <v>292</v>
      </c>
      <c r="B49" s="43">
        <v>692.57</v>
      </c>
      <c r="D49" s="55" t="s">
        <v>287</v>
      </c>
      <c r="E49" s="73">
        <v>0</v>
      </c>
      <c r="F49" s="73">
        <v>0</v>
      </c>
      <c r="G49" s="31" t="str">
        <f>+J24</f>
        <v>Nueva Las Condes/El Golf</v>
      </c>
    </row>
    <row r="50" spans="1:7" ht="16.5" customHeight="1" x14ac:dyDescent="0.3">
      <c r="A50" s="42" t="s">
        <v>293</v>
      </c>
      <c r="B50" s="43">
        <v>1494</v>
      </c>
      <c r="D50" s="55" t="s">
        <v>287</v>
      </c>
      <c r="E50" s="73">
        <v>0</v>
      </c>
      <c r="F50" s="73">
        <v>0</v>
      </c>
      <c r="G50" s="31" t="str">
        <f>+J30</f>
        <v>Otros Regiones</v>
      </c>
    </row>
    <row r="51" spans="1:7" ht="16.5" customHeight="1" x14ac:dyDescent="0.3">
      <c r="A51" s="42" t="s">
        <v>294</v>
      </c>
      <c r="B51" s="43">
        <v>1881</v>
      </c>
      <c r="D51" s="55" t="s">
        <v>287</v>
      </c>
      <c r="E51" s="73">
        <v>0</v>
      </c>
      <c r="F51" s="73">
        <v>0</v>
      </c>
      <c r="G51" s="31" t="str">
        <f>+J27</f>
        <v>Santiago Centro</v>
      </c>
    </row>
    <row r="52" spans="1:7" ht="16.5" customHeight="1" x14ac:dyDescent="0.3">
      <c r="A52" s="44" t="s">
        <v>278</v>
      </c>
      <c r="B52" s="45">
        <v>2244</v>
      </c>
      <c r="D52" s="55" t="s">
        <v>284</v>
      </c>
      <c r="E52" s="73">
        <v>0</v>
      </c>
      <c r="F52" s="73">
        <v>0</v>
      </c>
      <c r="G52" s="31" t="str">
        <f>+J24</f>
        <v>Nueva Las Condes/El Golf</v>
      </c>
    </row>
    <row r="53" spans="1:7" ht="16.5" customHeight="1" x14ac:dyDescent="0.3">
      <c r="A53" s="42" t="s">
        <v>277</v>
      </c>
      <c r="B53" s="43">
        <v>639</v>
      </c>
      <c r="D53" s="55" t="str">
        <f>+D8</f>
        <v>Rentas Magdalena</v>
      </c>
      <c r="E53" s="73">
        <v>0</v>
      </c>
      <c r="F53" s="73">
        <v>0</v>
      </c>
      <c r="G53" s="31" t="str">
        <f>+J24</f>
        <v>Nueva Las Condes/El Golf</v>
      </c>
    </row>
    <row r="54" spans="1:7" ht="16.5" customHeight="1" x14ac:dyDescent="0.3">
      <c r="A54" s="44" t="s">
        <v>279</v>
      </c>
      <c r="B54" s="45">
        <v>357</v>
      </c>
      <c r="D54" s="55" t="s">
        <v>287</v>
      </c>
      <c r="E54" s="73">
        <v>0</v>
      </c>
      <c r="F54" s="73">
        <v>0</v>
      </c>
      <c r="G54" s="31" t="str">
        <f>+J28</f>
        <v>Providencia</v>
      </c>
    </row>
    <row r="55" spans="1:7" ht="16.5" customHeight="1" x14ac:dyDescent="0.3">
      <c r="A55" s="42" t="s">
        <v>231</v>
      </c>
      <c r="B55" s="43">
        <v>3024</v>
      </c>
      <c r="D55" s="55" t="s">
        <v>285</v>
      </c>
      <c r="E55" s="73">
        <v>0</v>
      </c>
      <c r="F55" s="73">
        <v>0</v>
      </c>
      <c r="G55" s="31" t="str">
        <f>+J25</f>
        <v>San Damián/Apoquindo</v>
      </c>
    </row>
    <row r="56" spans="1:7" ht="16.5" customHeight="1" x14ac:dyDescent="0.3">
      <c r="A56" s="44" t="s">
        <v>232</v>
      </c>
      <c r="B56" s="45">
        <v>3465</v>
      </c>
      <c r="D56" s="55" t="s">
        <v>287</v>
      </c>
      <c r="E56" s="73">
        <v>0</v>
      </c>
      <c r="F56" s="73">
        <v>0</v>
      </c>
      <c r="G56" s="31" t="str">
        <f>+J30</f>
        <v>Otros Regiones</v>
      </c>
    </row>
    <row r="57" spans="1:7" ht="16.5" customHeight="1" x14ac:dyDescent="0.3">
      <c r="A57" s="42" t="s">
        <v>233</v>
      </c>
      <c r="B57" s="43">
        <v>2547.42</v>
      </c>
      <c r="D57" s="55" t="s">
        <v>287</v>
      </c>
      <c r="E57" s="73">
        <v>0</v>
      </c>
      <c r="F57" s="73">
        <v>80</v>
      </c>
      <c r="G57" s="31" t="str">
        <f>+J24</f>
        <v>Nueva Las Condes/El Golf</v>
      </c>
    </row>
    <row r="58" spans="1:7" ht="16.5" customHeight="1" x14ac:dyDescent="0.3">
      <c r="A58" s="44" t="s">
        <v>234</v>
      </c>
      <c r="B58" s="45">
        <v>1333.26</v>
      </c>
      <c r="D58" s="55" t="s">
        <v>289</v>
      </c>
      <c r="E58" s="73">
        <v>0</v>
      </c>
      <c r="F58" s="73">
        <v>0</v>
      </c>
      <c r="G58" s="31" t="str">
        <f>+J28</f>
        <v>Providencia</v>
      </c>
    </row>
    <row r="59" spans="1:7" ht="16.5" customHeight="1" x14ac:dyDescent="0.3">
      <c r="A59" s="42" t="s">
        <v>235</v>
      </c>
      <c r="B59" s="43">
        <v>1055.4000000000001</v>
      </c>
      <c r="D59" s="56" t="s">
        <v>286</v>
      </c>
      <c r="E59" s="73">
        <v>0</v>
      </c>
      <c r="F59" s="73">
        <v>0</v>
      </c>
      <c r="G59" s="31" t="str">
        <f>+J27</f>
        <v>Santiago Centro</v>
      </c>
    </row>
    <row r="60" spans="1:7" ht="16.5" customHeight="1" x14ac:dyDescent="0.3">
      <c r="A60" s="44" t="s">
        <v>236</v>
      </c>
      <c r="B60" s="45">
        <v>892</v>
      </c>
      <c r="D60" s="55" t="s">
        <v>285</v>
      </c>
      <c r="E60" s="73">
        <v>0</v>
      </c>
      <c r="F60" s="73">
        <v>0</v>
      </c>
      <c r="G60" s="31" t="str">
        <f>+J25</f>
        <v>San Damián/Apoquindo</v>
      </c>
    </row>
    <row r="61" spans="1:7" ht="16.5" customHeight="1" x14ac:dyDescent="0.3">
      <c r="A61" s="42" t="s">
        <v>237</v>
      </c>
      <c r="B61" s="43">
        <v>3239</v>
      </c>
      <c r="D61" s="55" t="str">
        <f>+D57</f>
        <v>Inm. Descubrimiento</v>
      </c>
      <c r="E61" s="73">
        <v>0</v>
      </c>
      <c r="F61" s="73">
        <v>0</v>
      </c>
      <c r="G61" s="31" t="str">
        <f>+J31</f>
        <v>Otros RM</v>
      </c>
    </row>
    <row r="62" spans="1:7" ht="16.5" customHeight="1" x14ac:dyDescent="0.3">
      <c r="A62" s="44" t="s">
        <v>238</v>
      </c>
      <c r="B62" s="45">
        <v>303</v>
      </c>
      <c r="D62" s="55" t="s">
        <v>287</v>
      </c>
      <c r="E62" s="73">
        <v>0</v>
      </c>
      <c r="F62" s="73">
        <v>0</v>
      </c>
      <c r="G62" s="31" t="str">
        <f>+J24</f>
        <v>Nueva Las Condes/El Golf</v>
      </c>
    </row>
    <row r="63" spans="1:7" ht="16.5" customHeight="1" x14ac:dyDescent="0.3">
      <c r="A63" s="42" t="s">
        <v>239</v>
      </c>
      <c r="B63" s="43">
        <v>630</v>
      </c>
      <c r="D63" s="55" t="s">
        <v>287</v>
      </c>
      <c r="E63" s="73">
        <v>0</v>
      </c>
      <c r="F63" s="73">
        <v>4</v>
      </c>
      <c r="G63" s="31" t="str">
        <f>+J30</f>
        <v>Otros Regiones</v>
      </c>
    </row>
    <row r="64" spans="1:7" ht="16.5" customHeight="1" x14ac:dyDescent="0.3">
      <c r="A64" s="44" t="s">
        <v>240</v>
      </c>
      <c r="B64" s="45">
        <v>857</v>
      </c>
      <c r="D64" s="56" t="s">
        <v>286</v>
      </c>
      <c r="E64" s="73">
        <v>0</v>
      </c>
      <c r="F64" s="73">
        <v>0</v>
      </c>
      <c r="G64" s="31" t="str">
        <f>+J31</f>
        <v>Otros RM</v>
      </c>
    </row>
    <row r="65" spans="1:11" ht="16.5" customHeight="1" x14ac:dyDescent="0.3">
      <c r="A65" s="42" t="s">
        <v>241</v>
      </c>
      <c r="B65" s="43">
        <v>541.4</v>
      </c>
      <c r="D65" s="56" t="s">
        <v>286</v>
      </c>
      <c r="E65" s="73">
        <v>0</v>
      </c>
      <c r="F65" s="73">
        <v>0</v>
      </c>
      <c r="G65" s="31" t="str">
        <f>+J25</f>
        <v>San Damián/Apoquindo</v>
      </c>
    </row>
    <row r="66" spans="1:11" ht="16.5" customHeight="1" x14ac:dyDescent="0.3">
      <c r="A66" s="44" t="s">
        <v>242</v>
      </c>
      <c r="B66" s="45">
        <v>535</v>
      </c>
      <c r="D66" s="55" t="str">
        <f>+D57</f>
        <v>Inm. Descubrimiento</v>
      </c>
      <c r="E66" s="73">
        <v>0</v>
      </c>
      <c r="F66" s="73">
        <v>0</v>
      </c>
      <c r="G66" s="31" t="str">
        <f>+J28</f>
        <v>Providencia</v>
      </c>
    </row>
    <row r="67" spans="1:11" ht="16.5" customHeight="1" x14ac:dyDescent="0.3">
      <c r="A67" s="42" t="s">
        <v>243</v>
      </c>
      <c r="B67" s="43">
        <v>369</v>
      </c>
      <c r="D67" s="55" t="str">
        <f>+D66</f>
        <v>Inm. Descubrimiento</v>
      </c>
      <c r="E67" s="73">
        <v>0</v>
      </c>
      <c r="F67" s="73">
        <v>3</v>
      </c>
      <c r="G67" s="31" t="str">
        <f>+J24</f>
        <v>Nueva Las Condes/El Golf</v>
      </c>
    </row>
    <row r="68" spans="1:11" ht="16.5" customHeight="1" x14ac:dyDescent="0.3">
      <c r="A68" s="44" t="s">
        <v>244</v>
      </c>
      <c r="B68" s="45">
        <v>235</v>
      </c>
      <c r="D68" s="56" t="s">
        <v>286</v>
      </c>
      <c r="E68" s="73">
        <v>0</v>
      </c>
      <c r="F68" s="73">
        <v>0</v>
      </c>
      <c r="G68" s="31" t="str">
        <f>+J31</f>
        <v>Otros RM</v>
      </c>
    </row>
    <row r="69" spans="1:11" ht="16.5" customHeight="1" x14ac:dyDescent="0.3">
      <c r="A69" s="42" t="s">
        <v>245</v>
      </c>
      <c r="B69" s="43">
        <v>1219.3800000000001</v>
      </c>
      <c r="D69" s="56" t="s">
        <v>286</v>
      </c>
      <c r="E69" s="73">
        <v>0</v>
      </c>
      <c r="F69" s="73">
        <v>0</v>
      </c>
      <c r="G69" s="31" t="str">
        <f>+J27</f>
        <v>Santiago Centro</v>
      </c>
    </row>
    <row r="70" spans="1:11" ht="16.5" customHeight="1" x14ac:dyDescent="0.3">
      <c r="A70" s="44" t="s">
        <v>246</v>
      </c>
      <c r="B70" s="45">
        <v>1489</v>
      </c>
      <c r="D70" s="55" t="str">
        <f>+D61</f>
        <v>Inm. Descubrimiento</v>
      </c>
      <c r="E70" s="73">
        <v>0</v>
      </c>
      <c r="F70" s="73">
        <v>0</v>
      </c>
      <c r="G70" s="31" t="str">
        <f>+J31</f>
        <v>Otros RM</v>
      </c>
    </row>
    <row r="71" spans="1:11" ht="16.5" customHeight="1" x14ac:dyDescent="0.3">
      <c r="A71" s="37"/>
      <c r="B71" s="35"/>
    </row>
    <row r="72" spans="1:11" ht="16.5" customHeight="1" x14ac:dyDescent="0.3">
      <c r="B72" s="39">
        <f>+SUM(B22:B71)</f>
        <v>51841.25</v>
      </c>
      <c r="C72" s="56"/>
    </row>
    <row r="73" spans="1:11" ht="16.5" customHeight="1" x14ac:dyDescent="0.3">
      <c r="B73" s="40"/>
    </row>
    <row r="74" spans="1:11" ht="16.5" customHeight="1" x14ac:dyDescent="0.3">
      <c r="A74" s="46" t="s">
        <v>247</v>
      </c>
      <c r="B74" s="47">
        <f>++B72+B19</f>
        <v>188632.19999999998</v>
      </c>
    </row>
    <row r="75" spans="1:11" ht="16.5" customHeight="1" x14ac:dyDescent="0.3">
      <c r="B75" s="40"/>
    </row>
    <row r="76" spans="1:11" ht="16.5" customHeight="1" x14ac:dyDescent="0.3">
      <c r="A76" s="48" t="s">
        <v>248</v>
      </c>
      <c r="B76" s="40"/>
    </row>
    <row r="77" spans="1:11" ht="16.5" customHeight="1" x14ac:dyDescent="0.3">
      <c r="A77" s="105" t="s">
        <v>249</v>
      </c>
      <c r="B77" s="106">
        <v>0.7</v>
      </c>
      <c r="C77" s="107"/>
      <c r="D77" s="106">
        <v>1</v>
      </c>
    </row>
    <row r="78" spans="1:11" ht="16.5" customHeight="1" x14ac:dyDescent="0.3">
      <c r="A78" s="31" t="s">
        <v>250</v>
      </c>
      <c r="B78" s="49">
        <v>41432</v>
      </c>
      <c r="D78" s="49">
        <v>59188.571428571435</v>
      </c>
      <c r="E78" s="50"/>
      <c r="F78" s="50"/>
      <c r="G78" s="31" t="str">
        <f>+J84</f>
        <v>Lampa</v>
      </c>
      <c r="J78" s="31" t="s">
        <v>335</v>
      </c>
      <c r="K78" s="55">
        <f>+SUMIF($G$78:$G$89,J78,$B$78:$B$89)</f>
        <v>332749.44</v>
      </c>
    </row>
    <row r="79" spans="1:11" ht="16.5" customHeight="1" x14ac:dyDescent="0.3">
      <c r="A79" s="31" t="s">
        <v>251</v>
      </c>
      <c r="B79" s="49">
        <v>19591</v>
      </c>
      <c r="D79" s="49">
        <v>27987.142857142859</v>
      </c>
      <c r="E79" s="50"/>
      <c r="G79" s="31" t="str">
        <f>+J84</f>
        <v>Lampa</v>
      </c>
      <c r="J79" s="31" t="s">
        <v>336</v>
      </c>
      <c r="K79" s="55">
        <f t="shared" ref="K79:K88" si="2">+SUMIF($G$78:$G$89,J79,$B$78:$B$89)</f>
        <v>0</v>
      </c>
    </row>
    <row r="80" spans="1:11" ht="16.5" customHeight="1" x14ac:dyDescent="0.3">
      <c r="A80" s="31" t="s">
        <v>252</v>
      </c>
      <c r="B80" s="49">
        <v>21984</v>
      </c>
      <c r="D80" s="49">
        <v>31405.714285714286</v>
      </c>
      <c r="E80" s="50"/>
      <c r="G80" s="31" t="str">
        <f>+J88</f>
        <v>Colina</v>
      </c>
      <c r="J80" s="31" t="s">
        <v>337</v>
      </c>
      <c r="K80" s="55">
        <f t="shared" si="2"/>
        <v>0</v>
      </c>
    </row>
    <row r="81" spans="1:14" ht="16.5" customHeight="1" x14ac:dyDescent="0.3">
      <c r="A81" s="31" t="s">
        <v>253</v>
      </c>
      <c r="B81" s="49">
        <v>27445</v>
      </c>
      <c r="D81" s="49">
        <v>39207.142857142862</v>
      </c>
      <c r="E81" s="50"/>
      <c r="G81" s="31" t="str">
        <f>+J81</f>
        <v>Quilicura</v>
      </c>
      <c r="J81" s="31" t="s">
        <v>338</v>
      </c>
      <c r="K81" s="55">
        <f t="shared" si="2"/>
        <v>237249</v>
      </c>
    </row>
    <row r="82" spans="1:14" ht="16.5" customHeight="1" x14ac:dyDescent="0.3">
      <c r="A82" s="31" t="s">
        <v>254</v>
      </c>
      <c r="B82" s="49">
        <v>84230</v>
      </c>
      <c r="D82" s="49">
        <v>120328.57142857143</v>
      </c>
      <c r="E82" s="50"/>
      <c r="G82" s="31" t="str">
        <f>+J81</f>
        <v>Quilicura</v>
      </c>
      <c r="J82" s="31" t="s">
        <v>339</v>
      </c>
      <c r="K82" s="55">
        <f t="shared" si="2"/>
        <v>0</v>
      </c>
    </row>
    <row r="83" spans="1:14" ht="16.5" customHeight="1" x14ac:dyDescent="0.3">
      <c r="A83" s="31" t="s">
        <v>255</v>
      </c>
      <c r="B83" s="49">
        <v>33629</v>
      </c>
      <c r="D83" s="49">
        <v>48041.428571428572</v>
      </c>
      <c r="E83" s="50"/>
      <c r="G83" s="31" t="str">
        <f>+J81</f>
        <v>Quilicura</v>
      </c>
      <c r="J83" s="31" t="s">
        <v>340</v>
      </c>
      <c r="K83" s="55">
        <f t="shared" si="2"/>
        <v>0</v>
      </c>
    </row>
    <row r="84" spans="1:14" ht="16.5" customHeight="1" x14ac:dyDescent="0.3">
      <c r="A84" s="116" t="s">
        <v>363</v>
      </c>
      <c r="B84" s="49">
        <f>+(D84)*0.7</f>
        <v>91945</v>
      </c>
      <c r="D84" s="49">
        <f>88750+42600</f>
        <v>131350</v>
      </c>
      <c r="G84" s="31" t="str">
        <f>+J81</f>
        <v>Quilicura</v>
      </c>
      <c r="J84" s="31" t="s">
        <v>341</v>
      </c>
      <c r="K84" s="55">
        <f t="shared" si="2"/>
        <v>61023</v>
      </c>
      <c r="N84" s="62"/>
    </row>
    <row r="85" spans="1:14" ht="16.5" customHeight="1" x14ac:dyDescent="0.3">
      <c r="A85" s="31" t="s">
        <v>256</v>
      </c>
      <c r="B85" s="49">
        <v>11763</v>
      </c>
      <c r="D85" s="49">
        <v>16804.285714285714</v>
      </c>
      <c r="E85" s="50"/>
      <c r="G85" s="31" t="str">
        <f>+J85</f>
        <v>Otros Regiones</v>
      </c>
      <c r="J85" s="31" t="s">
        <v>342</v>
      </c>
      <c r="K85" s="55">
        <f t="shared" si="2"/>
        <v>15313</v>
      </c>
    </row>
    <row r="86" spans="1:14" ht="16.5" customHeight="1" x14ac:dyDescent="0.3">
      <c r="A86" s="31" t="s">
        <v>257</v>
      </c>
      <c r="B86" s="49">
        <v>3550</v>
      </c>
      <c r="D86" s="49">
        <v>5071.4285714285716</v>
      </c>
      <c r="E86" s="50"/>
      <c r="G86" s="31" t="str">
        <f>+J85</f>
        <v>Otros Regiones</v>
      </c>
      <c r="J86" s="31" t="s">
        <v>343</v>
      </c>
      <c r="K86" s="55">
        <f t="shared" si="2"/>
        <v>0</v>
      </c>
    </row>
    <row r="87" spans="1:14" ht="16.350000000000001" customHeight="1" x14ac:dyDescent="0.3">
      <c r="A87" s="31" t="s">
        <v>258</v>
      </c>
      <c r="B87" s="49">
        <v>130997</v>
      </c>
      <c r="D87" s="49">
        <v>187138.57142857145</v>
      </c>
      <c r="E87" s="50"/>
      <c r="G87" s="31" t="str">
        <f>+J78</f>
        <v>Pudahuel</v>
      </c>
      <c r="J87" s="31" t="s">
        <v>344</v>
      </c>
      <c r="K87" s="55">
        <f t="shared" si="2"/>
        <v>0</v>
      </c>
    </row>
    <row r="88" spans="1:14" x14ac:dyDescent="0.3">
      <c r="A88" s="31" t="s">
        <v>259</v>
      </c>
      <c r="B88" s="49">
        <f>+D88*0.7</f>
        <v>146945.79999999999</v>
      </c>
      <c r="D88" s="49">
        <v>209922.57142857142</v>
      </c>
      <c r="E88" s="50"/>
      <c r="G88" s="31" t="str">
        <f>+J78</f>
        <v>Pudahuel</v>
      </c>
      <c r="H88" s="50"/>
      <c r="J88" s="31" t="s">
        <v>345</v>
      </c>
      <c r="K88" s="55">
        <f t="shared" si="2"/>
        <v>21984</v>
      </c>
    </row>
    <row r="89" spans="1:14" x14ac:dyDescent="0.3">
      <c r="A89" s="31" t="s">
        <v>260</v>
      </c>
      <c r="B89" s="49">
        <f>+D89*0.7</f>
        <v>54806.639999999992</v>
      </c>
      <c r="D89" s="49">
        <f>78295.2</f>
        <v>78295.199999999997</v>
      </c>
      <c r="E89" s="60"/>
      <c r="G89" s="31" t="str">
        <f>+J78</f>
        <v>Pudahuel</v>
      </c>
      <c r="H89" s="50"/>
    </row>
    <row r="90" spans="1:14" ht="14.4" x14ac:dyDescent="0.3">
      <c r="A90" s="51" t="s">
        <v>261</v>
      </c>
      <c r="B90" s="47">
        <f>+SUM(B78:B89)</f>
        <v>668318.44000000006</v>
      </c>
      <c r="D90" s="47">
        <f>SUM(D78:D89)</f>
        <v>954740.62857142859</v>
      </c>
      <c r="E90" s="61"/>
      <c r="F90" s="50"/>
      <c r="H90" s="62"/>
    </row>
    <row r="91" spans="1:14" x14ac:dyDescent="0.3">
      <c r="B91" s="35"/>
    </row>
    <row r="92" spans="1:14" ht="18" x14ac:dyDescent="0.35">
      <c r="A92" s="52" t="s">
        <v>262</v>
      </c>
      <c r="B92" s="53">
        <f>+B90+B74</f>
        <v>856950.64</v>
      </c>
    </row>
    <row r="93" spans="1:14" x14ac:dyDescent="0.3">
      <c r="B93" s="35"/>
    </row>
    <row r="94" spans="1:14" x14ac:dyDescent="0.3">
      <c r="A94" s="51" t="s">
        <v>267</v>
      </c>
      <c r="B94" s="54"/>
    </row>
    <row r="95" spans="1:14" x14ac:dyDescent="0.3">
      <c r="A95" s="31" t="s">
        <v>263</v>
      </c>
      <c r="B95" s="55">
        <f>+B120</f>
        <v>110711.25</v>
      </c>
    </row>
    <row r="96" spans="1:14" x14ac:dyDescent="0.3">
      <c r="A96" s="31" t="s">
        <v>264</v>
      </c>
      <c r="B96" s="56">
        <f>142740+338000*0.7</f>
        <v>379340</v>
      </c>
    </row>
    <row r="98" spans="1:4" x14ac:dyDescent="0.3">
      <c r="A98" s="51" t="s">
        <v>265</v>
      </c>
      <c r="B98" s="54"/>
    </row>
    <row r="99" spans="1:4" x14ac:dyDescent="0.3">
      <c r="A99" s="31" t="s">
        <v>266</v>
      </c>
      <c r="B99" s="55">
        <v>17456</v>
      </c>
    </row>
    <row r="103" spans="1:4" ht="15.6" x14ac:dyDescent="0.3">
      <c r="A103" s="78" t="s">
        <v>295</v>
      </c>
    </row>
    <row r="104" spans="1:4" x14ac:dyDescent="0.3">
      <c r="A104" s="48" t="s">
        <v>296</v>
      </c>
    </row>
    <row r="105" spans="1:4" x14ac:dyDescent="0.3">
      <c r="A105" s="31" t="s">
        <v>297</v>
      </c>
      <c r="B105" s="35">
        <v>1489</v>
      </c>
      <c r="D105" s="55" t="s">
        <v>287</v>
      </c>
    </row>
    <row r="106" spans="1:4" x14ac:dyDescent="0.3">
      <c r="A106" s="79" t="s">
        <v>298</v>
      </c>
      <c r="B106" s="35"/>
    </row>
    <row r="107" spans="1:4" x14ac:dyDescent="0.3">
      <c r="A107" s="80" t="s">
        <v>299</v>
      </c>
      <c r="B107" s="35">
        <v>8000</v>
      </c>
      <c r="D107" s="55" t="s">
        <v>287</v>
      </c>
    </row>
    <row r="108" spans="1:4" x14ac:dyDescent="0.3">
      <c r="A108" s="48" t="s">
        <v>300</v>
      </c>
    </row>
    <row r="109" spans="1:4" x14ac:dyDescent="0.3">
      <c r="A109" s="80" t="s">
        <v>301</v>
      </c>
      <c r="B109" s="35">
        <v>462</v>
      </c>
      <c r="D109" s="55" t="s">
        <v>350</v>
      </c>
    </row>
    <row r="110" spans="1:4" x14ac:dyDescent="0.3">
      <c r="A110" s="80" t="s">
        <v>302</v>
      </c>
      <c r="B110" s="35">
        <v>558</v>
      </c>
      <c r="D110" s="55" t="s">
        <v>350</v>
      </c>
    </row>
    <row r="111" spans="1:4" x14ac:dyDescent="0.3">
      <c r="A111" s="80" t="s">
        <v>303</v>
      </c>
      <c r="B111" s="35">
        <v>525</v>
      </c>
      <c r="D111" s="55" t="s">
        <v>350</v>
      </c>
    </row>
    <row r="112" spans="1:4" x14ac:dyDescent="0.3">
      <c r="A112" s="80" t="s">
        <v>304</v>
      </c>
      <c r="B112" s="35">
        <v>496</v>
      </c>
      <c r="D112" s="55" t="s">
        <v>350</v>
      </c>
    </row>
    <row r="113" spans="1:6" x14ac:dyDescent="0.3">
      <c r="A113" s="80" t="s">
        <v>305</v>
      </c>
      <c r="B113" s="35">
        <v>129</v>
      </c>
      <c r="D113" s="55" t="s">
        <v>284</v>
      </c>
      <c r="E113" s="73">
        <v>3.76</v>
      </c>
      <c r="F113" s="73">
        <v>1</v>
      </c>
    </row>
    <row r="114" spans="1:6" x14ac:dyDescent="0.3">
      <c r="A114" s="48" t="s">
        <v>306</v>
      </c>
    </row>
    <row r="115" spans="1:6" x14ac:dyDescent="0.3">
      <c r="A115" s="80" t="s">
        <v>307</v>
      </c>
      <c r="B115" s="35">
        <v>9368</v>
      </c>
      <c r="D115" s="55" t="s">
        <v>350</v>
      </c>
    </row>
    <row r="116" spans="1:6" x14ac:dyDescent="0.3">
      <c r="A116" s="80" t="s">
        <v>308</v>
      </c>
      <c r="B116" s="35">
        <v>6193</v>
      </c>
      <c r="D116" s="55" t="s">
        <v>350</v>
      </c>
    </row>
    <row r="117" spans="1:6" x14ac:dyDescent="0.3">
      <c r="A117" s="80" t="s">
        <v>309</v>
      </c>
      <c r="B117" s="35">
        <v>83037.5</v>
      </c>
      <c r="D117" s="55" t="s">
        <v>350</v>
      </c>
    </row>
    <row r="118" spans="1:6" x14ac:dyDescent="0.3">
      <c r="A118" s="80" t="s">
        <v>310</v>
      </c>
      <c r="B118" s="35">
        <v>453.75</v>
      </c>
      <c r="D118" s="55" t="s">
        <v>287</v>
      </c>
    </row>
    <row r="120" spans="1:6" x14ac:dyDescent="0.3">
      <c r="A120" s="48" t="s">
        <v>92</v>
      </c>
      <c r="B120" s="81">
        <f>+SUM(B104:B119)</f>
        <v>110711.25</v>
      </c>
    </row>
    <row r="123" spans="1:6" x14ac:dyDescent="0.3">
      <c r="B123" s="62"/>
    </row>
    <row r="124" spans="1:6" x14ac:dyDescent="0.3">
      <c r="B124" s="62"/>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046D-FF58-476C-8DBE-ACEB191C8117}">
  <dimension ref="B2:Q45"/>
  <sheetViews>
    <sheetView zoomScale="70" zoomScaleNormal="70" workbookViewId="0">
      <selection activeCell="B1" sqref="B1"/>
    </sheetView>
  </sheetViews>
  <sheetFormatPr baseColWidth="10" defaultColWidth="11.44140625" defaultRowHeight="18" x14ac:dyDescent="0.35"/>
  <cols>
    <col min="1" max="1" width="3" style="17" customWidth="1"/>
    <col min="2" max="2" width="29.5546875" style="17" bestFit="1" customWidth="1"/>
    <col min="3" max="3" width="28.5546875" style="17" bestFit="1" customWidth="1"/>
    <col min="4" max="4" width="8" style="17" customWidth="1"/>
    <col min="5" max="5" width="24.5546875" style="17" bestFit="1" customWidth="1"/>
    <col min="6" max="6" width="8" style="17" customWidth="1"/>
    <col min="7" max="7" width="28.44140625" style="17" bestFit="1" customWidth="1"/>
    <col min="8" max="8" width="7.5546875" style="17" customWidth="1"/>
    <col min="9" max="9" width="20.5546875" style="17" customWidth="1"/>
    <col min="10" max="10" width="12.5546875" style="17" customWidth="1"/>
    <col min="11" max="11" width="19.44140625" style="17" bestFit="1" customWidth="1"/>
    <col min="12" max="12" width="9" style="17" bestFit="1" customWidth="1"/>
    <col min="13" max="13" width="18.44140625" style="17" customWidth="1"/>
    <col min="14" max="14" width="8.5546875" style="17" bestFit="1" customWidth="1"/>
    <col min="15" max="15" width="11.44140625" style="17"/>
    <col min="16" max="16" width="29.5546875" style="17" bestFit="1" customWidth="1"/>
    <col min="17" max="17" width="12" style="17" bestFit="1" customWidth="1"/>
    <col min="18" max="18" width="9.5546875" style="17" bestFit="1" customWidth="1"/>
    <col min="19" max="19" width="8.44140625" style="17" bestFit="1" customWidth="1"/>
    <col min="20" max="16384" width="11.44140625" style="17"/>
  </cols>
  <sheetData>
    <row r="2" spans="2:17" x14ac:dyDescent="0.35">
      <c r="B2" s="132" t="s">
        <v>365</v>
      </c>
      <c r="C2" s="132"/>
      <c r="D2" s="132"/>
      <c r="E2" s="132"/>
      <c r="F2" s="132"/>
      <c r="G2" s="132"/>
    </row>
    <row r="3" spans="2:17" x14ac:dyDescent="0.35">
      <c r="K3" s="88"/>
      <c r="L3" s="88"/>
    </row>
    <row r="4" spans="2:17" x14ac:dyDescent="0.35">
      <c r="B4" s="89" t="s">
        <v>352</v>
      </c>
      <c r="C4" s="89" t="s">
        <v>191</v>
      </c>
      <c r="D4" s="89"/>
      <c r="E4" s="89" t="s">
        <v>333</v>
      </c>
      <c r="F4" s="89"/>
      <c r="G4" s="89" t="s">
        <v>334</v>
      </c>
      <c r="H4" s="15"/>
      <c r="I4" s="15"/>
      <c r="J4" s="15"/>
      <c r="K4" s="90"/>
      <c r="L4" s="91"/>
    </row>
    <row r="5" spans="2:17" x14ac:dyDescent="0.35">
      <c r="B5" s="17" t="s">
        <v>353</v>
      </c>
      <c r="C5" s="96">
        <v>0</v>
      </c>
      <c r="D5" s="98">
        <v>0</v>
      </c>
      <c r="E5" s="96">
        <v>0</v>
      </c>
      <c r="F5" s="98">
        <v>0</v>
      </c>
      <c r="G5" s="96">
        <v>332749.44</v>
      </c>
      <c r="H5" s="98">
        <v>0.52114370083660666</v>
      </c>
      <c r="I5" s="92"/>
      <c r="J5" s="92"/>
      <c r="L5" s="91"/>
      <c r="M5" s="91"/>
      <c r="N5" s="91"/>
      <c r="O5" s="91"/>
      <c r="P5" s="91"/>
      <c r="Q5" s="91"/>
    </row>
    <row r="6" spans="2:17" x14ac:dyDescent="0.35">
      <c r="B6" s="17" t="s">
        <v>336</v>
      </c>
      <c r="C6" s="96">
        <v>34981.53</v>
      </c>
      <c r="D6" s="92">
        <v>0.25491734677481359</v>
      </c>
      <c r="E6" s="96">
        <v>5400.3499999999995</v>
      </c>
      <c r="F6" s="92">
        <v>0.10156961911040183</v>
      </c>
      <c r="G6" s="96">
        <v>0</v>
      </c>
      <c r="H6" s="92">
        <v>0</v>
      </c>
      <c r="I6" s="92"/>
      <c r="J6" s="92"/>
      <c r="L6" s="91"/>
      <c r="M6" s="91"/>
      <c r="N6" s="91"/>
      <c r="O6" s="91"/>
      <c r="P6" s="91"/>
      <c r="Q6" s="91"/>
    </row>
    <row r="7" spans="2:17" x14ac:dyDescent="0.35">
      <c r="B7" s="17" t="s">
        <v>337</v>
      </c>
      <c r="C7" s="96">
        <v>35871.509999999995</v>
      </c>
      <c r="D7" s="92">
        <v>0.26140280753889816</v>
      </c>
      <c r="E7" s="96">
        <v>7669.82</v>
      </c>
      <c r="F7" s="92">
        <v>0.14425374208066924</v>
      </c>
      <c r="G7" s="96">
        <v>0</v>
      </c>
      <c r="H7" s="92">
        <v>0</v>
      </c>
      <c r="I7" s="92"/>
      <c r="J7" s="92"/>
      <c r="L7" s="91"/>
      <c r="M7" s="91"/>
      <c r="N7" s="91"/>
      <c r="O7" s="91"/>
      <c r="P7" s="91"/>
      <c r="Q7" s="91"/>
    </row>
    <row r="8" spans="2:17" x14ac:dyDescent="0.35">
      <c r="B8" s="17" t="s">
        <v>354</v>
      </c>
      <c r="C8" s="96">
        <v>0</v>
      </c>
      <c r="D8" s="92">
        <v>0</v>
      </c>
      <c r="E8" s="96">
        <v>0</v>
      </c>
      <c r="F8" s="92">
        <v>0</v>
      </c>
      <c r="G8" s="96">
        <v>207429</v>
      </c>
      <c r="H8" s="92">
        <v>0.32487001847647429</v>
      </c>
      <c r="I8" s="92"/>
      <c r="J8" s="92"/>
      <c r="L8" s="91"/>
      <c r="M8" s="91"/>
      <c r="N8" s="91"/>
      <c r="O8" s="91"/>
      <c r="P8" s="91"/>
      <c r="Q8" s="91"/>
    </row>
    <row r="9" spans="2:17" x14ac:dyDescent="0.35">
      <c r="B9" s="17" t="s">
        <v>339</v>
      </c>
      <c r="C9" s="96">
        <v>30226.67</v>
      </c>
      <c r="D9" s="92">
        <v>0.22026773895360935</v>
      </c>
      <c r="E9" s="96">
        <v>15324.779999999999</v>
      </c>
      <c r="F9" s="92">
        <v>0.28822799773175883</v>
      </c>
      <c r="G9" s="96">
        <v>0</v>
      </c>
      <c r="H9" s="92">
        <v>0</v>
      </c>
      <c r="I9" s="92"/>
      <c r="J9" s="92"/>
      <c r="L9" s="91"/>
      <c r="M9" s="91"/>
      <c r="N9" s="91"/>
      <c r="O9" s="91"/>
      <c r="P9" s="91"/>
      <c r="Q9" s="91"/>
    </row>
    <row r="10" spans="2:17" x14ac:dyDescent="0.35">
      <c r="B10" s="17" t="s">
        <v>340</v>
      </c>
      <c r="C10" s="96">
        <v>27241.31</v>
      </c>
      <c r="D10" s="92">
        <v>0.19851282856610894</v>
      </c>
      <c r="E10" s="96">
        <v>2865.26</v>
      </c>
      <c r="F10" s="92">
        <v>5.3889723231322038E-2</v>
      </c>
      <c r="G10" s="96">
        <v>0</v>
      </c>
      <c r="H10" s="92">
        <v>0</v>
      </c>
      <c r="I10" s="92"/>
      <c r="J10" s="92"/>
      <c r="L10" s="91"/>
      <c r="M10" s="91"/>
      <c r="N10" s="91"/>
      <c r="O10" s="91"/>
      <c r="P10" s="91"/>
      <c r="Q10" s="91"/>
    </row>
    <row r="11" spans="2:17" x14ac:dyDescent="0.35">
      <c r="B11" s="17" t="s">
        <v>341</v>
      </c>
      <c r="C11" s="96">
        <v>0</v>
      </c>
      <c r="D11" s="92">
        <v>0</v>
      </c>
      <c r="E11" s="96">
        <v>0</v>
      </c>
      <c r="F11" s="92">
        <v>0</v>
      </c>
      <c r="G11" s="96">
        <v>61023</v>
      </c>
      <c r="H11" s="92">
        <v>9.5572668901117444E-2</v>
      </c>
      <c r="I11" s="92"/>
      <c r="J11" s="92"/>
      <c r="L11" s="91"/>
      <c r="M11" s="91"/>
      <c r="N11" s="91"/>
      <c r="O11" s="91"/>
      <c r="P11" s="91"/>
      <c r="Q11" s="91"/>
    </row>
    <row r="12" spans="2:17" x14ac:dyDescent="0.35">
      <c r="B12" s="17" t="s">
        <v>342</v>
      </c>
      <c r="C12" s="96">
        <v>0</v>
      </c>
      <c r="D12" s="92">
        <v>0</v>
      </c>
      <c r="E12" s="96">
        <v>16958.980000000003</v>
      </c>
      <c r="F12" s="92">
        <v>0.31896398179764696</v>
      </c>
      <c r="G12" s="96">
        <v>15313</v>
      </c>
      <c r="H12" s="92">
        <v>2.3982830717644354E-2</v>
      </c>
      <c r="I12" s="92"/>
      <c r="J12" s="92"/>
      <c r="L12" s="91"/>
      <c r="M12" s="91"/>
      <c r="N12" s="91"/>
      <c r="O12" s="91"/>
      <c r="P12" s="91"/>
      <c r="Q12" s="91"/>
    </row>
    <row r="13" spans="2:17" x14ac:dyDescent="0.35">
      <c r="B13" s="17" t="s">
        <v>343</v>
      </c>
      <c r="C13" s="96">
        <v>0</v>
      </c>
      <c r="D13" s="92">
        <v>0</v>
      </c>
      <c r="E13" s="96">
        <v>4949.76</v>
      </c>
      <c r="F13" s="92">
        <v>9.3094936048201057E-2</v>
      </c>
      <c r="G13" s="96">
        <v>0</v>
      </c>
      <c r="H13" s="92">
        <v>0</v>
      </c>
      <c r="I13" s="92"/>
      <c r="J13" s="92"/>
      <c r="L13" s="91"/>
      <c r="M13" s="91"/>
      <c r="N13" s="91"/>
      <c r="O13" s="91"/>
      <c r="P13" s="91"/>
      <c r="Q13" s="91"/>
    </row>
    <row r="14" spans="2:17" x14ac:dyDescent="0.35">
      <c r="B14" s="17" t="s">
        <v>344</v>
      </c>
      <c r="C14" s="96">
        <v>8905.93</v>
      </c>
      <c r="D14" s="92">
        <v>6.4899278166570054E-2</v>
      </c>
      <c r="E14" s="96">
        <v>0</v>
      </c>
      <c r="F14" s="92">
        <v>0</v>
      </c>
      <c r="G14" s="96">
        <v>0</v>
      </c>
      <c r="H14" s="92">
        <v>0</v>
      </c>
      <c r="I14" s="92"/>
      <c r="J14" s="92"/>
      <c r="L14" s="91"/>
      <c r="M14" s="91"/>
      <c r="N14" s="91"/>
      <c r="O14" s="91"/>
      <c r="P14" s="91"/>
      <c r="Q14" s="91"/>
    </row>
    <row r="15" spans="2:17" x14ac:dyDescent="0.35">
      <c r="B15" s="93" t="s">
        <v>345</v>
      </c>
      <c r="C15" s="94">
        <v>0</v>
      </c>
      <c r="D15" s="100">
        <v>0</v>
      </c>
      <c r="E15" s="94">
        <v>0</v>
      </c>
      <c r="F15" s="100">
        <v>0</v>
      </c>
      <c r="G15" s="94">
        <v>21984</v>
      </c>
      <c r="H15" s="100">
        <v>3.4430781068157348E-2</v>
      </c>
      <c r="I15" s="92"/>
      <c r="J15" s="92"/>
      <c r="L15" s="91"/>
      <c r="M15" s="91"/>
      <c r="N15" s="91"/>
      <c r="O15" s="91"/>
      <c r="P15" s="91"/>
      <c r="Q15" s="91"/>
    </row>
    <row r="16" spans="2:17" x14ac:dyDescent="0.35">
      <c r="C16" s="96">
        <v>137226.94999999998</v>
      </c>
      <c r="D16" s="96"/>
      <c r="E16" s="96">
        <v>53168.950000000004</v>
      </c>
      <c r="F16" s="96"/>
      <c r="G16" s="96">
        <v>638498.43999999994</v>
      </c>
      <c r="H16" s="96"/>
      <c r="I16" s="96"/>
      <c r="J16" s="96"/>
      <c r="K16" s="91"/>
    </row>
    <row r="17" spans="2:14" x14ac:dyDescent="0.35">
      <c r="E17" s="96"/>
      <c r="F17" s="96"/>
      <c r="G17" s="96"/>
      <c r="H17" s="96"/>
      <c r="I17" s="96"/>
      <c r="J17" s="96"/>
    </row>
    <row r="19" spans="2:14" x14ac:dyDescent="0.35">
      <c r="B19" s="89" t="s">
        <v>355</v>
      </c>
      <c r="C19" s="131" t="s">
        <v>191</v>
      </c>
      <c r="D19" s="131"/>
      <c r="E19" s="131" t="s">
        <v>333</v>
      </c>
      <c r="F19" s="131"/>
      <c r="G19" s="131" t="s">
        <v>334</v>
      </c>
      <c r="H19" s="131"/>
      <c r="I19" s="131" t="s">
        <v>356</v>
      </c>
      <c r="J19" s="131"/>
      <c r="K19" s="131" t="s">
        <v>346</v>
      </c>
      <c r="L19" s="131"/>
      <c r="M19" s="130" t="s">
        <v>347</v>
      </c>
      <c r="N19" s="131"/>
    </row>
    <row r="20" spans="2:14" x14ac:dyDescent="0.35">
      <c r="B20" s="17" t="s">
        <v>353</v>
      </c>
      <c r="C20" s="96">
        <v>0</v>
      </c>
      <c r="D20" s="92">
        <v>0</v>
      </c>
      <c r="E20" s="96">
        <v>0</v>
      </c>
      <c r="F20" s="92">
        <v>0</v>
      </c>
      <c r="G20" s="96">
        <v>7899002.2999999998</v>
      </c>
      <c r="H20" s="92">
        <v>0.25744363808670589</v>
      </c>
      <c r="I20" s="96">
        <v>0</v>
      </c>
      <c r="J20" s="92">
        <v>0</v>
      </c>
      <c r="K20" s="96">
        <v>0</v>
      </c>
      <c r="L20" s="92">
        <v>0</v>
      </c>
      <c r="M20" s="97">
        <v>7899002.2999999998</v>
      </c>
      <c r="N20" s="98">
        <v>0.25744363808670589</v>
      </c>
    </row>
    <row r="21" spans="2:14" x14ac:dyDescent="0.35">
      <c r="B21" s="17" t="s">
        <v>336</v>
      </c>
      <c r="C21" s="96">
        <v>3822843</v>
      </c>
      <c r="D21" s="92">
        <v>0.12459378695892988</v>
      </c>
      <c r="E21" s="96">
        <v>498491</v>
      </c>
      <c r="F21" s="92">
        <v>1.6246777975172905E-2</v>
      </c>
      <c r="G21" s="96">
        <v>0</v>
      </c>
      <c r="H21" s="92">
        <v>0</v>
      </c>
      <c r="I21" s="96">
        <v>585058</v>
      </c>
      <c r="J21" s="92">
        <v>1.9068162571839228E-2</v>
      </c>
      <c r="K21" s="96">
        <v>8233</v>
      </c>
      <c r="L21" s="92">
        <v>2.6832926385751904E-4</v>
      </c>
      <c r="M21" s="97">
        <v>4914625</v>
      </c>
      <c r="N21" s="92">
        <v>0.16017705676979954</v>
      </c>
    </row>
    <row r="22" spans="2:14" x14ac:dyDescent="0.35">
      <c r="B22" s="17" t="s">
        <v>337</v>
      </c>
      <c r="C22" s="96">
        <v>2402253</v>
      </c>
      <c r="D22" s="92">
        <v>7.8294033655959758E-2</v>
      </c>
      <c r="E22" s="96">
        <v>829002</v>
      </c>
      <c r="F22" s="92">
        <v>2.7018765504240375E-2</v>
      </c>
      <c r="G22" s="96">
        <v>0</v>
      </c>
      <c r="H22" s="92">
        <v>0</v>
      </c>
      <c r="I22" s="96">
        <v>699229</v>
      </c>
      <c r="J22" s="92">
        <v>2.2789214482913784E-2</v>
      </c>
      <c r="K22" s="96">
        <v>181721</v>
      </c>
      <c r="L22" s="92">
        <v>5.9226359962895932E-3</v>
      </c>
      <c r="M22" s="97">
        <v>4112205</v>
      </c>
      <c r="N22" s="92">
        <v>0.1340246496394035</v>
      </c>
    </row>
    <row r="23" spans="2:14" x14ac:dyDescent="0.35">
      <c r="B23" s="17" t="s">
        <v>354</v>
      </c>
      <c r="C23" s="96">
        <v>0</v>
      </c>
      <c r="D23" s="92">
        <v>0</v>
      </c>
      <c r="E23" s="96">
        <v>0</v>
      </c>
      <c r="F23" s="92">
        <v>0</v>
      </c>
      <c r="G23" s="96">
        <v>4837175.5999999996</v>
      </c>
      <c r="H23" s="92">
        <v>0.15765283224797194</v>
      </c>
      <c r="I23" s="96">
        <v>0</v>
      </c>
      <c r="J23" s="92">
        <v>0</v>
      </c>
      <c r="K23" s="96">
        <v>0</v>
      </c>
      <c r="L23" s="92">
        <v>0</v>
      </c>
      <c r="M23" s="97">
        <v>4837175.5999999996</v>
      </c>
      <c r="N23" s="92">
        <v>0.15765283224797194</v>
      </c>
    </row>
    <row r="24" spans="2:14" x14ac:dyDescent="0.35">
      <c r="B24" s="17" t="s">
        <v>339</v>
      </c>
      <c r="C24" s="96">
        <v>1536124</v>
      </c>
      <c r="D24" s="92">
        <v>5.0065227998769293E-2</v>
      </c>
      <c r="E24" s="96">
        <v>1086796</v>
      </c>
      <c r="F24" s="92">
        <v>3.5420766505926911E-2</v>
      </c>
      <c r="G24" s="96">
        <v>0</v>
      </c>
      <c r="H24" s="92">
        <v>0</v>
      </c>
      <c r="I24" s="96">
        <v>94533</v>
      </c>
      <c r="J24" s="92">
        <v>3.0810118183217353E-3</v>
      </c>
      <c r="K24" s="96">
        <v>0</v>
      </c>
      <c r="L24" s="92">
        <v>0</v>
      </c>
      <c r="M24" s="97">
        <v>2717453</v>
      </c>
      <c r="N24" s="92">
        <v>8.8567006323017936E-2</v>
      </c>
    </row>
    <row r="25" spans="2:14" x14ac:dyDescent="0.35">
      <c r="B25" s="17" t="s">
        <v>340</v>
      </c>
      <c r="C25" s="96">
        <v>1740883</v>
      </c>
      <c r="D25" s="92">
        <v>5.6738716610235558E-2</v>
      </c>
      <c r="E25" s="96">
        <v>213286</v>
      </c>
      <c r="F25" s="92">
        <v>6.951399899321609E-3</v>
      </c>
      <c r="G25" s="96">
        <v>0</v>
      </c>
      <c r="H25" s="92">
        <v>0</v>
      </c>
      <c r="I25" s="96">
        <v>167906</v>
      </c>
      <c r="J25" s="92">
        <v>5.4723786441467984E-3</v>
      </c>
      <c r="K25" s="96">
        <v>0</v>
      </c>
      <c r="L25" s="92">
        <v>0</v>
      </c>
      <c r="M25" s="97">
        <v>2122075</v>
      </c>
      <c r="N25" s="92">
        <v>6.9162495153703957E-2</v>
      </c>
    </row>
    <row r="26" spans="2:14" x14ac:dyDescent="0.35">
      <c r="B26" s="17" t="s">
        <v>341</v>
      </c>
      <c r="C26" s="96">
        <v>0</v>
      </c>
      <c r="D26" s="92">
        <v>0</v>
      </c>
      <c r="E26" s="96">
        <v>0</v>
      </c>
      <c r="F26" s="92">
        <v>0</v>
      </c>
      <c r="G26" s="96">
        <v>1483134.0999999999</v>
      </c>
      <c r="H26" s="92">
        <v>4.8338185504067044E-2</v>
      </c>
      <c r="I26" s="96">
        <v>0</v>
      </c>
      <c r="J26" s="92">
        <v>0</v>
      </c>
      <c r="K26" s="96">
        <v>0</v>
      </c>
      <c r="L26" s="92">
        <v>0</v>
      </c>
      <c r="M26" s="97">
        <v>1483134.0999999999</v>
      </c>
      <c r="N26" s="92">
        <v>4.8338185504067044E-2</v>
      </c>
    </row>
    <row r="27" spans="2:14" x14ac:dyDescent="0.35">
      <c r="B27" s="17" t="s">
        <v>342</v>
      </c>
      <c r="C27" s="96">
        <v>0</v>
      </c>
      <c r="D27" s="92">
        <v>0</v>
      </c>
      <c r="E27" s="96">
        <v>872929</v>
      </c>
      <c r="F27" s="92">
        <v>2.8450430702038169E-2</v>
      </c>
      <c r="G27" s="96">
        <v>286987.39999999997</v>
      </c>
      <c r="H27" s="92">
        <v>9.3534699111360812E-3</v>
      </c>
      <c r="I27" s="96">
        <v>0</v>
      </c>
      <c r="J27" s="92">
        <v>0</v>
      </c>
      <c r="K27" s="96">
        <v>0</v>
      </c>
      <c r="L27" s="92">
        <v>0</v>
      </c>
      <c r="M27" s="97">
        <v>1159916.3999999999</v>
      </c>
      <c r="N27" s="92">
        <v>3.7803900613174249E-2</v>
      </c>
    </row>
    <row r="28" spans="2:14" x14ac:dyDescent="0.35">
      <c r="B28" s="17" t="s">
        <v>343</v>
      </c>
      <c r="C28" s="96">
        <v>0</v>
      </c>
      <c r="D28" s="92">
        <v>0</v>
      </c>
      <c r="E28" s="96">
        <v>439741</v>
      </c>
      <c r="F28" s="92">
        <v>1.4332002771525481E-2</v>
      </c>
      <c r="G28" s="96">
        <v>0</v>
      </c>
      <c r="H28" s="92">
        <v>0</v>
      </c>
      <c r="I28" s="96">
        <v>0</v>
      </c>
      <c r="J28" s="92">
        <v>0</v>
      </c>
      <c r="K28" s="96">
        <v>239416</v>
      </c>
      <c r="L28" s="92">
        <v>7.8030267260672638E-3</v>
      </c>
      <c r="M28" s="97">
        <v>679157</v>
      </c>
      <c r="N28" s="92">
        <v>2.2135029497592745E-2</v>
      </c>
    </row>
    <row r="29" spans="2:14" x14ac:dyDescent="0.35">
      <c r="B29" s="17" t="s">
        <v>344</v>
      </c>
      <c r="C29" s="96">
        <v>358666</v>
      </c>
      <c r="D29" s="92">
        <v>1.1689612990492036E-2</v>
      </c>
      <c r="E29" s="96">
        <v>0</v>
      </c>
      <c r="F29" s="92">
        <v>0</v>
      </c>
      <c r="G29" s="96">
        <v>0</v>
      </c>
      <c r="H29" s="92">
        <v>0</v>
      </c>
      <c r="I29" s="96">
        <v>56124</v>
      </c>
      <c r="J29" s="92">
        <v>1.8291888260341795E-3</v>
      </c>
      <c r="K29" s="96">
        <v>0</v>
      </c>
      <c r="L29" s="92">
        <v>0</v>
      </c>
      <c r="M29" s="97">
        <v>414790</v>
      </c>
      <c r="N29" s="92">
        <v>1.3518801816526215E-2</v>
      </c>
    </row>
    <row r="30" spans="2:14" x14ac:dyDescent="0.35">
      <c r="B30" s="93" t="s">
        <v>345</v>
      </c>
      <c r="C30" s="94">
        <v>0</v>
      </c>
      <c r="D30" s="100">
        <v>0</v>
      </c>
      <c r="E30" s="94">
        <v>0</v>
      </c>
      <c r="F30" s="100">
        <v>0</v>
      </c>
      <c r="G30" s="94">
        <v>342919.5</v>
      </c>
      <c r="H30" s="100">
        <v>1.1176404348036986E-2</v>
      </c>
      <c r="I30" s="94">
        <v>0</v>
      </c>
      <c r="J30" s="100">
        <v>0</v>
      </c>
      <c r="K30" s="94">
        <v>0</v>
      </c>
      <c r="L30" s="95">
        <v>0</v>
      </c>
      <c r="M30" s="99">
        <v>342919.5</v>
      </c>
      <c r="N30" s="100">
        <v>1.1176404348036986E-2</v>
      </c>
    </row>
    <row r="31" spans="2:14" x14ac:dyDescent="0.35">
      <c r="C31" s="96">
        <f>+SUM(C20:C30)</f>
        <v>9860769</v>
      </c>
      <c r="D31" s="108">
        <f t="shared" ref="D31" si="0">+C31/$M$31</f>
        <v>0.3213813782143865</v>
      </c>
      <c r="E31" s="96">
        <f>+SUM(E20:E30)</f>
        <v>3940245</v>
      </c>
      <c r="F31" s="108">
        <f t="shared" ref="F31" si="1">+E31/$M$31</f>
        <v>0.12842014335822546</v>
      </c>
      <c r="G31" s="96">
        <f>+SUM(G20:G30)</f>
        <v>14849218.899999999</v>
      </c>
      <c r="H31" s="108">
        <f t="shared" ref="H31" si="2">+G31/$M$31</f>
        <v>0.48396453009791796</v>
      </c>
      <c r="I31" s="96">
        <f>+SUM(I20:I30)</f>
        <v>1602850</v>
      </c>
      <c r="J31" s="108">
        <f t="shared" ref="J31" si="3">+I31/$M$31</f>
        <v>5.2239956343255727E-2</v>
      </c>
      <c r="K31" s="96">
        <f>+SUM(K20:K30)</f>
        <v>429370</v>
      </c>
      <c r="L31" s="108">
        <f t="shared" ref="L31" si="4">+K31/$M$31</f>
        <v>1.3993991986214375E-2</v>
      </c>
      <c r="M31" s="96">
        <f>+SUM(M20:M30)</f>
        <v>30682452.899999999</v>
      </c>
      <c r="N31" s="92">
        <f t="shared" ref="N31" si="5">+M31/$M$31</f>
        <v>1</v>
      </c>
    </row>
    <row r="32" spans="2:14" x14ac:dyDescent="0.35">
      <c r="G32" s="91"/>
      <c r="M32" s="91"/>
      <c r="N32" s="101"/>
    </row>
    <row r="33" spans="2:10" x14ac:dyDescent="0.35">
      <c r="B33" s="89" t="s">
        <v>357</v>
      </c>
      <c r="C33" s="89" t="s">
        <v>191</v>
      </c>
      <c r="D33" s="89"/>
      <c r="E33" s="89" t="s">
        <v>333</v>
      </c>
      <c r="F33" s="89"/>
      <c r="G33" s="89" t="s">
        <v>334</v>
      </c>
      <c r="H33" s="15"/>
      <c r="I33" s="15"/>
      <c r="J33" s="15"/>
    </row>
    <row r="34" spans="2:10" x14ac:dyDescent="0.35">
      <c r="B34" s="17" t="s">
        <v>353</v>
      </c>
      <c r="C34" s="103">
        <v>0</v>
      </c>
      <c r="D34" s="103"/>
      <c r="E34" s="103">
        <v>0</v>
      </c>
      <c r="F34" s="103"/>
      <c r="G34" s="103">
        <v>23.738589312126265</v>
      </c>
      <c r="H34" s="103"/>
      <c r="I34" s="103"/>
      <c r="J34" s="103"/>
    </row>
    <row r="35" spans="2:10" x14ac:dyDescent="0.35">
      <c r="B35" s="17" t="s">
        <v>336</v>
      </c>
      <c r="C35" s="103">
        <v>109.28175525770314</v>
      </c>
      <c r="D35" s="103"/>
      <c r="E35" s="103">
        <v>92.307165276324696</v>
      </c>
      <c r="F35" s="103"/>
      <c r="G35" s="103">
        <v>0</v>
      </c>
      <c r="H35" s="103"/>
      <c r="I35" s="103"/>
      <c r="J35" s="103"/>
    </row>
    <row r="36" spans="2:10" x14ac:dyDescent="0.35">
      <c r="B36" s="17" t="s">
        <v>337</v>
      </c>
      <c r="C36" s="103">
        <v>66.968270920293023</v>
      </c>
      <c r="D36" s="103"/>
      <c r="E36" s="103">
        <v>108.08623931200472</v>
      </c>
      <c r="F36" s="103"/>
      <c r="G36" s="103">
        <v>0</v>
      </c>
      <c r="H36" s="103"/>
      <c r="I36" s="103"/>
      <c r="J36" s="103"/>
    </row>
    <row r="37" spans="2:10" x14ac:dyDescent="0.35">
      <c r="B37" s="17" t="s">
        <v>354</v>
      </c>
      <c r="C37" s="103">
        <v>0</v>
      </c>
      <c r="D37" s="103"/>
      <c r="E37" s="103">
        <v>0</v>
      </c>
      <c r="F37" s="103"/>
      <c r="G37" s="103">
        <v>20.388662848163715</v>
      </c>
      <c r="H37" s="103"/>
      <c r="I37" s="103"/>
      <c r="J37" s="103"/>
    </row>
    <row r="38" spans="2:10" x14ac:dyDescent="0.35">
      <c r="B38" s="17" t="s">
        <v>339</v>
      </c>
      <c r="C38" s="103">
        <v>50.82015319583666</v>
      </c>
      <c r="D38" s="103"/>
      <c r="E38" s="103">
        <v>70.91755966480433</v>
      </c>
      <c r="F38" s="103"/>
      <c r="G38" s="103">
        <v>0</v>
      </c>
      <c r="H38" s="103"/>
      <c r="I38" s="103"/>
      <c r="J38" s="103"/>
    </row>
    <row r="39" spans="2:10" x14ac:dyDescent="0.35">
      <c r="B39" s="17" t="s">
        <v>340</v>
      </c>
      <c r="C39" s="103">
        <v>63.905994241833447</v>
      </c>
      <c r="D39" s="103"/>
      <c r="E39" s="103">
        <v>74.43861988091831</v>
      </c>
      <c r="F39" s="103"/>
      <c r="G39" s="103">
        <v>0</v>
      </c>
      <c r="H39" s="103"/>
      <c r="I39" s="103"/>
      <c r="J39" s="103"/>
    </row>
    <row r="40" spans="2:10" x14ac:dyDescent="0.35">
      <c r="B40" s="17" t="s">
        <v>341</v>
      </c>
      <c r="C40" s="103">
        <v>0</v>
      </c>
      <c r="D40" s="103"/>
      <c r="E40" s="103">
        <v>0</v>
      </c>
      <c r="F40" s="103"/>
      <c r="G40" s="103">
        <v>24.304509775002867</v>
      </c>
      <c r="H40" s="103"/>
      <c r="I40" s="103"/>
      <c r="J40" s="103"/>
    </row>
    <row r="41" spans="2:10" x14ac:dyDescent="0.35">
      <c r="B41" s="17" t="s">
        <v>342</v>
      </c>
      <c r="C41" s="103">
        <v>0</v>
      </c>
      <c r="D41" s="103"/>
      <c r="E41" s="103">
        <v>51.472965944885829</v>
      </c>
      <c r="F41" s="103"/>
      <c r="G41" s="103">
        <v>18.741422320903805</v>
      </c>
      <c r="H41" s="103"/>
      <c r="I41" s="103"/>
      <c r="J41" s="103"/>
    </row>
    <row r="42" spans="2:10" x14ac:dyDescent="0.35">
      <c r="B42" s="17" t="s">
        <v>343</v>
      </c>
      <c r="C42" s="103">
        <v>0</v>
      </c>
      <c r="D42" s="103"/>
      <c r="E42" s="103">
        <v>88.840873092836816</v>
      </c>
      <c r="F42" s="103"/>
      <c r="G42" s="103">
        <v>0</v>
      </c>
      <c r="H42" s="103"/>
      <c r="I42" s="103"/>
      <c r="J42" s="103"/>
    </row>
    <row r="43" spans="2:10" x14ac:dyDescent="0.35">
      <c r="B43" s="17" t="s">
        <v>344</v>
      </c>
      <c r="C43" s="103">
        <v>40.272717167101021</v>
      </c>
      <c r="D43" s="103"/>
      <c r="E43" s="103">
        <v>0</v>
      </c>
      <c r="F43" s="103"/>
      <c r="G43" s="103">
        <v>0</v>
      </c>
      <c r="H43" s="103"/>
      <c r="I43" s="103"/>
      <c r="J43" s="103"/>
    </row>
    <row r="44" spans="2:10" x14ac:dyDescent="0.35">
      <c r="B44" s="93" t="s">
        <v>345</v>
      </c>
      <c r="C44" s="104">
        <v>0</v>
      </c>
      <c r="D44" s="104"/>
      <c r="E44" s="104">
        <v>0</v>
      </c>
      <c r="F44" s="104"/>
      <c r="G44" s="104">
        <v>15.59859443231441</v>
      </c>
      <c r="H44" s="102"/>
      <c r="I44" s="102"/>
      <c r="J44" s="102"/>
    </row>
    <row r="45" spans="2:10" x14ac:dyDescent="0.35">
      <c r="C45" s="103">
        <v>71.857379326728463</v>
      </c>
      <c r="D45" s="103"/>
      <c r="E45" s="103">
        <v>74.108008527533457</v>
      </c>
      <c r="F45" s="103"/>
      <c r="G45" s="103">
        <v>22.218801045143586</v>
      </c>
      <c r="H45" s="103"/>
      <c r="I45" s="103"/>
      <c r="J45" s="103"/>
    </row>
  </sheetData>
  <mergeCells count="7">
    <mergeCell ref="M19:N19"/>
    <mergeCell ref="B2:G2"/>
    <mergeCell ref="C19:D19"/>
    <mergeCell ref="E19:F19"/>
    <mergeCell ref="G19:H19"/>
    <mergeCell ref="I19:J19"/>
    <mergeCell ref="K19:L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F72BE-7EA9-4664-BEF5-E80789F2D6B2}">
  <dimension ref="B1:O22"/>
  <sheetViews>
    <sheetView workbookViewId="0">
      <selection activeCell="I5" sqref="I5"/>
    </sheetView>
  </sheetViews>
  <sheetFormatPr baseColWidth="10" defaultRowHeight="14.4" x14ac:dyDescent="0.3"/>
  <cols>
    <col min="2" max="2" width="25.44140625" bestFit="1" customWidth="1"/>
    <col min="3" max="3" width="29.88671875" bestFit="1" customWidth="1"/>
    <col min="8" max="8" width="12.109375" customWidth="1"/>
    <col min="9" max="9" width="14.44140625" bestFit="1" customWidth="1"/>
  </cols>
  <sheetData>
    <row r="1" spans="2:15" x14ac:dyDescent="0.3">
      <c r="B1" s="82" t="s">
        <v>362</v>
      </c>
    </row>
    <row r="2" spans="2:15" x14ac:dyDescent="0.3">
      <c r="B2" s="83" t="s">
        <v>311</v>
      </c>
      <c r="C2" s="83" t="s">
        <v>312</v>
      </c>
      <c r="D2" s="83" t="s">
        <v>313</v>
      </c>
      <c r="E2" s="83"/>
      <c r="F2" s="83" t="s">
        <v>314</v>
      </c>
      <c r="G2" s="83" t="s">
        <v>315</v>
      </c>
      <c r="H2" s="83" t="s">
        <v>316</v>
      </c>
      <c r="I2" s="83" t="s">
        <v>317</v>
      </c>
      <c r="J2" s="83" t="s">
        <v>318</v>
      </c>
    </row>
    <row r="3" spans="2:15" x14ac:dyDescent="0.3">
      <c r="B3" t="s">
        <v>348</v>
      </c>
      <c r="C3" t="s">
        <v>319</v>
      </c>
      <c r="D3" t="s">
        <v>320</v>
      </c>
      <c r="E3" t="s">
        <v>321</v>
      </c>
      <c r="F3" t="s">
        <v>322</v>
      </c>
      <c r="G3" s="113">
        <v>1750000</v>
      </c>
      <c r="H3" s="84">
        <v>0.04</v>
      </c>
      <c r="I3" s="84">
        <f>+(L3*M3+N3*O3)/(L3+N3)</f>
        <v>4.268857142857143E-2</v>
      </c>
      <c r="J3" s="85">
        <v>47036</v>
      </c>
      <c r="L3" s="21">
        <v>1200000</v>
      </c>
      <c r="M3" s="84">
        <v>4.58E-2</v>
      </c>
      <c r="N3" s="20">
        <v>550000</v>
      </c>
      <c r="O3" s="84">
        <v>3.5900000000000001E-2</v>
      </c>
    </row>
    <row r="4" spans="2:15" x14ac:dyDescent="0.3">
      <c r="B4" t="s">
        <v>351</v>
      </c>
      <c r="C4" t="s">
        <v>319</v>
      </c>
      <c r="D4" t="s">
        <v>320</v>
      </c>
      <c r="E4" t="s">
        <v>321</v>
      </c>
      <c r="F4" t="s">
        <v>322</v>
      </c>
      <c r="G4" s="113">
        <v>1000000</v>
      </c>
      <c r="H4" s="84">
        <v>3.7999999999999999E-2</v>
      </c>
      <c r="I4" s="84">
        <v>3.6400000000000002E-2</v>
      </c>
      <c r="J4" s="85">
        <v>47462</v>
      </c>
      <c r="L4" s="21"/>
    </row>
    <row r="5" spans="2:15" x14ac:dyDescent="0.3">
      <c r="B5" t="s">
        <v>323</v>
      </c>
      <c r="C5" t="s">
        <v>319</v>
      </c>
      <c r="D5" t="s">
        <v>324</v>
      </c>
      <c r="E5" t="s">
        <v>321</v>
      </c>
      <c r="F5" t="s">
        <v>322</v>
      </c>
      <c r="G5" s="113">
        <v>3500000</v>
      </c>
      <c r="H5" s="84"/>
      <c r="I5" s="84">
        <f>+(3*500+3.67*3000)/3500/100</f>
        <v>3.5742857142857146E-2</v>
      </c>
      <c r="J5" s="85">
        <v>46048</v>
      </c>
      <c r="L5" s="21"/>
    </row>
    <row r="6" spans="2:15" x14ac:dyDescent="0.3">
      <c r="B6" t="s">
        <v>325</v>
      </c>
      <c r="C6" t="s">
        <v>326</v>
      </c>
      <c r="D6" t="s">
        <v>324</v>
      </c>
      <c r="E6" t="s">
        <v>321</v>
      </c>
      <c r="F6" t="s">
        <v>322</v>
      </c>
      <c r="G6" s="113">
        <v>1800000</v>
      </c>
      <c r="I6" s="84">
        <v>4.2599999999999999E-2</v>
      </c>
      <c r="J6" s="85">
        <v>46426</v>
      </c>
      <c r="L6" s="21"/>
    </row>
    <row r="7" spans="2:15" x14ac:dyDescent="0.3">
      <c r="B7" t="s">
        <v>327</v>
      </c>
      <c r="C7" s="114" t="s">
        <v>328</v>
      </c>
      <c r="D7" s="114" t="s">
        <v>329</v>
      </c>
      <c r="E7" s="114" t="s">
        <v>330</v>
      </c>
      <c r="F7" s="114" t="s">
        <v>322</v>
      </c>
      <c r="G7" s="115">
        <v>34921.120186842127</v>
      </c>
      <c r="I7" s="84">
        <v>5.0500000000000003E-2</v>
      </c>
      <c r="J7" s="85">
        <v>48019</v>
      </c>
      <c r="L7" s="21"/>
    </row>
    <row r="8" spans="2:15" x14ac:dyDescent="0.3">
      <c r="B8" t="s">
        <v>323</v>
      </c>
      <c r="C8" s="114" t="s">
        <v>331</v>
      </c>
      <c r="D8" s="114" t="s">
        <v>324</v>
      </c>
      <c r="E8" s="114" t="s">
        <v>321</v>
      </c>
      <c r="F8" s="114" t="s">
        <v>322</v>
      </c>
      <c r="G8" s="115">
        <v>1000000</v>
      </c>
      <c r="I8" s="84">
        <v>2.53E-2</v>
      </c>
      <c r="J8" s="85">
        <v>45930</v>
      </c>
      <c r="L8" s="21"/>
    </row>
    <row r="9" spans="2:15" x14ac:dyDescent="0.3">
      <c r="B9" t="s">
        <v>323</v>
      </c>
      <c r="C9" s="114" t="s">
        <v>332</v>
      </c>
      <c r="D9" s="114" t="s">
        <v>329</v>
      </c>
      <c r="E9" s="114" t="s">
        <v>330</v>
      </c>
      <c r="F9" s="114" t="s">
        <v>322</v>
      </c>
      <c r="G9" s="115">
        <v>72306.63</v>
      </c>
      <c r="I9" s="84">
        <v>2.8899999999999999E-2</v>
      </c>
      <c r="J9" s="85">
        <v>47149</v>
      </c>
      <c r="L9" s="21"/>
    </row>
    <row r="10" spans="2:15" x14ac:dyDescent="0.3">
      <c r="B10" t="s">
        <v>323</v>
      </c>
      <c r="C10" s="114" t="s">
        <v>332</v>
      </c>
      <c r="D10" s="114" t="s">
        <v>329</v>
      </c>
      <c r="E10" s="114" t="s">
        <v>330</v>
      </c>
      <c r="F10" s="114" t="s">
        <v>322</v>
      </c>
      <c r="G10" s="115">
        <v>129118.56058153321</v>
      </c>
      <c r="I10" s="84">
        <v>9.7999999999999997E-3</v>
      </c>
      <c r="J10" s="85">
        <v>47848</v>
      </c>
      <c r="L10" s="21"/>
    </row>
    <row r="11" spans="2:15" x14ac:dyDescent="0.3">
      <c r="B11" t="s">
        <v>325</v>
      </c>
      <c r="C11" s="114" t="s">
        <v>332</v>
      </c>
      <c r="D11" s="114" t="s">
        <v>329</v>
      </c>
      <c r="E11" s="114" t="s">
        <v>330</v>
      </c>
      <c r="F11" s="114" t="s">
        <v>322</v>
      </c>
      <c r="G11" s="115">
        <v>516211.16889999999</v>
      </c>
      <c r="I11" s="84">
        <v>2.8500000000000001E-2</v>
      </c>
      <c r="J11" s="85">
        <v>47630</v>
      </c>
      <c r="L11" s="21"/>
    </row>
    <row r="12" spans="2:15" x14ac:dyDescent="0.3">
      <c r="B12" t="s">
        <v>323</v>
      </c>
      <c r="C12" s="114" t="s">
        <v>332</v>
      </c>
      <c r="D12" s="114" t="s">
        <v>329</v>
      </c>
      <c r="E12" s="114" t="s">
        <v>330</v>
      </c>
      <c r="F12" s="114" t="s">
        <v>322</v>
      </c>
      <c r="G12" s="115">
        <v>1017406.69</v>
      </c>
      <c r="I12" s="84">
        <v>3.3000000000000002E-2</v>
      </c>
      <c r="J12" s="85">
        <v>49327</v>
      </c>
      <c r="L12" s="21"/>
    </row>
    <row r="13" spans="2:15" x14ac:dyDescent="0.3">
      <c r="B13" t="s">
        <v>325</v>
      </c>
      <c r="C13" s="114" t="s">
        <v>332</v>
      </c>
      <c r="D13" s="114" t="s">
        <v>324</v>
      </c>
      <c r="E13" s="114" t="s">
        <v>330</v>
      </c>
      <c r="F13" s="114" t="s">
        <v>322</v>
      </c>
      <c r="G13" s="115">
        <v>511363.13699519791</v>
      </c>
      <c r="I13" s="84">
        <v>1.4500000000000001E-2</v>
      </c>
      <c r="J13" s="85">
        <v>49317</v>
      </c>
      <c r="L13" s="21"/>
    </row>
    <row r="14" spans="2:15" x14ac:dyDescent="0.3">
      <c r="B14" t="s">
        <v>323</v>
      </c>
      <c r="C14" s="114" t="s">
        <v>332</v>
      </c>
      <c r="D14" s="114" t="s">
        <v>321</v>
      </c>
      <c r="E14" s="114" t="s">
        <v>321</v>
      </c>
      <c r="F14" s="114" t="s">
        <v>322</v>
      </c>
      <c r="G14" s="115">
        <v>1100000</v>
      </c>
      <c r="I14" s="84">
        <v>3.95E-2</v>
      </c>
      <c r="J14" s="85">
        <v>46527</v>
      </c>
      <c r="L14" s="21"/>
    </row>
    <row r="15" spans="2:15" x14ac:dyDescent="0.3">
      <c r="B15" t="s">
        <v>325</v>
      </c>
      <c r="C15" s="114" t="s">
        <v>332</v>
      </c>
      <c r="D15" s="114" t="s">
        <v>324</v>
      </c>
      <c r="E15" s="114" t="s">
        <v>321</v>
      </c>
      <c r="F15" s="114" t="s">
        <v>322</v>
      </c>
      <c r="G15" s="115">
        <v>500000</v>
      </c>
      <c r="I15" s="84">
        <v>3.3000000000000002E-2</v>
      </c>
      <c r="J15" s="85">
        <v>47219</v>
      </c>
      <c r="L15" s="21"/>
    </row>
    <row r="16" spans="2:15" x14ac:dyDescent="0.3">
      <c r="B16" t="s">
        <v>360</v>
      </c>
      <c r="C16" s="114" t="s">
        <v>332</v>
      </c>
      <c r="D16" s="114" t="s">
        <v>321</v>
      </c>
      <c r="E16" s="114" t="s">
        <v>321</v>
      </c>
      <c r="F16" s="114" t="s">
        <v>322</v>
      </c>
      <c r="G16" s="115">
        <v>400000</v>
      </c>
      <c r="I16" s="84">
        <v>4.4299999999999999E-2</v>
      </c>
      <c r="J16" s="85">
        <v>47758</v>
      </c>
      <c r="L16" s="21"/>
    </row>
    <row r="17" spans="2:12" x14ac:dyDescent="0.3">
      <c r="B17" t="s">
        <v>360</v>
      </c>
      <c r="C17" s="114" t="s">
        <v>332</v>
      </c>
      <c r="D17" s="114" t="s">
        <v>329</v>
      </c>
      <c r="E17" s="114" t="s">
        <v>330</v>
      </c>
      <c r="F17" s="114" t="s">
        <v>322</v>
      </c>
      <c r="G17" s="115">
        <v>1355000</v>
      </c>
      <c r="I17" s="86">
        <v>3.9800000000000002E-2</v>
      </c>
      <c r="J17" s="85">
        <v>51160</v>
      </c>
      <c r="L17" s="86"/>
    </row>
    <row r="18" spans="2:12" x14ac:dyDescent="0.3">
      <c r="B18" t="s">
        <v>360</v>
      </c>
      <c r="C18" s="114" t="s">
        <v>332</v>
      </c>
      <c r="D18" s="114" t="s">
        <v>329</v>
      </c>
      <c r="E18" s="114" t="s">
        <v>330</v>
      </c>
      <c r="F18" s="114" t="s">
        <v>322</v>
      </c>
      <c r="G18" s="115">
        <v>74852</v>
      </c>
      <c r="I18" s="86">
        <v>3.4799999999999998E-2</v>
      </c>
      <c r="J18" s="85">
        <v>51160</v>
      </c>
    </row>
    <row r="19" spans="2:12" x14ac:dyDescent="0.3">
      <c r="B19" t="s">
        <v>360</v>
      </c>
      <c r="C19" s="114" t="s">
        <v>332</v>
      </c>
      <c r="D19" s="114" t="s">
        <v>361</v>
      </c>
      <c r="E19" s="114" t="s">
        <v>330</v>
      </c>
      <c r="F19" s="114" t="s">
        <v>322</v>
      </c>
      <c r="G19" s="115">
        <v>32474.838851696768</v>
      </c>
      <c r="I19" s="86">
        <v>2.6499999999999999E-2</v>
      </c>
      <c r="J19" s="85">
        <v>46899</v>
      </c>
    </row>
    <row r="20" spans="2:12" x14ac:dyDescent="0.3">
      <c r="B20" t="s">
        <v>364</v>
      </c>
      <c r="C20" s="114" t="s">
        <v>332</v>
      </c>
      <c r="D20" s="114" t="s">
        <v>320</v>
      </c>
      <c r="E20" s="114" t="s">
        <v>330</v>
      </c>
      <c r="F20" s="114" t="s">
        <v>322</v>
      </c>
      <c r="G20" s="115">
        <v>1500000</v>
      </c>
      <c r="I20" s="86">
        <v>3.4000000000000002E-2</v>
      </c>
      <c r="J20" s="85">
        <v>48441</v>
      </c>
    </row>
    <row r="21" spans="2:12" x14ac:dyDescent="0.3">
      <c r="C21" s="114"/>
      <c r="D21" s="114"/>
      <c r="E21" s="114"/>
      <c r="F21" s="114"/>
      <c r="G21" s="115"/>
      <c r="I21" s="86"/>
      <c r="J21" s="85"/>
    </row>
    <row r="22" spans="2:12" x14ac:dyDescent="0.3">
      <c r="G22" s="86"/>
      <c r="I22" s="86"/>
      <c r="J22" s="8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7E4CB-80B8-43F1-8733-AD5E40C85DD2}">
  <sheetPr>
    <pageSetUpPr fitToPage="1"/>
  </sheetPr>
  <dimension ref="A1:AU381"/>
  <sheetViews>
    <sheetView tabSelected="1" zoomScaleNormal="100" workbookViewId="0">
      <pane xSplit="1" ySplit="1" topLeftCell="AO28" activePane="bottomRight" state="frozen"/>
      <selection pane="topRight" activeCell="B1" sqref="B1"/>
      <selection pane="bottomLeft" activeCell="A2" sqref="A2"/>
      <selection pane="bottomRight" activeCell="AU36" sqref="AU36"/>
    </sheetView>
  </sheetViews>
  <sheetFormatPr baseColWidth="10" defaultColWidth="11.44140625" defaultRowHeight="14.4" x14ac:dyDescent="0.3"/>
  <cols>
    <col min="1" max="1" width="65.44140625" style="1" bestFit="1" customWidth="1"/>
    <col min="2" max="25" width="13.88671875" style="1" customWidth="1"/>
    <col min="26" max="26" width="17.88671875" style="1" bestFit="1" customWidth="1"/>
    <col min="27" max="29" width="13.88671875" style="1" customWidth="1"/>
    <col min="30" max="30" width="17.88671875" style="1" bestFit="1" customWidth="1"/>
    <col min="31" max="33" width="13.88671875" style="1" customWidth="1"/>
    <col min="34" max="47" width="14.109375" style="1" customWidth="1"/>
    <col min="48" max="16384" width="11.44140625" style="1"/>
  </cols>
  <sheetData>
    <row r="1" spans="1:47" x14ac:dyDescent="0.3">
      <c r="A1" s="1" t="s">
        <v>7</v>
      </c>
      <c r="B1" s="2">
        <v>42004</v>
      </c>
      <c r="C1" s="2">
        <v>42094</v>
      </c>
      <c r="D1" s="2">
        <v>42185</v>
      </c>
      <c r="E1" s="2">
        <v>42277</v>
      </c>
      <c r="F1" s="2">
        <v>42369</v>
      </c>
      <c r="G1" s="2">
        <v>42460</v>
      </c>
      <c r="H1" s="2">
        <v>42551</v>
      </c>
      <c r="I1" s="2">
        <v>42643</v>
      </c>
      <c r="J1" s="2">
        <v>42735</v>
      </c>
      <c r="K1" s="2">
        <v>42825</v>
      </c>
      <c r="L1" s="2">
        <v>42916</v>
      </c>
      <c r="M1" s="2">
        <v>43008</v>
      </c>
      <c r="N1" s="2">
        <v>43100</v>
      </c>
      <c r="O1" s="2">
        <v>43190</v>
      </c>
      <c r="P1" s="2">
        <v>43281</v>
      </c>
      <c r="Q1" s="2">
        <v>43373</v>
      </c>
      <c r="R1" s="2">
        <v>43465</v>
      </c>
      <c r="S1" s="2">
        <v>43555</v>
      </c>
      <c r="T1" s="2">
        <v>43646</v>
      </c>
      <c r="U1" s="2">
        <v>43738</v>
      </c>
      <c r="V1" s="2">
        <v>43830</v>
      </c>
      <c r="W1" s="2">
        <v>43921</v>
      </c>
      <c r="X1" s="2">
        <v>44012</v>
      </c>
      <c r="Y1" s="2">
        <v>44104</v>
      </c>
      <c r="Z1" s="2">
        <v>44196</v>
      </c>
      <c r="AA1" s="2">
        <v>44286</v>
      </c>
      <c r="AB1" s="2">
        <v>44377</v>
      </c>
      <c r="AC1" s="2">
        <v>44469</v>
      </c>
      <c r="AD1" s="2">
        <v>44561</v>
      </c>
      <c r="AE1" s="2">
        <v>44651</v>
      </c>
      <c r="AF1" s="2">
        <v>44742</v>
      </c>
      <c r="AG1" s="2">
        <v>44834</v>
      </c>
      <c r="AH1" s="2">
        <v>44926</v>
      </c>
      <c r="AI1" s="2">
        <v>45016</v>
      </c>
      <c r="AJ1" s="2">
        <v>45107</v>
      </c>
      <c r="AK1" s="2">
        <v>45199</v>
      </c>
      <c r="AL1" s="2">
        <v>45291</v>
      </c>
      <c r="AM1" s="2">
        <v>45382</v>
      </c>
      <c r="AN1" s="2">
        <v>45473</v>
      </c>
      <c r="AO1" s="2">
        <v>45565</v>
      </c>
      <c r="AP1" s="2">
        <v>45657</v>
      </c>
      <c r="AQ1" s="2">
        <v>45747</v>
      </c>
      <c r="AR1" s="2">
        <v>45838</v>
      </c>
      <c r="AS1" s="2">
        <v>45930</v>
      </c>
      <c r="AT1" s="2">
        <v>46022</v>
      </c>
      <c r="AU1" s="2">
        <v>46112</v>
      </c>
    </row>
    <row r="2" spans="1:47" s="6" customFormat="1" x14ac:dyDescent="0.3">
      <c r="A2" s="6" t="s">
        <v>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1:47"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1:47"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1:47" x14ac:dyDescent="0.3">
      <c r="A5" s="1" t="s">
        <v>11</v>
      </c>
      <c r="B5" s="3">
        <v>1196848</v>
      </c>
      <c r="C5" s="3">
        <v>15848315</v>
      </c>
      <c r="D5" s="3">
        <v>6423774</v>
      </c>
      <c r="E5" s="3">
        <v>7767322</v>
      </c>
      <c r="F5" s="3">
        <v>20544097</v>
      </c>
      <c r="G5" s="3">
        <v>19957760</v>
      </c>
      <c r="H5" s="3">
        <v>8097992</v>
      </c>
      <c r="I5" s="3">
        <v>6181414</v>
      </c>
      <c r="J5" s="3">
        <v>23988356</v>
      </c>
      <c r="K5" s="3">
        <v>25876316</v>
      </c>
      <c r="L5" s="3">
        <v>20012779</v>
      </c>
      <c r="M5" s="3">
        <v>610956</v>
      </c>
      <c r="N5" s="3">
        <v>4052828</v>
      </c>
      <c r="O5" s="3">
        <v>8445547</v>
      </c>
      <c r="P5" s="3">
        <v>2617033</v>
      </c>
      <c r="Q5" s="3">
        <v>1006008</v>
      </c>
      <c r="R5" s="3">
        <v>11331347</v>
      </c>
      <c r="S5" s="3">
        <v>37999513</v>
      </c>
      <c r="T5" s="3">
        <v>27129128</v>
      </c>
      <c r="U5" s="3">
        <v>34202267</v>
      </c>
      <c r="V5" s="3">
        <v>42110844</v>
      </c>
      <c r="W5" s="3">
        <v>36559511</v>
      </c>
      <c r="X5" s="3">
        <v>24493809</v>
      </c>
      <c r="Y5" s="3">
        <v>18131254</v>
      </c>
      <c r="Z5" s="3">
        <v>38574250</v>
      </c>
      <c r="AA5" s="3">
        <v>73503640</v>
      </c>
      <c r="AB5" s="3">
        <v>62846825</v>
      </c>
      <c r="AC5" s="3">
        <v>3398673</v>
      </c>
      <c r="AD5" s="3">
        <v>7786492</v>
      </c>
      <c r="AE5" s="3">
        <v>16235988</v>
      </c>
      <c r="AF5" s="3">
        <v>7169460</v>
      </c>
      <c r="AG5" s="3">
        <v>7555957</v>
      </c>
      <c r="AH5" s="3">
        <v>10437260</v>
      </c>
      <c r="AI5" s="3">
        <v>20776005</v>
      </c>
      <c r="AJ5" s="3">
        <v>13290499</v>
      </c>
      <c r="AK5" s="3">
        <v>14385304</v>
      </c>
      <c r="AL5" s="3">
        <v>16859805</v>
      </c>
      <c r="AM5" s="3">
        <v>25136702</v>
      </c>
      <c r="AN5" s="3">
        <v>22480260</v>
      </c>
      <c r="AO5" s="3">
        <v>91900267</v>
      </c>
      <c r="AP5" s="3">
        <v>68493011</v>
      </c>
      <c r="AQ5" s="3">
        <v>18487763</v>
      </c>
      <c r="AR5" s="3">
        <f>8656950</f>
        <v>8656950</v>
      </c>
      <c r="AS5" s="3">
        <v>12279101</v>
      </c>
      <c r="AT5" s="3">
        <v>12681132</v>
      </c>
      <c r="AU5" s="3">
        <v>19407528</v>
      </c>
    </row>
    <row r="6" spans="1:47" x14ac:dyDescent="0.3">
      <c r="A6" s="1" t="s">
        <v>12</v>
      </c>
      <c r="B6" s="3">
        <v>4733273</v>
      </c>
      <c r="C6" s="3">
        <v>4732443</v>
      </c>
      <c r="D6" s="3">
        <v>4801669</v>
      </c>
      <c r="E6" s="3">
        <v>23557286</v>
      </c>
      <c r="F6" s="3">
        <v>23819561</v>
      </c>
      <c r="G6" s="3">
        <v>23989604</v>
      </c>
      <c r="H6" s="3">
        <v>24212703</v>
      </c>
      <c r="I6" s="3">
        <v>24372747</v>
      </c>
      <c r="J6" s="3">
        <v>24487695</v>
      </c>
      <c r="K6" s="3">
        <v>12834311</v>
      </c>
      <c r="L6" s="3">
        <v>12929876</v>
      </c>
      <c r="M6" s="3">
        <v>0</v>
      </c>
      <c r="N6" s="3">
        <v>23799870</v>
      </c>
      <c r="O6" s="3">
        <v>23949740</v>
      </c>
      <c r="P6" s="3">
        <v>24120151</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row>
    <row r="7" spans="1:47" x14ac:dyDescent="0.3">
      <c r="A7" s="1" t="s">
        <v>13</v>
      </c>
      <c r="B7" s="3">
        <v>1932223</v>
      </c>
      <c r="C7" s="3">
        <v>1931885</v>
      </c>
      <c r="D7" s="3">
        <v>1960040</v>
      </c>
      <c r="E7" s="3">
        <v>1986251</v>
      </c>
      <c r="F7" s="3">
        <v>2008310</v>
      </c>
      <c r="G7" s="3">
        <v>2010549</v>
      </c>
      <c r="H7" s="3">
        <v>2010549</v>
      </c>
      <c r="I7" s="3">
        <v>2010549</v>
      </c>
      <c r="J7" s="3">
        <v>2066745</v>
      </c>
      <c r="K7" s="3">
        <v>7109</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9887</v>
      </c>
      <c r="AN7" s="3">
        <v>0</v>
      </c>
      <c r="AO7" s="3">
        <v>0</v>
      </c>
      <c r="AP7" s="3">
        <v>0</v>
      </c>
      <c r="AQ7" s="3">
        <v>0</v>
      </c>
      <c r="AR7" s="3">
        <v>0</v>
      </c>
      <c r="AS7" s="3">
        <v>0</v>
      </c>
      <c r="AT7" s="3">
        <v>0</v>
      </c>
      <c r="AU7" s="3">
        <v>0</v>
      </c>
    </row>
    <row r="8" spans="1:47" x14ac:dyDescent="0.3">
      <c r="A8" s="1" t="s">
        <v>14</v>
      </c>
      <c r="B8" s="3">
        <v>38260</v>
      </c>
      <c r="C8" s="3">
        <v>38755</v>
      </c>
      <c r="D8" s="3">
        <v>39369</v>
      </c>
      <c r="E8" s="3">
        <v>39356</v>
      </c>
      <c r="F8" s="3">
        <v>28035</v>
      </c>
      <c r="G8" s="3">
        <v>39329</v>
      </c>
      <c r="H8" s="3">
        <v>28291</v>
      </c>
      <c r="I8" s="3">
        <v>33007</v>
      </c>
      <c r="J8" s="3">
        <v>28128</v>
      </c>
      <c r="K8" s="3">
        <v>28129</v>
      </c>
      <c r="L8" s="3">
        <v>25629</v>
      </c>
      <c r="M8" s="3">
        <v>934</v>
      </c>
      <c r="N8" s="3">
        <v>934</v>
      </c>
      <c r="O8" s="3">
        <v>5272</v>
      </c>
      <c r="P8" s="3">
        <v>1500</v>
      </c>
      <c r="Q8" s="3">
        <v>6772</v>
      </c>
      <c r="R8" s="3">
        <v>0</v>
      </c>
      <c r="S8" s="3">
        <v>3912</v>
      </c>
      <c r="T8" s="3">
        <v>2324</v>
      </c>
      <c r="U8" s="3">
        <v>2970</v>
      </c>
      <c r="V8" s="3">
        <v>25321</v>
      </c>
      <c r="W8" s="3">
        <v>29348</v>
      </c>
      <c r="X8" s="3">
        <v>26881</v>
      </c>
      <c r="Y8" s="3">
        <v>29385</v>
      </c>
      <c r="Z8" s="3">
        <v>72937</v>
      </c>
      <c r="AA8" s="3">
        <v>4672</v>
      </c>
      <c r="AB8" s="3">
        <v>11936</v>
      </c>
      <c r="AC8" s="3">
        <v>4046</v>
      </c>
      <c r="AD8" s="3">
        <v>0</v>
      </c>
      <c r="AE8" s="3">
        <v>2436</v>
      </c>
      <c r="AF8" s="3">
        <v>2378</v>
      </c>
      <c r="AG8" s="3">
        <v>3178</v>
      </c>
      <c r="AH8" s="3">
        <v>0</v>
      </c>
      <c r="AI8" s="3">
        <f>17937+2351</f>
        <v>20288</v>
      </c>
      <c r="AJ8" s="3">
        <f>39+7743</f>
        <v>7782</v>
      </c>
      <c r="AK8" s="3">
        <f>4347+10776</f>
        <v>15123</v>
      </c>
      <c r="AL8" s="3">
        <v>0</v>
      </c>
      <c r="AM8" s="3">
        <v>12403</v>
      </c>
      <c r="AN8" s="3">
        <f>2886+8708</f>
        <v>11594</v>
      </c>
      <c r="AO8" s="3">
        <f>15544+4354</f>
        <v>19898</v>
      </c>
      <c r="AP8" s="3">
        <v>10618</v>
      </c>
      <c r="AQ8" s="3">
        <v>16999</v>
      </c>
      <c r="AR8" s="3">
        <f>18875</f>
        <v>18875</v>
      </c>
      <c r="AS8" s="3">
        <f>23136+4904</f>
        <v>28040</v>
      </c>
      <c r="AT8" s="3">
        <v>24438</v>
      </c>
      <c r="AU8" s="3">
        <f>28649+669</f>
        <v>29318</v>
      </c>
    </row>
    <row r="9" spans="1:47" s="6" customFormat="1" x14ac:dyDescent="0.3">
      <c r="A9" s="6" t="s">
        <v>15</v>
      </c>
      <c r="B9" s="7">
        <f t="shared" ref="B9:E9" si="0">+SUM(B4:B8)</f>
        <v>7900604</v>
      </c>
      <c r="C9" s="7">
        <f t="shared" si="0"/>
        <v>22551398</v>
      </c>
      <c r="D9" s="7">
        <f t="shared" si="0"/>
        <v>13224852</v>
      </c>
      <c r="E9" s="7">
        <f t="shared" si="0"/>
        <v>33350215</v>
      </c>
      <c r="F9" s="7">
        <f t="shared" ref="F9:T9" si="1">+SUM(F4:F8)</f>
        <v>46400003</v>
      </c>
      <c r="G9" s="7">
        <f t="shared" si="1"/>
        <v>45997242</v>
      </c>
      <c r="H9" s="7">
        <f t="shared" si="1"/>
        <v>34349535</v>
      </c>
      <c r="I9" s="7">
        <f t="shared" si="1"/>
        <v>32597717</v>
      </c>
      <c r="J9" s="7">
        <f t="shared" si="1"/>
        <v>50570924</v>
      </c>
      <c r="K9" s="7">
        <f t="shared" si="1"/>
        <v>38745865</v>
      </c>
      <c r="L9" s="7">
        <f t="shared" si="1"/>
        <v>32968284</v>
      </c>
      <c r="M9" s="7">
        <f t="shared" si="1"/>
        <v>611890</v>
      </c>
      <c r="N9" s="7">
        <f t="shared" si="1"/>
        <v>27853632</v>
      </c>
      <c r="O9" s="7">
        <f t="shared" si="1"/>
        <v>32400559</v>
      </c>
      <c r="P9" s="7">
        <f t="shared" si="1"/>
        <v>26738684</v>
      </c>
      <c r="Q9" s="7">
        <f t="shared" si="1"/>
        <v>1012780</v>
      </c>
      <c r="R9" s="7">
        <f t="shared" si="1"/>
        <v>11331347</v>
      </c>
      <c r="S9" s="7">
        <f t="shared" si="1"/>
        <v>38003425</v>
      </c>
      <c r="T9" s="7">
        <f t="shared" si="1"/>
        <v>27131452</v>
      </c>
      <c r="U9" s="7">
        <f t="shared" ref="U9:AG9" si="2">+SUM(U4:U8)</f>
        <v>34205237</v>
      </c>
      <c r="V9" s="7">
        <f t="shared" si="2"/>
        <v>42136165</v>
      </c>
      <c r="W9" s="7">
        <f t="shared" si="2"/>
        <v>36588859</v>
      </c>
      <c r="X9" s="7">
        <f t="shared" si="2"/>
        <v>24520690</v>
      </c>
      <c r="Y9" s="7">
        <f t="shared" si="2"/>
        <v>18160639</v>
      </c>
      <c r="Z9" s="7">
        <f t="shared" si="2"/>
        <v>38647187</v>
      </c>
      <c r="AA9" s="7">
        <f t="shared" si="2"/>
        <v>73508312</v>
      </c>
      <c r="AB9" s="7">
        <f t="shared" si="2"/>
        <v>62858761</v>
      </c>
      <c r="AC9" s="7">
        <f t="shared" si="2"/>
        <v>3402719</v>
      </c>
      <c r="AD9" s="7">
        <f t="shared" si="2"/>
        <v>7786492</v>
      </c>
      <c r="AE9" s="7">
        <f t="shared" si="2"/>
        <v>16238424</v>
      </c>
      <c r="AF9" s="7">
        <f t="shared" si="2"/>
        <v>7171838</v>
      </c>
      <c r="AG9" s="7">
        <f t="shared" si="2"/>
        <v>7559135</v>
      </c>
      <c r="AH9" s="7">
        <f t="shared" ref="AH9:AI9" si="3">+SUM(AH4:AH8)</f>
        <v>10437260</v>
      </c>
      <c r="AI9" s="7">
        <f t="shared" si="3"/>
        <v>20796293</v>
      </c>
      <c r="AJ9" s="7">
        <f t="shared" ref="AJ9:AL9" si="4">+SUM(AJ4:AJ8)</f>
        <v>13298281</v>
      </c>
      <c r="AK9" s="7">
        <f t="shared" si="4"/>
        <v>14400427</v>
      </c>
      <c r="AL9" s="7">
        <f t="shared" si="4"/>
        <v>16859805</v>
      </c>
      <c r="AM9" s="7">
        <f t="shared" ref="AM9:AN9" si="5">+SUM(AM4:AM8)</f>
        <v>25158992</v>
      </c>
      <c r="AN9" s="7">
        <f t="shared" si="5"/>
        <v>22491854</v>
      </c>
      <c r="AO9" s="7">
        <f t="shared" ref="AO9:AP9" si="6">+SUM(AO4:AO8)</f>
        <v>91920165</v>
      </c>
      <c r="AP9" s="7">
        <f t="shared" si="6"/>
        <v>68503629</v>
      </c>
      <c r="AQ9" s="7">
        <f t="shared" ref="AQ9:AR9" si="7">+SUM(AQ4:AQ8)</f>
        <v>18504762</v>
      </c>
      <c r="AR9" s="7">
        <f t="shared" si="7"/>
        <v>8675825</v>
      </c>
      <c r="AS9" s="7">
        <f t="shared" ref="AS9:AT9" si="8">+SUM(AS4:AS8)</f>
        <v>12307141</v>
      </c>
      <c r="AT9" s="7">
        <f t="shared" si="8"/>
        <v>12705570</v>
      </c>
      <c r="AU9" s="7">
        <f t="shared" ref="AU9" si="9">+SUM(AU4:AU8)</f>
        <v>19436846</v>
      </c>
    </row>
    <row r="10" spans="1:47" x14ac:dyDescent="0.3">
      <c r="A10" s="1" t="s">
        <v>16</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row>
    <row r="11" spans="1:47" x14ac:dyDescent="0.3">
      <c r="A11" s="1" t="s">
        <v>12</v>
      </c>
      <c r="B11" s="3">
        <v>176005276</v>
      </c>
      <c r="C11" s="3">
        <v>176597755</v>
      </c>
      <c r="D11" s="3">
        <v>182093833</v>
      </c>
      <c r="E11" s="3">
        <v>200729030</v>
      </c>
      <c r="F11" s="3">
        <v>204134645</v>
      </c>
      <c r="G11" s="3">
        <v>208171069</v>
      </c>
      <c r="H11" s="3">
        <v>212631510</v>
      </c>
      <c r="I11" s="3">
        <v>218493725</v>
      </c>
      <c r="J11" s="3">
        <v>223687825</v>
      </c>
      <c r="K11" s="3">
        <v>239425819</v>
      </c>
      <c r="L11" s="3">
        <v>245312906</v>
      </c>
      <c r="M11" s="3">
        <v>266488411</v>
      </c>
      <c r="N11" s="3">
        <v>246771607</v>
      </c>
      <c r="O11" s="3">
        <v>242127462</v>
      </c>
      <c r="P11" s="3">
        <v>204216453</v>
      </c>
      <c r="Q11" s="3">
        <v>254059028</v>
      </c>
      <c r="R11" s="3">
        <v>282674927</v>
      </c>
      <c r="S11" s="3">
        <v>271999898</v>
      </c>
      <c r="T11" s="3">
        <v>276720305</v>
      </c>
      <c r="U11" s="3">
        <v>279562967</v>
      </c>
      <c r="V11" s="3">
        <v>282168499</v>
      </c>
      <c r="W11" s="3">
        <v>286321131</v>
      </c>
      <c r="X11" s="3">
        <v>221876540</v>
      </c>
      <c r="Y11" s="3">
        <v>227044377</v>
      </c>
      <c r="Z11" s="3">
        <v>232310092</v>
      </c>
      <c r="AA11" s="3">
        <v>226048815</v>
      </c>
      <c r="AB11" s="3">
        <v>228471659</v>
      </c>
      <c r="AC11" s="3">
        <v>231382671</v>
      </c>
      <c r="AD11" s="3">
        <v>238052042</v>
      </c>
      <c r="AE11" s="3">
        <v>246611434</v>
      </c>
      <c r="AF11" s="3">
        <v>257175286</v>
      </c>
      <c r="AG11" s="3">
        <v>267915542</v>
      </c>
      <c r="AH11" s="3">
        <v>270021199</v>
      </c>
      <c r="AI11" s="3">
        <v>275158761</v>
      </c>
      <c r="AJ11" s="3">
        <v>279177604</v>
      </c>
      <c r="AK11" s="3">
        <v>281214024</v>
      </c>
      <c r="AL11" s="3">
        <v>286165925</v>
      </c>
      <c r="AM11" s="3">
        <v>298494908</v>
      </c>
      <c r="AN11" s="3">
        <v>303915751</v>
      </c>
      <c r="AO11" s="3">
        <v>298896255</v>
      </c>
      <c r="AP11" s="3">
        <v>303704511</v>
      </c>
      <c r="AQ11" s="3">
        <v>310015776</v>
      </c>
      <c r="AR11" s="3">
        <f>252484770</f>
        <v>252484770</v>
      </c>
      <c r="AS11" s="3">
        <v>241937918</v>
      </c>
      <c r="AT11" s="3">
        <v>242145062</v>
      </c>
      <c r="AU11" s="3">
        <v>240507763</v>
      </c>
    </row>
    <row r="12" spans="1:47" x14ac:dyDescent="0.3">
      <c r="A12" s="1" t="str">
        <f>+A7</f>
        <v>Cuentas y documentos por cobrar por operaciones</v>
      </c>
      <c r="B12" s="3">
        <v>89574646</v>
      </c>
      <c r="C12" s="3">
        <v>89473556</v>
      </c>
      <c r="D12" s="3">
        <v>90727739</v>
      </c>
      <c r="E12" s="3">
        <v>98397728</v>
      </c>
      <c r="F12" s="3">
        <v>98539231</v>
      </c>
      <c r="G12" s="3">
        <v>99240946</v>
      </c>
      <c r="H12" s="3">
        <v>100068844</v>
      </c>
      <c r="I12" s="3">
        <v>97533428</v>
      </c>
      <c r="J12" s="3">
        <v>97996840</v>
      </c>
      <c r="K12" s="3">
        <v>100530627</v>
      </c>
      <c r="L12" s="3">
        <v>101269433</v>
      </c>
      <c r="M12" s="3">
        <v>104328756</v>
      </c>
      <c r="N12" s="3">
        <v>104816057</v>
      </c>
      <c r="O12" s="3">
        <v>105477253</v>
      </c>
      <c r="P12" s="3">
        <v>117048101</v>
      </c>
      <c r="Q12" s="3">
        <v>115328589</v>
      </c>
      <c r="R12" s="3">
        <v>101195786</v>
      </c>
      <c r="S12" s="3">
        <v>101195676</v>
      </c>
      <c r="T12" s="3">
        <v>102434807</v>
      </c>
      <c r="U12" s="3">
        <v>102967956</v>
      </c>
      <c r="V12" s="3">
        <v>103927609</v>
      </c>
      <c r="W12" s="3">
        <v>104983113</v>
      </c>
      <c r="X12" s="3">
        <v>94994011</v>
      </c>
      <c r="Y12" s="3">
        <v>95031848</v>
      </c>
      <c r="Z12" s="3">
        <v>96231769</v>
      </c>
      <c r="AA12" s="3">
        <v>97305766</v>
      </c>
      <c r="AB12" s="3">
        <v>98348711</v>
      </c>
      <c r="AC12" s="3">
        <v>99601796</v>
      </c>
      <c r="AD12" s="3">
        <v>102592229</v>
      </c>
      <c r="AE12" s="3">
        <v>105028617</v>
      </c>
      <c r="AF12" s="3">
        <v>109527624</v>
      </c>
      <c r="AG12" s="3">
        <v>113405320</v>
      </c>
      <c r="AH12" s="3">
        <v>116228186</v>
      </c>
      <c r="AI12" s="3">
        <v>117765824</v>
      </c>
      <c r="AJ12" s="3">
        <v>119467323</v>
      </c>
      <c r="AK12" s="3">
        <v>119825002</v>
      </c>
      <c r="AL12" s="3">
        <v>121784142</v>
      </c>
      <c r="AM12" s="3">
        <v>122791005</v>
      </c>
      <c r="AN12" s="3">
        <v>124374458</v>
      </c>
      <c r="AO12" s="3">
        <v>125495197</v>
      </c>
      <c r="AP12" s="3">
        <v>127252314</v>
      </c>
      <c r="AQ12" s="3">
        <v>128819165</v>
      </c>
      <c r="AR12" s="3">
        <f>129986127</f>
        <v>129986127</v>
      </c>
      <c r="AS12" s="3">
        <v>130709694</v>
      </c>
      <c r="AT12" s="3">
        <v>131511815</v>
      </c>
      <c r="AU12" s="3">
        <v>131888396</v>
      </c>
    </row>
    <row r="13" spans="1:47" x14ac:dyDescent="0.3">
      <c r="A13" s="1" t="s">
        <v>14</v>
      </c>
      <c r="B13" s="3">
        <v>0</v>
      </c>
      <c r="C13" s="3">
        <v>0</v>
      </c>
      <c r="D13" s="3">
        <v>0</v>
      </c>
      <c r="E13" s="3">
        <v>0</v>
      </c>
      <c r="F13" s="3">
        <v>0</v>
      </c>
      <c r="G13" s="3">
        <v>0</v>
      </c>
      <c r="H13" s="3">
        <v>0</v>
      </c>
      <c r="I13" s="3">
        <v>0</v>
      </c>
      <c r="J13" s="3">
        <v>0</v>
      </c>
      <c r="K13" s="3">
        <v>0</v>
      </c>
      <c r="L13" s="3">
        <v>0</v>
      </c>
      <c r="M13" s="3">
        <v>0</v>
      </c>
      <c r="N13" s="3">
        <v>0</v>
      </c>
      <c r="O13" s="3">
        <v>0</v>
      </c>
      <c r="P13" s="3">
        <v>25882308</v>
      </c>
      <c r="Q13" s="3">
        <v>26408283</v>
      </c>
      <c r="R13" s="3">
        <v>0</v>
      </c>
      <c r="S13" s="3">
        <v>0</v>
      </c>
      <c r="T13" s="3">
        <v>5370</v>
      </c>
      <c r="U13" s="3">
        <v>5398</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row>
    <row r="14" spans="1:47" x14ac:dyDescent="0.3">
      <c r="A14" s="1" t="s">
        <v>17</v>
      </c>
      <c r="B14" s="3">
        <v>106696992</v>
      </c>
      <c r="C14" s="3">
        <v>109080573</v>
      </c>
      <c r="D14" s="3">
        <v>108735877</v>
      </c>
      <c r="E14" s="3">
        <v>110806735</v>
      </c>
      <c r="F14" s="3">
        <v>100379772</v>
      </c>
      <c r="G14" s="3">
        <v>98401965</v>
      </c>
      <c r="H14" s="3">
        <v>97878746</v>
      </c>
      <c r="I14" s="3">
        <v>101505786</v>
      </c>
      <c r="J14" s="3">
        <v>117012595</v>
      </c>
      <c r="K14" s="3">
        <v>113155318</v>
      </c>
      <c r="L14" s="3">
        <v>121394117</v>
      </c>
      <c r="M14" s="3">
        <v>134319251</v>
      </c>
      <c r="N14" s="3">
        <v>131321707</v>
      </c>
      <c r="O14" s="3">
        <v>132353264</v>
      </c>
      <c r="P14" s="3">
        <v>139410442</v>
      </c>
      <c r="Q14" s="3">
        <v>152836010</v>
      </c>
      <c r="R14" s="3">
        <v>164602920</v>
      </c>
      <c r="S14" s="3">
        <v>174158585</v>
      </c>
      <c r="T14" s="3">
        <v>177622881</v>
      </c>
      <c r="U14" s="3">
        <v>187566723</v>
      </c>
      <c r="V14" s="3">
        <v>178526860</v>
      </c>
      <c r="W14" s="3">
        <v>184669235</v>
      </c>
      <c r="X14" s="3">
        <v>181548273</v>
      </c>
      <c r="Y14" s="3">
        <v>197594454</v>
      </c>
      <c r="Z14" s="3">
        <v>173426317</v>
      </c>
      <c r="AA14" s="3">
        <v>314218935</v>
      </c>
      <c r="AB14" s="3">
        <v>315797965</v>
      </c>
      <c r="AC14" s="3">
        <v>317838217</v>
      </c>
      <c r="AD14" s="3">
        <v>317130716</v>
      </c>
      <c r="AE14" s="3">
        <v>316443440</v>
      </c>
      <c r="AF14" s="3">
        <v>323983024</v>
      </c>
      <c r="AG14" s="3">
        <v>339199781</v>
      </c>
      <c r="AH14" s="3">
        <v>346360060</v>
      </c>
      <c r="AI14" s="3">
        <v>345398100</v>
      </c>
      <c r="AJ14" s="3">
        <v>340866744</v>
      </c>
      <c r="AK14" s="3">
        <v>349903732</v>
      </c>
      <c r="AL14" s="3">
        <v>353383430</v>
      </c>
      <c r="AM14" s="3">
        <v>372144394</v>
      </c>
      <c r="AN14" s="3">
        <v>376250154</v>
      </c>
      <c r="AO14" s="3">
        <v>391244667</v>
      </c>
      <c r="AP14" s="3">
        <v>392278105</v>
      </c>
      <c r="AQ14" s="3">
        <v>397430623</v>
      </c>
      <c r="AR14" s="3">
        <f>457311047</f>
        <v>457311047</v>
      </c>
      <c r="AS14" s="3">
        <v>493736447</v>
      </c>
      <c r="AT14" s="3">
        <v>500295909</v>
      </c>
      <c r="AU14" s="3">
        <v>503481514</v>
      </c>
    </row>
    <row r="15" spans="1:47" s="6" customFormat="1" x14ac:dyDescent="0.3">
      <c r="A15" s="6" t="s">
        <v>18</v>
      </c>
      <c r="B15" s="7">
        <f t="shared" ref="B15:E15" si="10">+SUM(B10:B14)</f>
        <v>372276914</v>
      </c>
      <c r="C15" s="7">
        <f t="shared" si="10"/>
        <v>375151884</v>
      </c>
      <c r="D15" s="7">
        <f t="shared" si="10"/>
        <v>381557449</v>
      </c>
      <c r="E15" s="7">
        <f t="shared" si="10"/>
        <v>409933493</v>
      </c>
      <c r="F15" s="7">
        <f t="shared" ref="F15:T15" si="11">+SUM(F10:F14)</f>
        <v>403053648</v>
      </c>
      <c r="G15" s="7">
        <f t="shared" si="11"/>
        <v>405813980</v>
      </c>
      <c r="H15" s="7">
        <f t="shared" si="11"/>
        <v>410579100</v>
      </c>
      <c r="I15" s="7">
        <f t="shared" si="11"/>
        <v>417532939</v>
      </c>
      <c r="J15" s="7">
        <f t="shared" si="11"/>
        <v>438697260</v>
      </c>
      <c r="K15" s="7">
        <f t="shared" si="11"/>
        <v>453111764</v>
      </c>
      <c r="L15" s="7">
        <f t="shared" si="11"/>
        <v>467976456</v>
      </c>
      <c r="M15" s="7">
        <f t="shared" si="11"/>
        <v>505136418</v>
      </c>
      <c r="N15" s="7">
        <f t="shared" si="11"/>
        <v>482909371</v>
      </c>
      <c r="O15" s="7">
        <f t="shared" si="11"/>
        <v>479957979</v>
      </c>
      <c r="P15" s="7">
        <f t="shared" si="11"/>
        <v>486557304</v>
      </c>
      <c r="Q15" s="7">
        <f t="shared" si="11"/>
        <v>548631910</v>
      </c>
      <c r="R15" s="7">
        <f t="shared" si="11"/>
        <v>548473633</v>
      </c>
      <c r="S15" s="7">
        <f t="shared" si="11"/>
        <v>547354159</v>
      </c>
      <c r="T15" s="7">
        <f t="shared" si="11"/>
        <v>556783363</v>
      </c>
      <c r="U15" s="7">
        <f t="shared" ref="U15:AG15" si="12">+SUM(U10:U14)</f>
        <v>570103044</v>
      </c>
      <c r="V15" s="7">
        <f t="shared" si="12"/>
        <v>564622968</v>
      </c>
      <c r="W15" s="7">
        <f t="shared" si="12"/>
        <v>575973479</v>
      </c>
      <c r="X15" s="7">
        <f t="shared" si="12"/>
        <v>498418824</v>
      </c>
      <c r="Y15" s="7">
        <f t="shared" si="12"/>
        <v>519670679</v>
      </c>
      <c r="Z15" s="7">
        <f t="shared" si="12"/>
        <v>501968178</v>
      </c>
      <c r="AA15" s="7">
        <f t="shared" si="12"/>
        <v>637573516</v>
      </c>
      <c r="AB15" s="7">
        <f t="shared" si="12"/>
        <v>642618335</v>
      </c>
      <c r="AC15" s="7">
        <f t="shared" si="12"/>
        <v>648822684</v>
      </c>
      <c r="AD15" s="7">
        <f t="shared" si="12"/>
        <v>657774987</v>
      </c>
      <c r="AE15" s="7">
        <f t="shared" si="12"/>
        <v>668083491</v>
      </c>
      <c r="AF15" s="7">
        <f t="shared" si="12"/>
        <v>690685934</v>
      </c>
      <c r="AG15" s="7">
        <f t="shared" si="12"/>
        <v>720520643</v>
      </c>
      <c r="AH15" s="7">
        <f t="shared" ref="AH15:AI15" si="13">+SUM(AH10:AH14)</f>
        <v>732609445</v>
      </c>
      <c r="AI15" s="7">
        <f t="shared" si="13"/>
        <v>738322685</v>
      </c>
      <c r="AJ15" s="7">
        <f t="shared" ref="AJ15:AK15" si="14">+SUM(AJ10:AJ14)</f>
        <v>739511671</v>
      </c>
      <c r="AK15" s="7">
        <f t="shared" si="14"/>
        <v>750942758</v>
      </c>
      <c r="AL15" s="7">
        <f t="shared" ref="AL15:AM15" si="15">+SUM(AL10:AL14)</f>
        <v>761333497</v>
      </c>
      <c r="AM15" s="7">
        <f t="shared" si="15"/>
        <v>793430307</v>
      </c>
      <c r="AN15" s="7">
        <f t="shared" ref="AN15:AO15" si="16">+SUM(AN10:AN14)</f>
        <v>804540363</v>
      </c>
      <c r="AO15" s="7">
        <f t="shared" si="16"/>
        <v>815636119</v>
      </c>
      <c r="AP15" s="7">
        <f t="shared" ref="AP15:AQ15" si="17">+SUM(AP10:AP14)</f>
        <v>823234930</v>
      </c>
      <c r="AQ15" s="7">
        <f t="shared" si="17"/>
        <v>836265564</v>
      </c>
      <c r="AR15" s="7">
        <f t="shared" ref="AR15:AS15" si="18">+SUM(AR10:AR14)</f>
        <v>839781944</v>
      </c>
      <c r="AS15" s="7">
        <f t="shared" si="18"/>
        <v>866384059</v>
      </c>
      <c r="AT15" s="7">
        <f t="shared" ref="AT15:AU15" si="19">+SUM(AT10:AT14)</f>
        <v>873952786</v>
      </c>
      <c r="AU15" s="7">
        <f t="shared" si="19"/>
        <v>875877673</v>
      </c>
    </row>
    <row r="16" spans="1:47" s="11" customFormat="1" ht="15.6" x14ac:dyDescent="0.3">
      <c r="A16" s="11" t="s">
        <v>19</v>
      </c>
      <c r="B16" s="12">
        <f t="shared" ref="B16:E16" si="20">+B15+B9</f>
        <v>380177518</v>
      </c>
      <c r="C16" s="12">
        <f t="shared" si="20"/>
        <v>397703282</v>
      </c>
      <c r="D16" s="12">
        <f t="shared" si="20"/>
        <v>394782301</v>
      </c>
      <c r="E16" s="12">
        <f t="shared" si="20"/>
        <v>443283708</v>
      </c>
      <c r="F16" s="12">
        <f t="shared" ref="F16:T16" si="21">+F15+F9</f>
        <v>449453651</v>
      </c>
      <c r="G16" s="12">
        <f t="shared" si="21"/>
        <v>451811222</v>
      </c>
      <c r="H16" s="12">
        <f t="shared" si="21"/>
        <v>444928635</v>
      </c>
      <c r="I16" s="12">
        <f t="shared" si="21"/>
        <v>450130656</v>
      </c>
      <c r="J16" s="12">
        <f t="shared" si="21"/>
        <v>489268184</v>
      </c>
      <c r="K16" s="12">
        <f t="shared" si="21"/>
        <v>491857629</v>
      </c>
      <c r="L16" s="12">
        <f t="shared" si="21"/>
        <v>500944740</v>
      </c>
      <c r="M16" s="12">
        <f t="shared" si="21"/>
        <v>505748308</v>
      </c>
      <c r="N16" s="12">
        <f t="shared" si="21"/>
        <v>510763003</v>
      </c>
      <c r="O16" s="12">
        <f t="shared" si="21"/>
        <v>512358538</v>
      </c>
      <c r="P16" s="12">
        <f t="shared" si="21"/>
        <v>513295988</v>
      </c>
      <c r="Q16" s="12">
        <f t="shared" si="21"/>
        <v>549644690</v>
      </c>
      <c r="R16" s="12">
        <f t="shared" si="21"/>
        <v>559804980</v>
      </c>
      <c r="S16" s="12">
        <f t="shared" si="21"/>
        <v>585357584</v>
      </c>
      <c r="T16" s="12">
        <f t="shared" si="21"/>
        <v>583914815</v>
      </c>
      <c r="U16" s="12">
        <f t="shared" ref="U16:AG16" si="22">+U15+U9</f>
        <v>604308281</v>
      </c>
      <c r="V16" s="12">
        <f t="shared" si="22"/>
        <v>606759133</v>
      </c>
      <c r="W16" s="12">
        <f t="shared" si="22"/>
        <v>612562338</v>
      </c>
      <c r="X16" s="12">
        <f t="shared" si="22"/>
        <v>522939514</v>
      </c>
      <c r="Y16" s="12">
        <f t="shared" si="22"/>
        <v>537831318</v>
      </c>
      <c r="Z16" s="12">
        <f t="shared" si="22"/>
        <v>540615365</v>
      </c>
      <c r="AA16" s="12">
        <f t="shared" si="22"/>
        <v>711081828</v>
      </c>
      <c r="AB16" s="12">
        <f t="shared" si="22"/>
        <v>705477096</v>
      </c>
      <c r="AC16" s="12">
        <f t="shared" si="22"/>
        <v>652225403</v>
      </c>
      <c r="AD16" s="12">
        <f t="shared" si="22"/>
        <v>665561479</v>
      </c>
      <c r="AE16" s="12">
        <f t="shared" si="22"/>
        <v>684321915</v>
      </c>
      <c r="AF16" s="12">
        <f t="shared" si="22"/>
        <v>697857772</v>
      </c>
      <c r="AG16" s="12">
        <f t="shared" si="22"/>
        <v>728079778</v>
      </c>
      <c r="AH16" s="12">
        <f t="shared" ref="AH16:AI16" si="23">+AH15+AH9</f>
        <v>743046705</v>
      </c>
      <c r="AI16" s="12">
        <f t="shared" si="23"/>
        <v>759118978</v>
      </c>
      <c r="AJ16" s="12">
        <f t="shared" ref="AJ16:AK16" si="24">+AJ15+AJ9</f>
        <v>752809952</v>
      </c>
      <c r="AK16" s="12">
        <f t="shared" si="24"/>
        <v>765343185</v>
      </c>
      <c r="AL16" s="12">
        <f t="shared" ref="AL16:AM16" si="25">+AL15+AL9</f>
        <v>778193302</v>
      </c>
      <c r="AM16" s="12">
        <f t="shared" si="25"/>
        <v>818589299</v>
      </c>
      <c r="AN16" s="12">
        <f t="shared" ref="AN16:AO16" si="26">+AN15+AN9</f>
        <v>827032217</v>
      </c>
      <c r="AO16" s="12">
        <f t="shared" si="26"/>
        <v>907556284</v>
      </c>
      <c r="AP16" s="12">
        <f t="shared" ref="AP16:AQ16" si="27">+AP15+AP9</f>
        <v>891738559</v>
      </c>
      <c r="AQ16" s="12">
        <f t="shared" si="27"/>
        <v>854770326</v>
      </c>
      <c r="AR16" s="12">
        <f t="shared" ref="AR16:AS16" si="28">+AR15+AR9</f>
        <v>848457769</v>
      </c>
      <c r="AS16" s="12">
        <f t="shared" si="28"/>
        <v>878691200</v>
      </c>
      <c r="AT16" s="12">
        <f t="shared" ref="AT16:AU16" si="29">+AT15+AT9</f>
        <v>886658356</v>
      </c>
      <c r="AU16" s="12">
        <f t="shared" si="29"/>
        <v>895314519</v>
      </c>
    </row>
    <row r="17" spans="1:47" x14ac:dyDescent="0.3">
      <c r="A17" s="1" t="s">
        <v>20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row>
    <row r="18" spans="1:47" x14ac:dyDescent="0.3">
      <c r="A18" s="1" t="s">
        <v>21</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row>
    <row r="19" spans="1:47" x14ac:dyDescent="0.3">
      <c r="A19" s="1" t="s">
        <v>22</v>
      </c>
      <c r="B19" s="3">
        <v>63500948</v>
      </c>
      <c r="C19" s="3">
        <v>474284</v>
      </c>
      <c r="D19" s="3">
        <v>485285</v>
      </c>
      <c r="E19" s="3">
        <v>37733684</v>
      </c>
      <c r="F19" s="3">
        <v>38796979</v>
      </c>
      <c r="G19" s="3">
        <v>37208122</v>
      </c>
      <c r="H19" s="3">
        <v>37129185</v>
      </c>
      <c r="I19" s="3">
        <v>36708362</v>
      </c>
      <c r="J19" s="3">
        <v>3038397</v>
      </c>
      <c r="K19" s="3">
        <v>3174749</v>
      </c>
      <c r="L19" s="3">
        <v>10902070</v>
      </c>
      <c r="M19" s="3">
        <v>4520741</v>
      </c>
      <c r="N19" s="3">
        <v>5488530</v>
      </c>
      <c r="O19" s="3">
        <v>3211462</v>
      </c>
      <c r="P19" s="3">
        <v>7723687</v>
      </c>
      <c r="Q19" s="3">
        <v>26181310</v>
      </c>
      <c r="R19" s="3">
        <v>27359280</v>
      </c>
      <c r="S19" s="3">
        <v>3266242</v>
      </c>
      <c r="T19" s="3">
        <v>4470213</v>
      </c>
      <c r="U19" s="3">
        <v>4611879</v>
      </c>
      <c r="V19" s="3">
        <v>5847381</v>
      </c>
      <c r="W19" s="3">
        <v>3386546</v>
      </c>
      <c r="X19" s="3">
        <v>833507</v>
      </c>
      <c r="Y19" s="3">
        <v>57670051</v>
      </c>
      <c r="Z19" s="3">
        <v>58953804</v>
      </c>
      <c r="AA19" s="3">
        <v>162331835</v>
      </c>
      <c r="AB19" s="3">
        <v>163718752</v>
      </c>
      <c r="AC19" s="3">
        <v>233849</v>
      </c>
      <c r="AD19" s="3">
        <v>782482</v>
      </c>
      <c r="AE19" s="3">
        <v>240107</v>
      </c>
      <c r="AF19" s="3">
        <v>821716</v>
      </c>
      <c r="AG19" s="3">
        <v>266188</v>
      </c>
      <c r="AH19" s="3">
        <v>886433</v>
      </c>
      <c r="AI19" s="3">
        <v>269155</v>
      </c>
      <c r="AJ19" s="3">
        <v>896233</v>
      </c>
      <c r="AK19" s="3">
        <v>281182</v>
      </c>
      <c r="AL19" s="3">
        <v>56083608</v>
      </c>
      <c r="AM19" s="3">
        <v>130267362</v>
      </c>
      <c r="AN19" s="3">
        <v>101299814</v>
      </c>
      <c r="AO19" s="3">
        <v>79754220</v>
      </c>
      <c r="AP19" s="3">
        <v>54569064</v>
      </c>
      <c r="AQ19" s="3">
        <v>137958183</v>
      </c>
      <c r="AR19" s="3">
        <f>138512188</f>
        <v>138512188</v>
      </c>
      <c r="AS19" s="3">
        <v>140189002</v>
      </c>
      <c r="AT19" s="3">
        <v>140288127</v>
      </c>
      <c r="AU19" s="3">
        <v>22691019</v>
      </c>
    </row>
    <row r="20" spans="1:47" x14ac:dyDescent="0.3">
      <c r="A20" s="1" t="s">
        <v>23</v>
      </c>
      <c r="B20" s="3">
        <v>849886</v>
      </c>
      <c r="C20" s="3">
        <v>850053</v>
      </c>
      <c r="D20" s="3">
        <v>346065</v>
      </c>
      <c r="E20" s="3">
        <v>351106</v>
      </c>
      <c r="F20" s="3">
        <v>1643749</v>
      </c>
      <c r="G20" s="3">
        <v>199621</v>
      </c>
      <c r="H20" s="3">
        <v>72563</v>
      </c>
      <c r="I20" s="3">
        <v>72652</v>
      </c>
      <c r="J20" s="3">
        <v>1374813</v>
      </c>
      <c r="K20" s="3">
        <v>1375159</v>
      </c>
      <c r="L20" s="3">
        <v>73873</v>
      </c>
      <c r="M20" s="3">
        <v>73850</v>
      </c>
      <c r="N20" s="3">
        <v>2736608</v>
      </c>
      <c r="O20" s="3">
        <v>2737075</v>
      </c>
      <c r="P20" s="3">
        <v>56431</v>
      </c>
      <c r="Q20" s="3">
        <v>56844</v>
      </c>
      <c r="R20" s="3">
        <v>2669244</v>
      </c>
      <c r="S20" s="3">
        <v>2669244</v>
      </c>
      <c r="T20" s="3">
        <v>57978</v>
      </c>
      <c r="U20" s="3">
        <v>58280</v>
      </c>
      <c r="V20" s="3">
        <v>2385433</v>
      </c>
      <c r="W20" s="3">
        <v>2386030</v>
      </c>
      <c r="X20" s="3">
        <v>59626</v>
      </c>
      <c r="Y20" s="3">
        <v>59649</v>
      </c>
      <c r="Z20" s="3">
        <v>3912119</v>
      </c>
      <c r="AA20" s="3">
        <v>3912794</v>
      </c>
      <c r="AB20" s="3">
        <v>61731</v>
      </c>
      <c r="AC20" s="3">
        <v>62518</v>
      </c>
      <c r="AD20" s="3">
        <v>2803975</v>
      </c>
      <c r="AE20" s="3">
        <v>2805504</v>
      </c>
      <c r="AF20" s="3">
        <v>68748</v>
      </c>
      <c r="AG20" s="3">
        <v>71182</v>
      </c>
      <c r="AH20" s="3">
        <v>3222571</v>
      </c>
      <c r="AI20" s="3">
        <v>3223536</v>
      </c>
      <c r="AJ20" s="3">
        <v>74987</v>
      </c>
      <c r="AK20" s="3">
        <v>75212</v>
      </c>
      <c r="AL20" s="3">
        <v>3558549</v>
      </c>
      <c r="AM20" s="3">
        <v>3561159</v>
      </c>
      <c r="AN20" s="3">
        <v>80071</v>
      </c>
      <c r="AO20" s="3">
        <v>83064</v>
      </c>
      <c r="AP20" s="3">
        <v>3188157</v>
      </c>
      <c r="AQ20" s="3">
        <v>3189203</v>
      </c>
      <c r="AR20" s="3">
        <v>86036</v>
      </c>
      <c r="AS20" s="3">
        <v>86515</v>
      </c>
      <c r="AT20" s="3">
        <v>3473662</v>
      </c>
      <c r="AU20" s="3">
        <v>3483609</v>
      </c>
    </row>
    <row r="21" spans="1:47" x14ac:dyDescent="0.3">
      <c r="A21" s="1" t="s">
        <v>24</v>
      </c>
      <c r="B21" s="3">
        <v>10646</v>
      </c>
      <c r="C21" s="3">
        <v>8882</v>
      </c>
      <c r="D21" s="3">
        <v>21548</v>
      </c>
      <c r="E21" s="3">
        <v>16777</v>
      </c>
      <c r="F21" s="3">
        <v>208048</v>
      </c>
      <c r="G21" s="3">
        <v>11636187</v>
      </c>
      <c r="H21" s="3">
        <v>233229</v>
      </c>
      <c r="I21" s="3">
        <v>208643</v>
      </c>
      <c r="J21" s="3">
        <v>202732</v>
      </c>
      <c r="K21" s="3">
        <v>7785</v>
      </c>
      <c r="L21" s="3">
        <v>15282</v>
      </c>
      <c r="M21" s="3">
        <v>15205</v>
      </c>
      <c r="N21" s="3">
        <v>178891</v>
      </c>
      <c r="O21" s="3">
        <v>166311</v>
      </c>
      <c r="P21" s="3">
        <v>35438</v>
      </c>
      <c r="Q21" s="3">
        <v>28165</v>
      </c>
      <c r="R21" s="3">
        <v>110971</v>
      </c>
      <c r="S21" s="3">
        <v>246178</v>
      </c>
      <c r="T21" s="3">
        <v>14668</v>
      </c>
      <c r="U21" s="3">
        <v>16152</v>
      </c>
      <c r="V21" s="3">
        <v>110529</v>
      </c>
      <c r="W21" s="3">
        <v>47656</v>
      </c>
      <c r="X21" s="3">
        <v>52236</v>
      </c>
      <c r="Y21" s="3">
        <v>8420</v>
      </c>
      <c r="Z21" s="3">
        <v>24507</v>
      </c>
      <c r="AA21" s="3">
        <v>10802564</v>
      </c>
      <c r="AB21" s="3">
        <v>370457</v>
      </c>
      <c r="AC21" s="3">
        <v>27218</v>
      </c>
      <c r="AD21" s="3">
        <v>9907</v>
      </c>
      <c r="AE21" s="3">
        <v>10871847</v>
      </c>
      <c r="AF21" s="3">
        <v>11593</v>
      </c>
      <c r="AG21" s="3">
        <v>8505</v>
      </c>
      <c r="AH21" s="3">
        <v>39395</v>
      </c>
      <c r="AI21" s="3">
        <v>13650143</v>
      </c>
      <c r="AJ21" s="3">
        <v>7211</v>
      </c>
      <c r="AK21" s="3">
        <v>4142</v>
      </c>
      <c r="AL21" s="3">
        <v>18278</v>
      </c>
      <c r="AM21" s="3">
        <v>15673215</v>
      </c>
      <c r="AN21" s="3">
        <v>10001</v>
      </c>
      <c r="AO21" s="3">
        <v>7879</v>
      </c>
      <c r="AP21" s="3">
        <v>1014</v>
      </c>
      <c r="AQ21" s="3">
        <v>18611705</v>
      </c>
      <c r="AR21" s="3">
        <v>13760</v>
      </c>
      <c r="AS21" s="3">
        <v>8816</v>
      </c>
      <c r="AT21" s="3">
        <v>12807</v>
      </c>
      <c r="AU21" s="3">
        <v>21511180</v>
      </c>
    </row>
    <row r="22" spans="1:47" x14ac:dyDescent="0.3">
      <c r="A22" s="1" t="s">
        <v>25</v>
      </c>
      <c r="B22" s="3">
        <v>64125</v>
      </c>
      <c r="C22" s="3">
        <v>67881</v>
      </c>
      <c r="D22" s="3">
        <v>65178</v>
      </c>
      <c r="E22" s="3">
        <v>65197</v>
      </c>
      <c r="F22" s="3">
        <v>66665</v>
      </c>
      <c r="G22" s="3">
        <v>1318753</v>
      </c>
      <c r="H22" s="3">
        <v>35415</v>
      </c>
      <c r="I22" s="3">
        <v>31577</v>
      </c>
      <c r="J22" s="3">
        <v>22837</v>
      </c>
      <c r="K22" s="3">
        <v>26666</v>
      </c>
      <c r="L22" s="3">
        <v>21621</v>
      </c>
      <c r="M22" s="3">
        <v>33283</v>
      </c>
      <c r="N22" s="3">
        <v>35118</v>
      </c>
      <c r="O22" s="3">
        <v>40016</v>
      </c>
      <c r="P22" s="3">
        <v>27662</v>
      </c>
      <c r="Q22" s="3">
        <v>34403</v>
      </c>
      <c r="R22" s="3">
        <v>37729</v>
      </c>
      <c r="S22" s="3">
        <v>59889</v>
      </c>
      <c r="T22" s="3">
        <v>28320</v>
      </c>
      <c r="U22" s="3">
        <v>46022</v>
      </c>
      <c r="V22" s="3">
        <v>50631</v>
      </c>
      <c r="W22" s="3">
        <v>48070</v>
      </c>
      <c r="X22" s="3">
        <v>32955</v>
      </c>
      <c r="Y22" s="3">
        <v>40470</v>
      </c>
      <c r="Z22" s="3">
        <v>30895</v>
      </c>
      <c r="AA22" s="3">
        <v>42415</v>
      </c>
      <c r="AB22" s="3">
        <v>54276</v>
      </c>
      <c r="AC22" s="3">
        <v>38646</v>
      </c>
      <c r="AD22" s="3">
        <v>63148</v>
      </c>
      <c r="AE22" s="3">
        <v>55239</v>
      </c>
      <c r="AF22" s="3">
        <v>53249</v>
      </c>
      <c r="AG22" s="3">
        <v>51390</v>
      </c>
      <c r="AH22" s="3">
        <v>38002</v>
      </c>
      <c r="AI22" s="3">
        <v>31440</v>
      </c>
      <c r="AJ22" s="3">
        <v>47928</v>
      </c>
      <c r="AK22" s="3">
        <v>62249</v>
      </c>
      <c r="AL22" s="3">
        <v>49101</v>
      </c>
      <c r="AM22" s="3">
        <v>57736</v>
      </c>
      <c r="AN22" s="3">
        <v>37501</v>
      </c>
      <c r="AO22" s="3">
        <v>65788</v>
      </c>
      <c r="AP22" s="3">
        <v>57428</v>
      </c>
      <c r="AQ22" s="3">
        <v>49539</v>
      </c>
      <c r="AR22" s="3">
        <v>47206</v>
      </c>
      <c r="AS22" s="3">
        <v>49161</v>
      </c>
      <c r="AT22" s="3">
        <v>86064</v>
      </c>
      <c r="AU22" s="3">
        <v>85916</v>
      </c>
    </row>
    <row r="23" spans="1:47" s="6" customFormat="1" x14ac:dyDescent="0.3">
      <c r="A23" s="6" t="s">
        <v>26</v>
      </c>
      <c r="B23" s="7">
        <f t="shared" ref="B23:E23" si="30">+SUM(B18:B22)</f>
        <v>64425605</v>
      </c>
      <c r="C23" s="7">
        <f t="shared" si="30"/>
        <v>1401100</v>
      </c>
      <c r="D23" s="7">
        <f t="shared" si="30"/>
        <v>918076</v>
      </c>
      <c r="E23" s="7">
        <f t="shared" si="30"/>
        <v>38166764</v>
      </c>
      <c r="F23" s="7">
        <f t="shared" ref="F23:T23" si="31">+SUM(F18:F22)</f>
        <v>40715441</v>
      </c>
      <c r="G23" s="7">
        <f t="shared" si="31"/>
        <v>50362683</v>
      </c>
      <c r="H23" s="7">
        <f t="shared" si="31"/>
        <v>37470392</v>
      </c>
      <c r="I23" s="7">
        <f t="shared" si="31"/>
        <v>37021234</v>
      </c>
      <c r="J23" s="7">
        <f t="shared" si="31"/>
        <v>4638779</v>
      </c>
      <c r="K23" s="7">
        <f t="shared" si="31"/>
        <v>4584359</v>
      </c>
      <c r="L23" s="7">
        <f t="shared" si="31"/>
        <v>11012846</v>
      </c>
      <c r="M23" s="7">
        <f t="shared" si="31"/>
        <v>4643079</v>
      </c>
      <c r="N23" s="7">
        <f t="shared" si="31"/>
        <v>8439147</v>
      </c>
      <c r="O23" s="7">
        <f t="shared" si="31"/>
        <v>6154864</v>
      </c>
      <c r="P23" s="7">
        <f t="shared" si="31"/>
        <v>7843218</v>
      </c>
      <c r="Q23" s="7">
        <f t="shared" si="31"/>
        <v>26300722</v>
      </c>
      <c r="R23" s="7">
        <f t="shared" si="31"/>
        <v>30177224</v>
      </c>
      <c r="S23" s="7">
        <f t="shared" si="31"/>
        <v>6241553</v>
      </c>
      <c r="T23" s="7">
        <f t="shared" si="31"/>
        <v>4571179</v>
      </c>
      <c r="U23" s="7">
        <f t="shared" ref="U23:AG23" si="32">+SUM(U18:U22)</f>
        <v>4732333</v>
      </c>
      <c r="V23" s="7">
        <f t="shared" si="32"/>
        <v>8393974</v>
      </c>
      <c r="W23" s="7">
        <f t="shared" si="32"/>
        <v>5868302</v>
      </c>
      <c r="X23" s="7">
        <f t="shared" si="32"/>
        <v>978324</v>
      </c>
      <c r="Y23" s="7">
        <f t="shared" si="32"/>
        <v>57778590</v>
      </c>
      <c r="Z23" s="7">
        <f t="shared" si="32"/>
        <v>62921325</v>
      </c>
      <c r="AA23" s="7">
        <f t="shared" si="32"/>
        <v>177089608</v>
      </c>
      <c r="AB23" s="7">
        <f t="shared" si="32"/>
        <v>164205216</v>
      </c>
      <c r="AC23" s="7">
        <f t="shared" si="32"/>
        <v>362231</v>
      </c>
      <c r="AD23" s="7">
        <f t="shared" si="32"/>
        <v>3659512</v>
      </c>
      <c r="AE23" s="7">
        <f t="shared" si="32"/>
        <v>13972697</v>
      </c>
      <c r="AF23" s="7">
        <f t="shared" si="32"/>
        <v>955306</v>
      </c>
      <c r="AG23" s="7">
        <f t="shared" si="32"/>
        <v>397265</v>
      </c>
      <c r="AH23" s="7">
        <f t="shared" ref="AH23:AI23" si="33">+SUM(AH18:AH22)</f>
        <v>4186401</v>
      </c>
      <c r="AI23" s="7">
        <f t="shared" si="33"/>
        <v>17174274</v>
      </c>
      <c r="AJ23" s="7">
        <f t="shared" ref="AJ23:AL23" si="34">+SUM(AJ18:AJ22)</f>
        <v>1026359</v>
      </c>
      <c r="AK23" s="7">
        <f t="shared" si="34"/>
        <v>422785</v>
      </c>
      <c r="AL23" s="7">
        <f t="shared" si="34"/>
        <v>59709536</v>
      </c>
      <c r="AM23" s="7">
        <f t="shared" ref="AM23:AN23" si="35">+SUM(AM18:AM22)</f>
        <v>149559472</v>
      </c>
      <c r="AN23" s="7">
        <f t="shared" si="35"/>
        <v>101427387</v>
      </c>
      <c r="AO23" s="7">
        <f t="shared" ref="AO23:AP23" si="36">+SUM(AO18:AO22)</f>
        <v>79910951</v>
      </c>
      <c r="AP23" s="7">
        <f t="shared" si="36"/>
        <v>57815663</v>
      </c>
      <c r="AQ23" s="7">
        <f t="shared" ref="AQ23:AR23" si="37">+SUM(AQ18:AQ22)</f>
        <v>159808630</v>
      </c>
      <c r="AR23" s="7">
        <f t="shared" si="37"/>
        <v>138659190</v>
      </c>
      <c r="AS23" s="7">
        <f t="shared" ref="AS23:AT23" si="38">+SUM(AS18:AS22)</f>
        <v>140333494</v>
      </c>
      <c r="AT23" s="7">
        <f t="shared" si="38"/>
        <v>143860660</v>
      </c>
      <c r="AU23" s="7">
        <f t="shared" ref="AU23" si="39">+SUM(AU18:AU22)</f>
        <v>47771724</v>
      </c>
    </row>
    <row r="24" spans="1:47" x14ac:dyDescent="0.3">
      <c r="A24" s="1" t="s">
        <v>27</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row>
    <row r="25" spans="1:47" x14ac:dyDescent="0.3">
      <c r="A25" s="1" t="s">
        <v>25</v>
      </c>
      <c r="B25" s="3">
        <v>0</v>
      </c>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15703</v>
      </c>
      <c r="Y25" s="3">
        <v>27665</v>
      </c>
      <c r="Z25" s="3">
        <v>39364</v>
      </c>
      <c r="AA25" s="3">
        <v>47064</v>
      </c>
      <c r="AB25" s="3">
        <v>39748</v>
      </c>
      <c r="AC25" s="3">
        <v>34814</v>
      </c>
      <c r="AD25" s="3">
        <v>31609</v>
      </c>
      <c r="AE25" s="3">
        <v>29516</v>
      </c>
      <c r="AF25" s="3">
        <v>23051</v>
      </c>
      <c r="AG25" s="3">
        <v>17764</v>
      </c>
      <c r="AH25" s="3">
        <v>16177</v>
      </c>
      <c r="AI25" s="3">
        <v>6559</v>
      </c>
      <c r="AJ25" s="3">
        <v>0</v>
      </c>
      <c r="AK25" s="3">
        <v>0</v>
      </c>
      <c r="AL25" s="3">
        <v>931445</v>
      </c>
      <c r="AM25" s="3">
        <v>0</v>
      </c>
      <c r="AN25" s="3">
        <v>4000825</v>
      </c>
      <c r="AO25" s="3">
        <v>0</v>
      </c>
      <c r="AP25" s="3">
        <v>68458</v>
      </c>
      <c r="AQ25" s="3">
        <v>74542</v>
      </c>
      <c r="AR25" s="3">
        <v>1211277</v>
      </c>
      <c r="AS25" s="3">
        <v>1557872</v>
      </c>
      <c r="AT25" s="3">
        <v>0</v>
      </c>
      <c r="AU25" s="3">
        <v>0</v>
      </c>
    </row>
    <row r="26" spans="1:47" x14ac:dyDescent="0.3">
      <c r="A26" s="1" t="s">
        <v>22</v>
      </c>
      <c r="B26" s="3">
        <v>857492</v>
      </c>
      <c r="C26" s="3">
        <v>75099706</v>
      </c>
      <c r="D26" s="3">
        <v>76683305</v>
      </c>
      <c r="E26" s="3">
        <v>76554300</v>
      </c>
      <c r="F26" s="3">
        <v>77280040</v>
      </c>
      <c r="G26" s="3">
        <v>77701150</v>
      </c>
      <c r="H26" s="3">
        <v>79453940</v>
      </c>
      <c r="I26" s="3">
        <v>80484125</v>
      </c>
      <c r="J26" s="3">
        <v>131626988</v>
      </c>
      <c r="K26" s="3">
        <v>129877296</v>
      </c>
      <c r="L26" s="3">
        <v>130824834</v>
      </c>
      <c r="M26" s="3">
        <v>130770603</v>
      </c>
      <c r="N26" s="3">
        <v>131481050</v>
      </c>
      <c r="O26" s="3">
        <v>129895877</v>
      </c>
      <c r="P26" s="3">
        <v>130819916</v>
      </c>
      <c r="Q26" s="3">
        <v>131790651</v>
      </c>
      <c r="R26" s="3">
        <v>132793955</v>
      </c>
      <c r="S26" s="3">
        <v>171564252</v>
      </c>
      <c r="T26" s="3">
        <v>173666483</v>
      </c>
      <c r="U26" s="3">
        <v>174579181</v>
      </c>
      <c r="V26" s="3">
        <v>176208593</v>
      </c>
      <c r="W26" s="3">
        <v>175436859</v>
      </c>
      <c r="X26" s="3">
        <v>100286133</v>
      </c>
      <c r="Y26" s="3">
        <v>42948879</v>
      </c>
      <c r="Z26" s="3">
        <v>43493850</v>
      </c>
      <c r="AA26" s="3">
        <v>102181963</v>
      </c>
      <c r="AB26" s="3">
        <v>104408043</v>
      </c>
      <c r="AC26" s="3">
        <v>210172546</v>
      </c>
      <c r="AD26" s="3">
        <v>216481168</v>
      </c>
      <c r="AE26" s="3">
        <v>221671731</v>
      </c>
      <c r="AF26" s="3">
        <v>231203391</v>
      </c>
      <c r="AG26" s="3">
        <v>239385163</v>
      </c>
      <c r="AH26" s="3">
        <v>245343898</v>
      </c>
      <c r="AI26" s="3">
        <v>248634936</v>
      </c>
      <c r="AJ26" s="3">
        <v>252227251</v>
      </c>
      <c r="AK26" s="3">
        <v>253026607</v>
      </c>
      <c r="AL26" s="3">
        <v>202007238</v>
      </c>
      <c r="AM26" s="3">
        <v>129354029</v>
      </c>
      <c r="AN26" s="3">
        <v>174732509</v>
      </c>
      <c r="AO26" s="3">
        <v>235616221</v>
      </c>
      <c r="AP26" s="3">
        <v>238862592</v>
      </c>
      <c r="AQ26" s="3">
        <v>106075530</v>
      </c>
      <c r="AR26" s="3">
        <v>107197419</v>
      </c>
      <c r="AS26" s="3">
        <v>107794133</v>
      </c>
      <c r="AT26" s="3">
        <v>108564320</v>
      </c>
      <c r="AU26" s="3">
        <v>228400351</v>
      </c>
    </row>
    <row r="27" spans="1:47" s="6" customFormat="1" x14ac:dyDescent="0.3">
      <c r="A27" s="6" t="s">
        <v>28</v>
      </c>
      <c r="B27" s="7">
        <f t="shared" ref="B27:E27" si="40">+SUM(B24:B26)</f>
        <v>857492</v>
      </c>
      <c r="C27" s="7">
        <f t="shared" si="40"/>
        <v>75099706</v>
      </c>
      <c r="D27" s="7">
        <f t="shared" si="40"/>
        <v>76683305</v>
      </c>
      <c r="E27" s="7">
        <f t="shared" si="40"/>
        <v>76554300</v>
      </c>
      <c r="F27" s="7">
        <f t="shared" ref="F27:T27" si="41">+SUM(F24:F26)</f>
        <v>77280040</v>
      </c>
      <c r="G27" s="7">
        <f t="shared" si="41"/>
        <v>77701150</v>
      </c>
      <c r="H27" s="7">
        <f t="shared" si="41"/>
        <v>79453940</v>
      </c>
      <c r="I27" s="7">
        <f t="shared" si="41"/>
        <v>80484125</v>
      </c>
      <c r="J27" s="7">
        <f t="shared" si="41"/>
        <v>131626988</v>
      </c>
      <c r="K27" s="7">
        <f t="shared" si="41"/>
        <v>129877296</v>
      </c>
      <c r="L27" s="7">
        <f t="shared" si="41"/>
        <v>130824834</v>
      </c>
      <c r="M27" s="7">
        <f t="shared" si="41"/>
        <v>130770603</v>
      </c>
      <c r="N27" s="7">
        <f t="shared" si="41"/>
        <v>131481050</v>
      </c>
      <c r="O27" s="7">
        <f t="shared" si="41"/>
        <v>129895877</v>
      </c>
      <c r="P27" s="7">
        <f t="shared" si="41"/>
        <v>130819916</v>
      </c>
      <c r="Q27" s="7">
        <f t="shared" si="41"/>
        <v>131790651</v>
      </c>
      <c r="R27" s="7">
        <f t="shared" si="41"/>
        <v>132793955</v>
      </c>
      <c r="S27" s="7">
        <f t="shared" si="41"/>
        <v>171564252</v>
      </c>
      <c r="T27" s="7">
        <f t="shared" si="41"/>
        <v>173666483</v>
      </c>
      <c r="U27" s="7">
        <f t="shared" ref="U27:AG27" si="42">+SUM(U24:U26)</f>
        <v>174579181</v>
      </c>
      <c r="V27" s="7">
        <f t="shared" si="42"/>
        <v>176208593</v>
      </c>
      <c r="W27" s="7">
        <f t="shared" si="42"/>
        <v>175436859</v>
      </c>
      <c r="X27" s="7">
        <f t="shared" si="42"/>
        <v>100301836</v>
      </c>
      <c r="Y27" s="7">
        <f t="shared" si="42"/>
        <v>42976544</v>
      </c>
      <c r="Z27" s="7">
        <f t="shared" si="42"/>
        <v>43533214</v>
      </c>
      <c r="AA27" s="7">
        <f t="shared" si="42"/>
        <v>102229027</v>
      </c>
      <c r="AB27" s="7">
        <f t="shared" si="42"/>
        <v>104447791</v>
      </c>
      <c r="AC27" s="7">
        <f t="shared" si="42"/>
        <v>210207360</v>
      </c>
      <c r="AD27" s="7">
        <f t="shared" si="42"/>
        <v>216512777</v>
      </c>
      <c r="AE27" s="7">
        <f t="shared" si="42"/>
        <v>221701247</v>
      </c>
      <c r="AF27" s="7">
        <f t="shared" si="42"/>
        <v>231226442</v>
      </c>
      <c r="AG27" s="7">
        <f t="shared" si="42"/>
        <v>239402927</v>
      </c>
      <c r="AH27" s="7">
        <f t="shared" ref="AH27:AI27" si="43">+SUM(AH24:AH26)</f>
        <v>245360075</v>
      </c>
      <c r="AI27" s="7">
        <f t="shared" si="43"/>
        <v>248641495</v>
      </c>
      <c r="AJ27" s="7">
        <f t="shared" ref="AJ27:AK27" si="44">+SUM(AJ24:AJ26)</f>
        <v>252227251</v>
      </c>
      <c r="AK27" s="7">
        <f t="shared" si="44"/>
        <v>253026607</v>
      </c>
      <c r="AL27" s="7">
        <f t="shared" ref="AL27:AM27" si="45">+SUM(AL24:AL26)</f>
        <v>202938683</v>
      </c>
      <c r="AM27" s="7">
        <f t="shared" si="45"/>
        <v>129354029</v>
      </c>
      <c r="AN27" s="7">
        <f t="shared" ref="AN27:AO27" si="46">+SUM(AN24:AN26)</f>
        <v>178733334</v>
      </c>
      <c r="AO27" s="7">
        <f t="shared" si="46"/>
        <v>235616221</v>
      </c>
      <c r="AP27" s="7">
        <f t="shared" ref="AP27:AQ27" si="47">+SUM(AP24:AP26)</f>
        <v>238931050</v>
      </c>
      <c r="AQ27" s="7">
        <f t="shared" si="47"/>
        <v>106150072</v>
      </c>
      <c r="AR27" s="7">
        <f t="shared" ref="AR27:AS27" si="48">+SUM(AR24:AR26)</f>
        <v>108408696</v>
      </c>
      <c r="AS27" s="7">
        <f t="shared" si="48"/>
        <v>109352005</v>
      </c>
      <c r="AT27" s="7">
        <f t="shared" ref="AT27:AU27" si="49">+SUM(AT24:AT26)</f>
        <v>108564320</v>
      </c>
      <c r="AU27" s="7">
        <f t="shared" si="49"/>
        <v>228400351</v>
      </c>
    </row>
    <row r="28" spans="1:47" s="6" customFormat="1" x14ac:dyDescent="0.3">
      <c r="A28" s="6" t="s">
        <v>29</v>
      </c>
      <c r="B28" s="7">
        <f>+B27+B23</f>
        <v>65283097</v>
      </c>
      <c r="C28" s="7">
        <f t="shared" ref="C28:AG28" si="50">+C27+C23</f>
        <v>76500806</v>
      </c>
      <c r="D28" s="7">
        <f t="shared" si="50"/>
        <v>77601381</v>
      </c>
      <c r="E28" s="7">
        <f t="shared" si="50"/>
        <v>114721064</v>
      </c>
      <c r="F28" s="7">
        <f t="shared" si="50"/>
        <v>117995481</v>
      </c>
      <c r="G28" s="7">
        <f t="shared" si="50"/>
        <v>128063833</v>
      </c>
      <c r="H28" s="7">
        <f t="shared" si="50"/>
        <v>116924332</v>
      </c>
      <c r="I28" s="7">
        <f t="shared" si="50"/>
        <v>117505359</v>
      </c>
      <c r="J28" s="7">
        <f t="shared" si="50"/>
        <v>136265767</v>
      </c>
      <c r="K28" s="7">
        <f t="shared" si="50"/>
        <v>134461655</v>
      </c>
      <c r="L28" s="7">
        <f t="shared" si="50"/>
        <v>141837680</v>
      </c>
      <c r="M28" s="7">
        <f t="shared" si="50"/>
        <v>135413682</v>
      </c>
      <c r="N28" s="7">
        <f t="shared" si="50"/>
        <v>139920197</v>
      </c>
      <c r="O28" s="7">
        <f t="shared" si="50"/>
        <v>136050741</v>
      </c>
      <c r="P28" s="7">
        <f t="shared" si="50"/>
        <v>138663134</v>
      </c>
      <c r="Q28" s="7">
        <f t="shared" si="50"/>
        <v>158091373</v>
      </c>
      <c r="R28" s="7">
        <f t="shared" si="50"/>
        <v>162971179</v>
      </c>
      <c r="S28" s="7">
        <f t="shared" si="50"/>
        <v>177805805</v>
      </c>
      <c r="T28" s="7">
        <f t="shared" si="50"/>
        <v>178237662</v>
      </c>
      <c r="U28" s="7">
        <f t="shared" si="50"/>
        <v>179311514</v>
      </c>
      <c r="V28" s="7">
        <f t="shared" si="50"/>
        <v>184602567</v>
      </c>
      <c r="W28" s="7">
        <f t="shared" si="50"/>
        <v>181305161</v>
      </c>
      <c r="X28" s="7">
        <f t="shared" si="50"/>
        <v>101280160</v>
      </c>
      <c r="Y28" s="7">
        <f t="shared" si="50"/>
        <v>100755134</v>
      </c>
      <c r="Z28" s="7">
        <f t="shared" si="50"/>
        <v>106454539</v>
      </c>
      <c r="AA28" s="7">
        <f t="shared" si="50"/>
        <v>279318635</v>
      </c>
      <c r="AB28" s="7">
        <f t="shared" si="50"/>
        <v>268653007</v>
      </c>
      <c r="AC28" s="7">
        <f t="shared" si="50"/>
        <v>210569591</v>
      </c>
      <c r="AD28" s="7">
        <f t="shared" si="50"/>
        <v>220172289</v>
      </c>
      <c r="AE28" s="7">
        <f t="shared" si="50"/>
        <v>235673944</v>
      </c>
      <c r="AF28" s="7">
        <f t="shared" si="50"/>
        <v>232181748</v>
      </c>
      <c r="AG28" s="7">
        <f t="shared" si="50"/>
        <v>239800192</v>
      </c>
      <c r="AH28" s="7">
        <f t="shared" ref="AH28:AI28" si="51">+AH27+AH23</f>
        <v>249546476</v>
      </c>
      <c r="AI28" s="7">
        <f t="shared" si="51"/>
        <v>265815769</v>
      </c>
      <c r="AJ28" s="7">
        <f t="shared" ref="AJ28:AK28" si="52">+AJ27+AJ23</f>
        <v>253253610</v>
      </c>
      <c r="AK28" s="7">
        <f t="shared" si="52"/>
        <v>253449392</v>
      </c>
      <c r="AL28" s="7">
        <f t="shared" ref="AL28:AM28" si="53">+AL27+AL23</f>
        <v>262648219</v>
      </c>
      <c r="AM28" s="7">
        <f t="shared" si="53"/>
        <v>278913501</v>
      </c>
      <c r="AN28" s="7">
        <f t="shared" ref="AN28:AO28" si="54">+AN27+AN23</f>
        <v>280160721</v>
      </c>
      <c r="AO28" s="7">
        <f t="shared" si="54"/>
        <v>315527172</v>
      </c>
      <c r="AP28" s="7">
        <f t="shared" ref="AP28:AQ28" si="55">+AP27+AP23</f>
        <v>296746713</v>
      </c>
      <c r="AQ28" s="7">
        <f t="shared" si="55"/>
        <v>265958702</v>
      </c>
      <c r="AR28" s="7">
        <f t="shared" ref="AR28:AS28" si="56">+AR27+AR23</f>
        <v>247067886</v>
      </c>
      <c r="AS28" s="7">
        <f t="shared" si="56"/>
        <v>249685499</v>
      </c>
      <c r="AT28" s="7">
        <f t="shared" ref="AT28:AU28" si="57">+AT27+AT23</f>
        <v>252424980</v>
      </c>
      <c r="AU28" s="7">
        <f t="shared" si="57"/>
        <v>276172075</v>
      </c>
    </row>
    <row r="29" spans="1:47" x14ac:dyDescent="0.3">
      <c r="A29" s="1" t="s">
        <v>30</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row>
    <row r="30" spans="1:47" x14ac:dyDescent="0.3">
      <c r="A30" s="1" t="s">
        <v>31</v>
      </c>
      <c r="B30" s="3">
        <v>165984970</v>
      </c>
      <c r="C30" s="3">
        <v>165984971</v>
      </c>
      <c r="D30" s="3">
        <v>165984971</v>
      </c>
      <c r="E30" s="3">
        <v>165984971</v>
      </c>
      <c r="F30" s="3">
        <v>165984971</v>
      </c>
      <c r="G30" s="3">
        <v>165984971</v>
      </c>
      <c r="H30" s="3">
        <v>165984971</v>
      </c>
      <c r="I30" s="3">
        <v>165984971</v>
      </c>
      <c r="J30" s="3">
        <v>165984971</v>
      </c>
      <c r="K30" s="3">
        <v>165984971</v>
      </c>
      <c r="L30" s="3">
        <v>165984971</v>
      </c>
      <c r="M30" s="3">
        <v>165984971</v>
      </c>
      <c r="N30" s="3">
        <v>165984971</v>
      </c>
      <c r="O30" s="3">
        <v>165984971</v>
      </c>
      <c r="P30" s="3">
        <v>165984971</v>
      </c>
      <c r="Q30" s="3">
        <v>165984971</v>
      </c>
      <c r="R30" s="3">
        <v>165984971</v>
      </c>
      <c r="S30" s="3">
        <v>165984971</v>
      </c>
      <c r="T30" s="3">
        <v>165984971</v>
      </c>
      <c r="U30" s="3">
        <v>165984971</v>
      </c>
      <c r="V30" s="3">
        <v>165984971</v>
      </c>
      <c r="W30" s="3">
        <v>165984971</v>
      </c>
      <c r="X30" s="3">
        <v>165984971</v>
      </c>
      <c r="Y30" s="3">
        <v>165984971</v>
      </c>
      <c r="Z30" s="3">
        <v>165984971</v>
      </c>
      <c r="AA30" s="3">
        <v>165984971</v>
      </c>
      <c r="AB30" s="3">
        <v>165984971</v>
      </c>
      <c r="AC30" s="3">
        <v>165984971</v>
      </c>
      <c r="AD30" s="3">
        <v>165984971</v>
      </c>
      <c r="AE30" s="3">
        <v>165984971</v>
      </c>
      <c r="AF30" s="3">
        <v>165984971</v>
      </c>
      <c r="AG30" s="3">
        <v>165984971</v>
      </c>
      <c r="AH30" s="3">
        <v>165984971</v>
      </c>
      <c r="AI30" s="3">
        <v>165984971</v>
      </c>
      <c r="AJ30" s="3">
        <v>165984971</v>
      </c>
      <c r="AK30" s="3">
        <f>+AJ30</f>
        <v>165984971</v>
      </c>
      <c r="AL30" s="3">
        <v>165984971</v>
      </c>
      <c r="AM30" s="3">
        <v>192301499</v>
      </c>
      <c r="AN30" s="3">
        <v>192279439</v>
      </c>
      <c r="AO30" s="3">
        <v>222013214</v>
      </c>
      <c r="AP30" s="3">
        <v>222013214</v>
      </c>
      <c r="AQ30" s="3">
        <v>222013214</v>
      </c>
      <c r="AR30" s="3">
        <v>222013214</v>
      </c>
      <c r="AS30" s="3">
        <v>222013214</v>
      </c>
      <c r="AT30" s="3">
        <v>222013214</v>
      </c>
      <c r="AU30" s="3">
        <v>222013214</v>
      </c>
    </row>
    <row r="31" spans="1:47" x14ac:dyDescent="0.3">
      <c r="A31" s="1" t="s">
        <v>32</v>
      </c>
      <c r="B31" s="3">
        <v>6247187</v>
      </c>
      <c r="C31" s="3">
        <v>7578537</v>
      </c>
      <c r="D31" s="3">
        <v>8356315</v>
      </c>
      <c r="E31" s="3">
        <v>11796973</v>
      </c>
      <c r="F31" s="3">
        <v>9449663</v>
      </c>
      <c r="G31" s="3">
        <v>7145960</v>
      </c>
      <c r="H31" s="3">
        <v>6738118</v>
      </c>
      <c r="I31" s="3">
        <v>6168130</v>
      </c>
      <c r="J31" s="3">
        <v>7376419</v>
      </c>
      <c r="K31" s="3">
        <v>7078499</v>
      </c>
      <c r="L31" s="3">
        <v>7510809</v>
      </c>
      <c r="M31" s="3">
        <v>6110406</v>
      </c>
      <c r="N31" s="3">
        <v>5280067</v>
      </c>
      <c r="O31" s="3">
        <v>4764305</v>
      </c>
      <c r="P31" s="3">
        <v>6856907</v>
      </c>
      <c r="Q31" s="3">
        <v>7244548</v>
      </c>
      <c r="R31" s="3">
        <v>8663038</v>
      </c>
      <c r="S31" s="3">
        <v>8130320</v>
      </c>
      <c r="T31" s="3">
        <v>8149744</v>
      </c>
      <c r="U31" s="3">
        <v>9596640</v>
      </c>
      <c r="V31" s="3">
        <v>9225952</v>
      </c>
      <c r="W31" s="3">
        <v>11538553</v>
      </c>
      <c r="X31" s="3">
        <v>10859986</v>
      </c>
      <c r="Y31" s="3">
        <v>10131186</v>
      </c>
      <c r="Z31" s="3">
        <v>7333558</v>
      </c>
      <c r="AA31" s="3">
        <v>7465723</v>
      </c>
      <c r="AB31" s="3">
        <v>7537945</v>
      </c>
      <c r="AC31" s="3">
        <v>8272567</v>
      </c>
      <c r="AD31" s="3">
        <v>8241689</v>
      </c>
      <c r="AE31" s="3">
        <v>7896876</v>
      </c>
      <c r="AF31" s="3">
        <v>8246524</v>
      </c>
      <c r="AG31" s="3">
        <v>8367067</v>
      </c>
      <c r="AH31" s="3">
        <v>8099795</v>
      </c>
      <c r="AI31" s="3">
        <v>7809221</v>
      </c>
      <c r="AJ31" s="3">
        <v>7914602</v>
      </c>
      <c r="AK31" s="3">
        <v>8285365</v>
      </c>
      <c r="AL31" s="3">
        <v>8198517</v>
      </c>
      <c r="AM31" s="3">
        <v>8216743</v>
      </c>
      <c r="AN31" s="3">
        <v>8198776</v>
      </c>
      <c r="AO31" s="3">
        <v>8159818</v>
      </c>
      <c r="AP31" s="3">
        <v>7689160</v>
      </c>
      <c r="AQ31" s="3">
        <v>7229952</v>
      </c>
      <c r="AR31" s="3">
        <v>7036973</v>
      </c>
      <c r="AS31" s="3">
        <v>7571225</v>
      </c>
      <c r="AT31" s="3">
        <v>7543980</v>
      </c>
      <c r="AU31" s="3">
        <v>7478576</v>
      </c>
    </row>
    <row r="32" spans="1:47" x14ac:dyDescent="0.3">
      <c r="A32" s="1" t="s">
        <v>33</v>
      </c>
      <c r="B32" s="3">
        <v>142662264</v>
      </c>
      <c r="C32" s="3">
        <v>149736402</v>
      </c>
      <c r="D32" s="3">
        <v>134577531</v>
      </c>
      <c r="E32" s="3">
        <v>134577531</v>
      </c>
      <c r="F32" s="3">
        <v>136327332</v>
      </c>
      <c r="G32" s="3">
        <v>144479649</v>
      </c>
      <c r="H32" s="3">
        <v>144479650</v>
      </c>
      <c r="I32" s="3">
        <v>144479649</v>
      </c>
      <c r="J32" s="3">
        <v>144479650</v>
      </c>
      <c r="K32" s="3">
        <v>189593525</v>
      </c>
      <c r="L32" s="3">
        <v>169080346</v>
      </c>
      <c r="M32" s="3">
        <v>169080346</v>
      </c>
      <c r="N32" s="3">
        <v>169080346</v>
      </c>
      <c r="O32" s="3">
        <v>212964013</v>
      </c>
      <c r="P32" s="3">
        <v>188334939</v>
      </c>
      <c r="Q32" s="3">
        <v>188334939</v>
      </c>
      <c r="R32" s="3">
        <v>188334939</v>
      </c>
      <c r="S32" s="3">
        <v>237597311</v>
      </c>
      <c r="T32" s="3">
        <v>212585174</v>
      </c>
      <c r="U32" s="3">
        <v>212585174</v>
      </c>
      <c r="V32" s="3">
        <v>213481981</v>
      </c>
      <c r="W32" s="3">
        <v>246945643</v>
      </c>
      <c r="X32" s="3">
        <v>237345025</v>
      </c>
      <c r="Y32" s="3">
        <v>237345025</v>
      </c>
      <c r="Z32" s="3">
        <v>238620885</v>
      </c>
      <c r="AA32" s="3">
        <v>250736383</v>
      </c>
      <c r="AB32" s="3">
        <v>250736383</v>
      </c>
      <c r="AC32" s="3">
        <v>250937584</v>
      </c>
      <c r="AD32" s="3">
        <v>250937584</v>
      </c>
      <c r="AE32" s="3">
        <v>260298672</v>
      </c>
      <c r="AF32" s="3">
        <v>260298672</v>
      </c>
      <c r="AG32" s="3">
        <v>260298672</v>
      </c>
      <c r="AH32" s="3">
        <v>260298672</v>
      </c>
      <c r="AI32" s="3">
        <v>305772480</v>
      </c>
      <c r="AJ32" s="3">
        <v>305772480</v>
      </c>
      <c r="AK32" s="3">
        <f>+AJ32</f>
        <v>305772480</v>
      </c>
      <c r="AL32" s="3">
        <v>305772480</v>
      </c>
      <c r="AM32" s="3">
        <v>325708056</v>
      </c>
      <c r="AN32" s="3">
        <v>325708056</v>
      </c>
      <c r="AO32" s="3">
        <v>325708056</v>
      </c>
      <c r="AP32" s="3">
        <v>326035078</v>
      </c>
      <c r="AQ32" s="3">
        <v>346694592</v>
      </c>
      <c r="AR32" s="3">
        <v>346694592</v>
      </c>
      <c r="AS32" s="3">
        <v>346694592</v>
      </c>
      <c r="AT32" s="3">
        <v>346694592</v>
      </c>
      <c r="AU32" s="3">
        <v>383175852</v>
      </c>
    </row>
    <row r="33" spans="1:47" x14ac:dyDescent="0.3">
      <c r="A33" s="1" t="s">
        <v>34</v>
      </c>
      <c r="B33" s="3"/>
      <c r="C33" s="3">
        <v>4976706</v>
      </c>
      <c r="D33" s="3">
        <v>9904314</v>
      </c>
      <c r="E33" s="3">
        <v>20877154</v>
      </c>
      <c r="F33" s="3">
        <v>28159907</v>
      </c>
      <c r="G33" s="3">
        <v>6136809</v>
      </c>
      <c r="H33" s="3">
        <v>12691955</v>
      </c>
      <c r="I33" s="3">
        <v>21909227</v>
      </c>
      <c r="J33" s="3">
        <v>45113876</v>
      </c>
      <c r="K33" s="3">
        <v>7213865</v>
      </c>
      <c r="L33" s="3">
        <v>21579800</v>
      </c>
      <c r="M33" s="3">
        <v>38376458</v>
      </c>
      <c r="N33" s="3">
        <v>43883667</v>
      </c>
      <c r="O33" s="3">
        <v>9265175</v>
      </c>
      <c r="P33" s="3">
        <v>20024881</v>
      </c>
      <c r="Q33" s="3">
        <v>40979040</v>
      </c>
      <c r="R33" s="3">
        <v>49262372</v>
      </c>
      <c r="S33" s="3">
        <v>14535118</v>
      </c>
      <c r="T33" s="3">
        <v>25652432</v>
      </c>
      <c r="U33" s="3">
        <v>47946487</v>
      </c>
      <c r="V33" s="3">
        <v>49127829</v>
      </c>
      <c r="W33" s="3">
        <v>10325080</v>
      </c>
      <c r="X33" s="3">
        <v>15048808</v>
      </c>
      <c r="Y33" s="3">
        <v>35742099</v>
      </c>
      <c r="Z33" s="3">
        <v>38896170</v>
      </c>
      <c r="AA33" s="3">
        <v>11113186</v>
      </c>
      <c r="AB33" s="3">
        <v>20144226</v>
      </c>
      <c r="AC33" s="3">
        <v>28587787</v>
      </c>
      <c r="AD33" s="3">
        <v>36899704</v>
      </c>
      <c r="AE33" s="3">
        <v>18004522</v>
      </c>
      <c r="AF33" s="3">
        <v>38725293</v>
      </c>
      <c r="AG33" s="3">
        <v>66261269</v>
      </c>
      <c r="AH33" s="3">
        <v>76802141</v>
      </c>
      <c r="AI33" s="3">
        <v>17273607</v>
      </c>
      <c r="AJ33" s="3">
        <v>27463725</v>
      </c>
      <c r="AK33" s="3">
        <v>44483370</v>
      </c>
      <c r="AL33" s="3">
        <v>53274465</v>
      </c>
      <c r="AM33" s="3">
        <v>17135246</v>
      </c>
      <c r="AN33" s="3">
        <v>28413337</v>
      </c>
      <c r="AO33" s="3">
        <v>48815401</v>
      </c>
      <c r="AP33" s="3">
        <v>56861036</v>
      </c>
      <c r="AQ33" s="3">
        <v>16650951</v>
      </c>
      <c r="AR33" s="3">
        <v>33199274</v>
      </c>
      <c r="AS33" s="3">
        <v>65220105</v>
      </c>
      <c r="AT33" s="3">
        <v>75414290</v>
      </c>
      <c r="AU33" s="3">
        <v>10542432</v>
      </c>
    </row>
    <row r="34" spans="1:47" x14ac:dyDescent="0.3">
      <c r="A34" s="1" t="s">
        <v>35</v>
      </c>
      <c r="B34" s="3"/>
      <c r="C34" s="3">
        <v>-7074140</v>
      </c>
      <c r="D34" s="3">
        <v>-1642211</v>
      </c>
      <c r="E34" s="3">
        <v>-4673985</v>
      </c>
      <c r="F34" s="3">
        <v>-8463703</v>
      </c>
      <c r="G34" s="3">
        <v>0</v>
      </c>
      <c r="H34" s="3">
        <v>-1890391</v>
      </c>
      <c r="I34" s="3">
        <v>-5916680</v>
      </c>
      <c r="J34" s="3">
        <v>-9952499</v>
      </c>
      <c r="K34" s="3">
        <v>-12474886</v>
      </c>
      <c r="L34" s="3">
        <v>-5048866</v>
      </c>
      <c r="M34" s="3">
        <v>-9217555</v>
      </c>
      <c r="N34" s="3">
        <v>-13386245</v>
      </c>
      <c r="O34" s="3">
        <v>-16670667</v>
      </c>
      <c r="P34" s="3">
        <v>-6568844</v>
      </c>
      <c r="Q34" s="3">
        <v>-10990181</v>
      </c>
      <c r="R34" s="3">
        <v>-15411519</v>
      </c>
      <c r="S34" s="3">
        <v>-18695941</v>
      </c>
      <c r="T34" s="3">
        <v>-6695168</v>
      </c>
      <c r="U34" s="3">
        <v>-11116505</v>
      </c>
      <c r="V34" s="3">
        <v>-15664167</v>
      </c>
      <c r="W34" s="3">
        <v>-3537070</v>
      </c>
      <c r="X34" s="3">
        <v>-7579436</v>
      </c>
      <c r="Y34" s="3">
        <v>-12127097</v>
      </c>
      <c r="Z34" s="3">
        <v>-16674758</v>
      </c>
      <c r="AA34" s="3">
        <v>-3537070</v>
      </c>
      <c r="AB34" s="3">
        <v>-7579436</v>
      </c>
      <c r="AC34" s="3">
        <v>-12127097</v>
      </c>
      <c r="AD34" s="3">
        <v>-16674758</v>
      </c>
      <c r="AE34" s="3">
        <v>-3537070</v>
      </c>
      <c r="AF34" s="3">
        <v>-7579436</v>
      </c>
      <c r="AG34" s="3">
        <v>-12632393</v>
      </c>
      <c r="AH34" s="3">
        <v>-17685350</v>
      </c>
      <c r="AI34" s="3">
        <v>-3537070</v>
      </c>
      <c r="AJ34" s="3">
        <v>-7579436</v>
      </c>
      <c r="AK34" s="3">
        <v>-12632393</v>
      </c>
      <c r="AL34" s="3">
        <v>-17685350</v>
      </c>
      <c r="AM34" s="3">
        <v>-3685746</v>
      </c>
      <c r="AN34" s="3">
        <v>-7728112</v>
      </c>
      <c r="AO34" s="3">
        <v>-12667377</v>
      </c>
      <c r="AP34" s="3">
        <v>-17606642</v>
      </c>
      <c r="AQ34" s="3">
        <v>-3777085</v>
      </c>
      <c r="AR34" s="3">
        <v>-7554170</v>
      </c>
      <c r="AS34" s="3">
        <v>-12493435</v>
      </c>
      <c r="AT34" s="3">
        <v>-17432700</v>
      </c>
      <c r="AU34" s="3">
        <v>-4067630</v>
      </c>
    </row>
    <row r="35" spans="1:47" s="6" customFormat="1" x14ac:dyDescent="0.3">
      <c r="A35" s="6" t="s">
        <v>36</v>
      </c>
      <c r="B35" s="7">
        <f t="shared" ref="B35:E35" si="58">+SUM(B29:B34)</f>
        <v>314894421</v>
      </c>
      <c r="C35" s="7">
        <f t="shared" si="58"/>
        <v>321202476</v>
      </c>
      <c r="D35" s="7">
        <f t="shared" si="58"/>
        <v>317180920</v>
      </c>
      <c r="E35" s="7">
        <f t="shared" si="58"/>
        <v>328562644</v>
      </c>
      <c r="F35" s="7">
        <f t="shared" ref="F35:T35" si="59">+SUM(F29:F34)</f>
        <v>331458170</v>
      </c>
      <c r="G35" s="7">
        <f t="shared" si="59"/>
        <v>323747389</v>
      </c>
      <c r="H35" s="7">
        <f t="shared" si="59"/>
        <v>328004303</v>
      </c>
      <c r="I35" s="7">
        <f t="shared" si="59"/>
        <v>332625297</v>
      </c>
      <c r="J35" s="7">
        <f t="shared" si="59"/>
        <v>353002417</v>
      </c>
      <c r="K35" s="7">
        <f t="shared" si="59"/>
        <v>357395974</v>
      </c>
      <c r="L35" s="7">
        <f t="shared" si="59"/>
        <v>359107060</v>
      </c>
      <c r="M35" s="7">
        <f t="shared" si="59"/>
        <v>370334626</v>
      </c>
      <c r="N35" s="7">
        <f t="shared" si="59"/>
        <v>370842806</v>
      </c>
      <c r="O35" s="7">
        <f t="shared" si="59"/>
        <v>376307797</v>
      </c>
      <c r="P35" s="7">
        <f t="shared" si="59"/>
        <v>374632854</v>
      </c>
      <c r="Q35" s="7">
        <f t="shared" si="59"/>
        <v>391553317</v>
      </c>
      <c r="R35" s="7">
        <f t="shared" si="59"/>
        <v>396833801</v>
      </c>
      <c r="S35" s="7">
        <f t="shared" si="59"/>
        <v>407551779</v>
      </c>
      <c r="T35" s="7">
        <f t="shared" si="59"/>
        <v>405677153</v>
      </c>
      <c r="U35" s="7">
        <f t="shared" ref="U35:AG35" si="60">+SUM(U29:U34)</f>
        <v>424996767</v>
      </c>
      <c r="V35" s="7">
        <f t="shared" si="60"/>
        <v>422156566</v>
      </c>
      <c r="W35" s="7">
        <f t="shared" si="60"/>
        <v>431257177</v>
      </c>
      <c r="X35" s="7">
        <f t="shared" si="60"/>
        <v>421659354</v>
      </c>
      <c r="Y35" s="7">
        <f t="shared" si="60"/>
        <v>437076184</v>
      </c>
      <c r="Z35" s="7">
        <f t="shared" si="60"/>
        <v>434160826</v>
      </c>
      <c r="AA35" s="7">
        <f t="shared" si="60"/>
        <v>431763193</v>
      </c>
      <c r="AB35" s="7">
        <f t="shared" si="60"/>
        <v>436824089</v>
      </c>
      <c r="AC35" s="7">
        <f t="shared" si="60"/>
        <v>441655812</v>
      </c>
      <c r="AD35" s="7">
        <f t="shared" si="60"/>
        <v>445389190</v>
      </c>
      <c r="AE35" s="7">
        <f t="shared" si="60"/>
        <v>448647971</v>
      </c>
      <c r="AF35" s="7">
        <f t="shared" si="60"/>
        <v>465676024</v>
      </c>
      <c r="AG35" s="7">
        <f t="shared" si="60"/>
        <v>488279586</v>
      </c>
      <c r="AH35" s="7">
        <f t="shared" ref="AH35:AI35" si="61">+SUM(AH29:AH34)</f>
        <v>493500229</v>
      </c>
      <c r="AI35" s="7">
        <f t="shared" si="61"/>
        <v>493303209</v>
      </c>
      <c r="AJ35" s="7">
        <f t="shared" ref="AJ35:AK35" si="62">+SUM(AJ29:AJ34)</f>
        <v>499556342</v>
      </c>
      <c r="AK35" s="7">
        <f t="shared" si="62"/>
        <v>511893793</v>
      </c>
      <c r="AL35" s="7">
        <f t="shared" ref="AL35:AM35" si="63">+SUM(AL29:AL34)</f>
        <v>515545083</v>
      </c>
      <c r="AM35" s="7">
        <f t="shared" si="63"/>
        <v>539675798</v>
      </c>
      <c r="AN35" s="7">
        <f t="shared" ref="AN35:AO35" si="64">+SUM(AN29:AN34)</f>
        <v>546871496</v>
      </c>
      <c r="AO35" s="7">
        <f t="shared" si="64"/>
        <v>592029112</v>
      </c>
      <c r="AP35" s="7">
        <f t="shared" ref="AP35:AQ35" si="65">+SUM(AP29:AP34)</f>
        <v>594991846</v>
      </c>
      <c r="AQ35" s="7">
        <f t="shared" si="65"/>
        <v>588811624</v>
      </c>
      <c r="AR35" s="7">
        <f t="shared" ref="AR35:AS35" si="66">+SUM(AR29:AR34)</f>
        <v>601389883</v>
      </c>
      <c r="AS35" s="7">
        <f t="shared" si="66"/>
        <v>629005701</v>
      </c>
      <c r="AT35" s="7">
        <f t="shared" ref="AT35:AU35" si="67">+SUM(AT29:AT34)</f>
        <v>634233376</v>
      </c>
      <c r="AU35" s="7">
        <f t="shared" si="67"/>
        <v>619142444</v>
      </c>
    </row>
    <row r="36" spans="1:47" s="11" customFormat="1" ht="15.6" x14ac:dyDescent="0.3">
      <c r="A36" s="11" t="s">
        <v>37</v>
      </c>
      <c r="B36" s="12">
        <f>+B35+B28</f>
        <v>380177518</v>
      </c>
      <c r="C36" s="12">
        <f t="shared" ref="C36:AG36" si="68">+C35+C28</f>
        <v>397703282</v>
      </c>
      <c r="D36" s="12">
        <f t="shared" si="68"/>
        <v>394782301</v>
      </c>
      <c r="E36" s="12">
        <f t="shared" si="68"/>
        <v>443283708</v>
      </c>
      <c r="F36" s="12">
        <f t="shared" si="68"/>
        <v>449453651</v>
      </c>
      <c r="G36" s="12">
        <f t="shared" si="68"/>
        <v>451811222</v>
      </c>
      <c r="H36" s="12">
        <f t="shared" si="68"/>
        <v>444928635</v>
      </c>
      <c r="I36" s="12">
        <f t="shared" si="68"/>
        <v>450130656</v>
      </c>
      <c r="J36" s="12">
        <f t="shared" si="68"/>
        <v>489268184</v>
      </c>
      <c r="K36" s="12">
        <f t="shared" si="68"/>
        <v>491857629</v>
      </c>
      <c r="L36" s="12">
        <f t="shared" si="68"/>
        <v>500944740</v>
      </c>
      <c r="M36" s="12">
        <f t="shared" si="68"/>
        <v>505748308</v>
      </c>
      <c r="N36" s="12">
        <f t="shared" si="68"/>
        <v>510763003</v>
      </c>
      <c r="O36" s="12">
        <f t="shared" si="68"/>
        <v>512358538</v>
      </c>
      <c r="P36" s="12">
        <f t="shared" si="68"/>
        <v>513295988</v>
      </c>
      <c r="Q36" s="12">
        <f t="shared" si="68"/>
        <v>549644690</v>
      </c>
      <c r="R36" s="12">
        <f t="shared" si="68"/>
        <v>559804980</v>
      </c>
      <c r="S36" s="12">
        <f t="shared" si="68"/>
        <v>585357584</v>
      </c>
      <c r="T36" s="12">
        <f t="shared" si="68"/>
        <v>583914815</v>
      </c>
      <c r="U36" s="12">
        <f t="shared" si="68"/>
        <v>604308281</v>
      </c>
      <c r="V36" s="12">
        <f t="shared" si="68"/>
        <v>606759133</v>
      </c>
      <c r="W36" s="12">
        <f t="shared" si="68"/>
        <v>612562338</v>
      </c>
      <c r="X36" s="12">
        <f t="shared" si="68"/>
        <v>522939514</v>
      </c>
      <c r="Y36" s="12">
        <f t="shared" si="68"/>
        <v>537831318</v>
      </c>
      <c r="Z36" s="12">
        <f t="shared" si="68"/>
        <v>540615365</v>
      </c>
      <c r="AA36" s="12">
        <f t="shared" si="68"/>
        <v>711081828</v>
      </c>
      <c r="AB36" s="12">
        <f t="shared" si="68"/>
        <v>705477096</v>
      </c>
      <c r="AC36" s="12">
        <f t="shared" si="68"/>
        <v>652225403</v>
      </c>
      <c r="AD36" s="12">
        <f t="shared" si="68"/>
        <v>665561479</v>
      </c>
      <c r="AE36" s="12">
        <f t="shared" si="68"/>
        <v>684321915</v>
      </c>
      <c r="AF36" s="12">
        <f t="shared" si="68"/>
        <v>697857772</v>
      </c>
      <c r="AG36" s="12">
        <f t="shared" si="68"/>
        <v>728079778</v>
      </c>
      <c r="AH36" s="12">
        <f t="shared" ref="AH36:AI36" si="69">+AH35+AH28</f>
        <v>743046705</v>
      </c>
      <c r="AI36" s="12">
        <f t="shared" si="69"/>
        <v>759118978</v>
      </c>
      <c r="AJ36" s="12">
        <f t="shared" ref="AJ36:AK36" si="70">+AJ35+AJ28</f>
        <v>752809952</v>
      </c>
      <c r="AK36" s="12">
        <f t="shared" si="70"/>
        <v>765343185</v>
      </c>
      <c r="AL36" s="12">
        <f t="shared" ref="AL36:AM36" si="71">+AL35+AL28</f>
        <v>778193302</v>
      </c>
      <c r="AM36" s="12">
        <f t="shared" si="71"/>
        <v>818589299</v>
      </c>
      <c r="AN36" s="12">
        <f t="shared" ref="AN36:AO36" si="72">+AN35+AN28</f>
        <v>827032217</v>
      </c>
      <c r="AO36" s="12">
        <f t="shared" si="72"/>
        <v>907556284</v>
      </c>
      <c r="AP36" s="12">
        <f t="shared" ref="AP36:AQ36" si="73">+AP35+AP28</f>
        <v>891738559</v>
      </c>
      <c r="AQ36" s="12">
        <f t="shared" si="73"/>
        <v>854770326</v>
      </c>
      <c r="AR36" s="12">
        <f t="shared" ref="AR36:AS36" si="74">+AR35+AR28</f>
        <v>848457769</v>
      </c>
      <c r="AS36" s="12">
        <f t="shared" si="74"/>
        <v>878691200</v>
      </c>
      <c r="AT36" s="12">
        <f t="shared" ref="AT36:AU36" si="75">+AT35+AT28</f>
        <v>886658356</v>
      </c>
      <c r="AU36" s="12">
        <f t="shared" si="75"/>
        <v>895314519</v>
      </c>
    </row>
    <row r="37" spans="1:47" x14ac:dyDescent="0.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row>
    <row r="38" spans="1:47" x14ac:dyDescent="0.3">
      <c r="A38" s="1" t="s">
        <v>38</v>
      </c>
      <c r="B38" s="4" t="str">
        <f>IF((+B36-B16)=0,"ok","error")</f>
        <v>ok</v>
      </c>
      <c r="C38" s="4" t="str">
        <f t="shared" ref="C38:L38" si="76">IF((+C36-C16)=0,"ok","error")</f>
        <v>ok</v>
      </c>
      <c r="D38" s="4" t="str">
        <f t="shared" si="76"/>
        <v>ok</v>
      </c>
      <c r="E38" s="4" t="str">
        <f t="shared" si="76"/>
        <v>ok</v>
      </c>
      <c r="F38" s="4" t="str">
        <f t="shared" si="76"/>
        <v>ok</v>
      </c>
      <c r="G38" s="4" t="str">
        <f t="shared" si="76"/>
        <v>ok</v>
      </c>
      <c r="H38" s="4" t="str">
        <f t="shared" si="76"/>
        <v>ok</v>
      </c>
      <c r="I38" s="4" t="str">
        <f t="shared" si="76"/>
        <v>ok</v>
      </c>
      <c r="J38" s="4" t="str">
        <f t="shared" si="76"/>
        <v>ok</v>
      </c>
      <c r="K38" s="4" t="str">
        <f t="shared" si="76"/>
        <v>ok</v>
      </c>
      <c r="L38" s="4" t="str">
        <f t="shared" si="76"/>
        <v>ok</v>
      </c>
      <c r="M38" s="4" t="str">
        <f t="shared" ref="M38:N38" si="77">IF((+M36-M16)=0,"ok","error")</f>
        <v>ok</v>
      </c>
      <c r="N38" s="4" t="str">
        <f t="shared" si="77"/>
        <v>ok</v>
      </c>
      <c r="O38" s="4" t="str">
        <f t="shared" ref="O38:P38" si="78">IF((+O36-O16)=0,"ok","error")</f>
        <v>ok</v>
      </c>
      <c r="P38" s="4" t="str">
        <f t="shared" si="78"/>
        <v>ok</v>
      </c>
      <c r="Q38" s="4" t="str">
        <f t="shared" ref="Q38:R38" si="79">IF((+Q36-Q16)=0,"ok","error")</f>
        <v>ok</v>
      </c>
      <c r="R38" s="4" t="str">
        <f t="shared" si="79"/>
        <v>ok</v>
      </c>
      <c r="S38" s="4" t="str">
        <f t="shared" ref="S38:T38" si="80">IF((+S36-S16)=0,"ok","error")</f>
        <v>ok</v>
      </c>
      <c r="T38" s="4" t="str">
        <f t="shared" si="80"/>
        <v>ok</v>
      </c>
      <c r="U38" s="4" t="str">
        <f t="shared" ref="U38:AG38" si="81">IF((+U36-U16)=0,"ok","error")</f>
        <v>ok</v>
      </c>
      <c r="V38" s="4" t="str">
        <f t="shared" si="81"/>
        <v>ok</v>
      </c>
      <c r="W38" s="4" t="str">
        <f t="shared" si="81"/>
        <v>ok</v>
      </c>
      <c r="X38" s="4" t="str">
        <f t="shared" si="81"/>
        <v>ok</v>
      </c>
      <c r="Y38" s="4" t="str">
        <f t="shared" si="81"/>
        <v>ok</v>
      </c>
      <c r="Z38" s="4" t="str">
        <f t="shared" si="81"/>
        <v>ok</v>
      </c>
      <c r="AA38" s="4" t="str">
        <f t="shared" si="81"/>
        <v>ok</v>
      </c>
      <c r="AB38" s="4" t="str">
        <f t="shared" si="81"/>
        <v>ok</v>
      </c>
      <c r="AC38" s="4" t="str">
        <f t="shared" si="81"/>
        <v>ok</v>
      </c>
      <c r="AD38" s="4" t="str">
        <f t="shared" si="81"/>
        <v>ok</v>
      </c>
      <c r="AE38" s="4" t="str">
        <f t="shared" si="81"/>
        <v>ok</v>
      </c>
      <c r="AF38" s="4" t="str">
        <f t="shared" si="81"/>
        <v>ok</v>
      </c>
      <c r="AG38" s="4" t="str">
        <f t="shared" si="81"/>
        <v>ok</v>
      </c>
      <c r="AH38" s="4" t="str">
        <f t="shared" ref="AH38:AI38" si="82">IF((+AH36-AH16)=0,"ok","error")</f>
        <v>ok</v>
      </c>
      <c r="AI38" s="4" t="str">
        <f t="shared" si="82"/>
        <v>ok</v>
      </c>
      <c r="AJ38" s="4" t="str">
        <f t="shared" ref="AJ38:AK38" si="83">IF((+AJ36-AJ16)=0,"ok","error")</f>
        <v>ok</v>
      </c>
      <c r="AK38" s="4" t="str">
        <f t="shared" si="83"/>
        <v>ok</v>
      </c>
      <c r="AL38" s="4" t="str">
        <f t="shared" ref="AL38:AM38" si="84">IF((+AL36-AL16)=0,"ok","error")</f>
        <v>ok</v>
      </c>
      <c r="AM38" s="4" t="str">
        <f t="shared" si="84"/>
        <v>ok</v>
      </c>
      <c r="AN38" s="4" t="str">
        <f t="shared" ref="AN38:AO38" si="85">IF((+AN36-AN16)=0,"ok","error")</f>
        <v>ok</v>
      </c>
      <c r="AO38" s="4" t="str">
        <f t="shared" si="85"/>
        <v>ok</v>
      </c>
      <c r="AP38" s="4" t="str">
        <f t="shared" ref="AP38:AQ38" si="86">IF((+AP36-AP16)=0,"ok","error")</f>
        <v>ok</v>
      </c>
      <c r="AQ38" s="4" t="str">
        <f t="shared" si="86"/>
        <v>ok</v>
      </c>
      <c r="AR38" s="4" t="str">
        <f t="shared" ref="AR38:AS38" si="87">IF((+AR36-AR16)=0,"ok","error")</f>
        <v>ok</v>
      </c>
      <c r="AS38" s="4" t="str">
        <f t="shared" si="87"/>
        <v>ok</v>
      </c>
      <c r="AT38" s="4" t="str">
        <f t="shared" ref="AT38:AU38" si="88">IF((+AT36-AT16)=0,"ok","error")</f>
        <v>ok</v>
      </c>
      <c r="AU38" s="4" t="str">
        <f t="shared" si="88"/>
        <v>ok</v>
      </c>
    </row>
    <row r="39" spans="1:47" x14ac:dyDescent="0.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row>
    <row r="40" spans="1:47" s="8" customFormat="1" x14ac:dyDescent="0.3">
      <c r="A40" s="8" t="s">
        <v>39</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row>
    <row r="41" spans="1:47" x14ac:dyDescent="0.3">
      <c r="A41" s="1" t="s">
        <v>40</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row>
    <row r="42" spans="1:47" x14ac:dyDescent="0.3">
      <c r="A42" s="1" t="s">
        <v>41</v>
      </c>
      <c r="B42" s="3">
        <v>25090580</v>
      </c>
      <c r="C42" s="3">
        <v>3259990</v>
      </c>
      <c r="D42" s="3">
        <v>9402689</v>
      </c>
      <c r="E42" s="3">
        <v>15980631</v>
      </c>
      <c r="F42" s="3">
        <v>23029229</v>
      </c>
      <c r="G42" s="3">
        <v>5585926</v>
      </c>
      <c r="H42" s="3">
        <v>11587648</v>
      </c>
      <c r="I42" s="3">
        <v>17459740</v>
      </c>
      <c r="J42" s="3">
        <v>22766902</v>
      </c>
      <c r="K42" s="3">
        <v>5215178</v>
      </c>
      <c r="L42" s="3">
        <v>11197339</v>
      </c>
      <c r="M42" s="3">
        <v>15520817</v>
      </c>
      <c r="N42" s="3">
        <v>21132548</v>
      </c>
      <c r="O42" s="3">
        <v>5870098</v>
      </c>
      <c r="P42" s="3">
        <v>11861958</v>
      </c>
      <c r="Q42" s="3">
        <v>17906068</v>
      </c>
      <c r="R42" s="3">
        <v>24431560</v>
      </c>
      <c r="S42" s="3">
        <v>4260918</v>
      </c>
      <c r="T42" s="3">
        <v>11206864</v>
      </c>
      <c r="U42" s="3">
        <v>16787357</v>
      </c>
      <c r="V42" s="3">
        <v>23289348</v>
      </c>
      <c r="W42" s="3">
        <v>5776702</v>
      </c>
      <c r="X42" s="3">
        <v>10133427</v>
      </c>
      <c r="Y42" s="3">
        <v>13327772</v>
      </c>
      <c r="Z42" s="3">
        <v>19494497</v>
      </c>
      <c r="AA42" s="3">
        <v>4138039</v>
      </c>
      <c r="AB42" s="3">
        <v>7652581</v>
      </c>
      <c r="AC42" s="3">
        <v>12079665</v>
      </c>
      <c r="AD42" s="3">
        <v>18685178</v>
      </c>
      <c r="AE42" s="3">
        <v>7489848</v>
      </c>
      <c r="AF42" s="3">
        <v>17828184</v>
      </c>
      <c r="AG42" s="3">
        <v>27745458</v>
      </c>
      <c r="AH42" s="3">
        <v>36552484</v>
      </c>
      <c r="AI42" s="3">
        <v>6507569</v>
      </c>
      <c r="AJ42" s="3">
        <v>13442715</v>
      </c>
      <c r="AK42" s="3">
        <v>18807761</v>
      </c>
      <c r="AL42" s="3">
        <v>26198583</v>
      </c>
      <c r="AM42" s="3">
        <v>7130025</v>
      </c>
      <c r="AN42" s="3">
        <v>14804113</v>
      </c>
      <c r="AO42" s="3">
        <v>22191099</v>
      </c>
      <c r="AP42" s="3">
        <v>30317647</v>
      </c>
      <c r="AQ42" s="3">
        <v>7992790</v>
      </c>
      <c r="AR42" s="3">
        <v>15127985</v>
      </c>
      <c r="AS42" s="3">
        <v>20697366</v>
      </c>
      <c r="AT42" s="3">
        <v>26395714</v>
      </c>
      <c r="AU42" s="3">
        <v>5178194</v>
      </c>
    </row>
    <row r="43" spans="1:47" x14ac:dyDescent="0.3">
      <c r="A43" s="1" t="s">
        <v>42</v>
      </c>
      <c r="B43" s="3">
        <v>0</v>
      </c>
      <c r="C43" s="3">
        <v>0</v>
      </c>
      <c r="D43" s="3">
        <v>0</v>
      </c>
      <c r="E43" s="3">
        <v>0</v>
      </c>
      <c r="F43" s="3">
        <v>3081</v>
      </c>
      <c r="G43" s="3">
        <v>0</v>
      </c>
      <c r="H43" s="3">
        <v>-13313</v>
      </c>
      <c r="I43" s="3">
        <v>0</v>
      </c>
      <c r="J43" s="3">
        <v>0</v>
      </c>
      <c r="K43" s="3">
        <v>2243735</v>
      </c>
      <c r="L43" s="3">
        <v>0</v>
      </c>
      <c r="M43" s="3">
        <v>4760</v>
      </c>
      <c r="N43" s="3">
        <v>4760</v>
      </c>
      <c r="O43" s="3">
        <v>0</v>
      </c>
      <c r="P43" s="3">
        <v>0</v>
      </c>
      <c r="Q43" s="3">
        <v>0</v>
      </c>
      <c r="R43" s="3">
        <v>0</v>
      </c>
      <c r="S43" s="3">
        <v>0</v>
      </c>
      <c r="T43" s="3">
        <v>0</v>
      </c>
      <c r="U43" s="3">
        <v>0</v>
      </c>
      <c r="V43" s="3">
        <v>0</v>
      </c>
      <c r="W43" s="3">
        <v>0</v>
      </c>
      <c r="X43" s="3">
        <v>571859</v>
      </c>
      <c r="Y43" s="3">
        <v>571859</v>
      </c>
      <c r="Z43" s="3">
        <v>571856</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79757</v>
      </c>
      <c r="AS43" s="3">
        <v>79757</v>
      </c>
      <c r="AT43" s="3">
        <v>79757</v>
      </c>
      <c r="AU43" s="3">
        <v>0</v>
      </c>
    </row>
    <row r="44" spans="1:47" x14ac:dyDescent="0.3">
      <c r="A44" s="1" t="s">
        <v>43</v>
      </c>
      <c r="B44" s="3">
        <v>5356</v>
      </c>
      <c r="C44" s="3">
        <v>3</v>
      </c>
      <c r="D44" s="3">
        <v>9</v>
      </c>
      <c r="E44" s="3">
        <v>24</v>
      </c>
      <c r="F44" s="3">
        <v>2565</v>
      </c>
      <c r="G44" s="3">
        <v>18665</v>
      </c>
      <c r="H44" s="3">
        <v>0</v>
      </c>
      <c r="I44" s="3">
        <v>-13318</v>
      </c>
      <c r="J44" s="3">
        <v>-20522</v>
      </c>
      <c r="K44" s="3">
        <v>-1</v>
      </c>
      <c r="L44" s="3">
        <v>-17066</v>
      </c>
      <c r="M44" s="3">
        <v>-17058</v>
      </c>
      <c r="N44" s="3">
        <v>-24753</v>
      </c>
      <c r="O44" s="3">
        <v>-5469</v>
      </c>
      <c r="P44" s="3">
        <v>-7247</v>
      </c>
      <c r="Q44" s="3">
        <v>-7948</v>
      </c>
      <c r="R44" s="3">
        <v>-3633</v>
      </c>
      <c r="S44" s="3">
        <v>-3</v>
      </c>
      <c r="T44" s="3">
        <v>-3</v>
      </c>
      <c r="U44" s="3">
        <v>-57</v>
      </c>
      <c r="V44" s="3">
        <v>-53</v>
      </c>
      <c r="W44" s="3">
        <v>16</v>
      </c>
      <c r="X44" s="3">
        <v>3692</v>
      </c>
      <c r="Y44" s="3">
        <v>3688</v>
      </c>
      <c r="Z44" s="3">
        <v>-221789</v>
      </c>
      <c r="AA44" s="3">
        <v>33434</v>
      </c>
      <c r="AB44" s="3">
        <v>109546</v>
      </c>
      <c r="AC44" s="3">
        <v>109546</v>
      </c>
      <c r="AD44" s="3">
        <v>109546</v>
      </c>
      <c r="AE44" s="3">
        <v>-3</v>
      </c>
      <c r="AF44" s="3">
        <v>-3</v>
      </c>
      <c r="AG44" s="3">
        <v>-3</v>
      </c>
      <c r="AH44" s="3">
        <v>-7063</v>
      </c>
      <c r="AI44" s="3">
        <v>0</v>
      </c>
      <c r="AJ44" s="3">
        <v>0</v>
      </c>
      <c r="AK44" s="3">
        <v>-978</v>
      </c>
      <c r="AL44" s="3">
        <v>-978</v>
      </c>
      <c r="AM44" s="3">
        <v>0</v>
      </c>
      <c r="AN44" s="3">
        <v>-768</v>
      </c>
      <c r="AO44" s="3">
        <v>0</v>
      </c>
      <c r="AP44" s="3">
        <v>0</v>
      </c>
      <c r="AQ44" s="3">
        <v>0</v>
      </c>
      <c r="AR44" s="3">
        <v>0</v>
      </c>
      <c r="AS44" s="3">
        <v>0</v>
      </c>
      <c r="AT44" s="3">
        <v>0</v>
      </c>
      <c r="AU44" s="3">
        <v>0</v>
      </c>
    </row>
    <row r="45" spans="1:47" ht="28.8" x14ac:dyDescent="0.3">
      <c r="A45" s="5" t="s">
        <v>44</v>
      </c>
      <c r="B45" s="3">
        <v>541</v>
      </c>
      <c r="C45" s="3">
        <v>17633</v>
      </c>
      <c r="D45" s="3">
        <v>3071</v>
      </c>
      <c r="E45" s="3">
        <v>31755</v>
      </c>
      <c r="F45" s="3">
        <v>9055</v>
      </c>
      <c r="G45" s="3">
        <v>13412</v>
      </c>
      <c r="H45" s="3">
        <v>13412</v>
      </c>
      <c r="I45" s="3">
        <v>13412</v>
      </c>
      <c r="J45" s="3">
        <v>0</v>
      </c>
      <c r="K45" s="3">
        <v>0</v>
      </c>
      <c r="L45" s="3">
        <v>0</v>
      </c>
      <c r="M45" s="3">
        <v>128</v>
      </c>
      <c r="N45" s="3">
        <v>225</v>
      </c>
      <c r="O45" s="3">
        <v>3577</v>
      </c>
      <c r="P45" s="3">
        <v>1631</v>
      </c>
      <c r="Q45" s="3">
        <v>153</v>
      </c>
      <c r="R45" s="3">
        <v>0</v>
      </c>
      <c r="S45" s="3">
        <v>975</v>
      </c>
      <c r="T45" s="3">
        <v>63</v>
      </c>
      <c r="U45" s="3">
        <v>937</v>
      </c>
      <c r="V45" s="3">
        <v>179</v>
      </c>
      <c r="W45" s="3">
        <v>38588</v>
      </c>
      <c r="X45" s="3">
        <v>2</v>
      </c>
      <c r="Y45" s="3">
        <v>2</v>
      </c>
      <c r="Z45" s="3">
        <v>9</v>
      </c>
      <c r="AA45" s="3">
        <v>246</v>
      </c>
      <c r="AB45" s="3">
        <v>1</v>
      </c>
      <c r="AC45" s="3">
        <v>9</v>
      </c>
      <c r="AD45" s="3">
        <v>88</v>
      </c>
      <c r="AE45" s="3">
        <v>68</v>
      </c>
      <c r="AF45" s="3">
        <v>143</v>
      </c>
      <c r="AG45" s="3">
        <v>84</v>
      </c>
      <c r="AH45" s="3">
        <v>388</v>
      </c>
      <c r="AI45" s="3">
        <v>186</v>
      </c>
      <c r="AJ45" s="3">
        <v>0</v>
      </c>
      <c r="AK45" s="3">
        <v>588</v>
      </c>
      <c r="AL45" s="3">
        <v>1841</v>
      </c>
      <c r="AM45" s="3">
        <v>-1362</v>
      </c>
      <c r="AN45" s="3">
        <v>0</v>
      </c>
      <c r="AO45" s="3">
        <v>1703</v>
      </c>
      <c r="AP45" s="3">
        <v>3257</v>
      </c>
      <c r="AQ45" s="3">
        <v>832</v>
      </c>
      <c r="AR45" s="3">
        <v>1179</v>
      </c>
      <c r="AS45" s="3">
        <v>1507</v>
      </c>
      <c r="AT45" s="3">
        <v>2117</v>
      </c>
      <c r="AU45" s="3">
        <v>565</v>
      </c>
    </row>
    <row r="46" spans="1:47" x14ac:dyDescent="0.3">
      <c r="A46" s="1" t="s">
        <v>45</v>
      </c>
      <c r="B46" s="3">
        <v>31535</v>
      </c>
      <c r="C46" s="3">
        <v>19308</v>
      </c>
      <c r="D46" s="3">
        <v>60599</v>
      </c>
      <c r="E46" s="3">
        <v>113571</v>
      </c>
      <c r="F46" s="3">
        <v>179111</v>
      </c>
      <c r="G46" s="3">
        <v>76609</v>
      </c>
      <c r="H46" s="3">
        <v>194368</v>
      </c>
      <c r="I46" s="3">
        <v>0</v>
      </c>
      <c r="J46" s="3">
        <v>0</v>
      </c>
      <c r="K46" s="3">
        <v>0</v>
      </c>
      <c r="L46" s="3">
        <v>628</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row>
    <row r="47" spans="1:47" x14ac:dyDescent="0.3">
      <c r="A47" s="1" t="s">
        <v>46</v>
      </c>
      <c r="B47" s="3">
        <v>10137654</v>
      </c>
      <c r="C47" s="3">
        <v>3464883</v>
      </c>
      <c r="D47" s="3">
        <v>3924331</v>
      </c>
      <c r="E47" s="3">
        <v>10079352</v>
      </c>
      <c r="F47" s="3">
        <v>13314301</v>
      </c>
      <c r="G47" s="3">
        <v>1654850</v>
      </c>
      <c r="H47" s="3">
        <v>3147642</v>
      </c>
      <c r="I47" s="3">
        <v>7638427</v>
      </c>
      <c r="J47" s="3">
        <v>28513377</v>
      </c>
      <c r="K47" s="3">
        <v>970477</v>
      </c>
      <c r="L47" s="3">
        <v>12882566</v>
      </c>
      <c r="M47" s="3">
        <v>26634568</v>
      </c>
      <c r="N47" s="3">
        <v>30458081</v>
      </c>
      <c r="O47" s="3">
        <v>4616472</v>
      </c>
      <c r="P47" s="3">
        <v>10538562</v>
      </c>
      <c r="Q47" s="3">
        <v>26724217</v>
      </c>
      <c r="R47" s="3">
        <v>32419361</v>
      </c>
      <c r="S47" s="3">
        <v>11594687</v>
      </c>
      <c r="T47" s="3">
        <v>17163871</v>
      </c>
      <c r="U47" s="3">
        <v>35296175</v>
      </c>
      <c r="V47" s="3">
        <v>33811035</v>
      </c>
      <c r="W47" s="3">
        <v>5919097</v>
      </c>
      <c r="X47" s="3">
        <v>7160682</v>
      </c>
      <c r="Y47" s="3">
        <v>25421947</v>
      </c>
      <c r="Z47" s="3">
        <v>27266329</v>
      </c>
      <c r="AA47" s="3">
        <v>7831487</v>
      </c>
      <c r="AB47" s="3">
        <v>14557706</v>
      </c>
      <c r="AC47" s="3">
        <v>19559879</v>
      </c>
      <c r="AD47" s="3">
        <v>24838522</v>
      </c>
      <c r="AE47" s="3">
        <v>11327214</v>
      </c>
      <c r="AF47" s="3">
        <v>22554439</v>
      </c>
      <c r="AG47" s="3">
        <v>41053990</v>
      </c>
      <c r="AH47" s="3">
        <v>46854865</v>
      </c>
      <c r="AI47" s="3">
        <v>11664491</v>
      </c>
      <c r="AJ47" s="3">
        <v>15849595</v>
      </c>
      <c r="AK47" s="3">
        <v>28443068</v>
      </c>
      <c r="AL47" s="3">
        <v>34279159</v>
      </c>
      <c r="AM47" s="3">
        <v>10954429</v>
      </c>
      <c r="AN47" s="3">
        <v>15797026</v>
      </c>
      <c r="AO47" s="3">
        <v>30965015</v>
      </c>
      <c r="AP47" s="3">
        <v>35553264</v>
      </c>
      <c r="AQ47" s="3">
        <v>10399479</v>
      </c>
      <c r="AR47" s="3">
        <v>21533985</v>
      </c>
      <c r="AS47" s="3">
        <v>49799359</v>
      </c>
      <c r="AT47" s="3">
        <v>59513062</v>
      </c>
      <c r="AU47" s="3">
        <v>7800278</v>
      </c>
    </row>
    <row r="48" spans="1:47" s="6" customFormat="1" x14ac:dyDescent="0.3">
      <c r="A48" s="6" t="s">
        <v>47</v>
      </c>
      <c r="B48" s="7">
        <f t="shared" ref="B48:E48" si="89">+SUM(B41:B47)</f>
        <v>35265666</v>
      </c>
      <c r="C48" s="7">
        <f t="shared" si="89"/>
        <v>6761817</v>
      </c>
      <c r="D48" s="7">
        <f t="shared" si="89"/>
        <v>13390699</v>
      </c>
      <c r="E48" s="7">
        <f t="shared" si="89"/>
        <v>26205333</v>
      </c>
      <c r="F48" s="7">
        <f t="shared" ref="F48:T48" si="90">+SUM(F41:F47)</f>
        <v>36537342</v>
      </c>
      <c r="G48" s="7">
        <f t="shared" si="90"/>
        <v>7349462</v>
      </c>
      <c r="H48" s="7">
        <f t="shared" si="90"/>
        <v>14929757</v>
      </c>
      <c r="I48" s="7">
        <f t="shared" si="90"/>
        <v>25098261</v>
      </c>
      <c r="J48" s="7">
        <f t="shared" si="90"/>
        <v>51259757</v>
      </c>
      <c r="K48" s="7">
        <f t="shared" si="90"/>
        <v>8429389</v>
      </c>
      <c r="L48" s="7">
        <f t="shared" si="90"/>
        <v>24063467</v>
      </c>
      <c r="M48" s="7">
        <f t="shared" si="90"/>
        <v>42143215</v>
      </c>
      <c r="N48" s="7">
        <f t="shared" si="90"/>
        <v>51570861</v>
      </c>
      <c r="O48" s="7">
        <f t="shared" si="90"/>
        <v>10484678</v>
      </c>
      <c r="P48" s="7">
        <f t="shared" si="90"/>
        <v>22394904</v>
      </c>
      <c r="Q48" s="7">
        <f t="shared" si="90"/>
        <v>44622490</v>
      </c>
      <c r="R48" s="7">
        <f t="shared" si="90"/>
        <v>56847288</v>
      </c>
      <c r="S48" s="7">
        <f t="shared" si="90"/>
        <v>15856577</v>
      </c>
      <c r="T48" s="7">
        <f t="shared" si="90"/>
        <v>28370795</v>
      </c>
      <c r="U48" s="7">
        <f t="shared" ref="U48:AG48" si="91">+SUM(U41:U47)</f>
        <v>52084412</v>
      </c>
      <c r="V48" s="7">
        <f t="shared" si="91"/>
        <v>57100509</v>
      </c>
      <c r="W48" s="7">
        <f t="shared" si="91"/>
        <v>11734403</v>
      </c>
      <c r="X48" s="7">
        <f t="shared" si="91"/>
        <v>17869662</v>
      </c>
      <c r="Y48" s="7">
        <f t="shared" si="91"/>
        <v>39325268</v>
      </c>
      <c r="Z48" s="7">
        <f t="shared" si="91"/>
        <v>47110902</v>
      </c>
      <c r="AA48" s="7">
        <f t="shared" si="91"/>
        <v>12003206</v>
      </c>
      <c r="AB48" s="7">
        <f t="shared" si="91"/>
        <v>22319834</v>
      </c>
      <c r="AC48" s="7">
        <f t="shared" si="91"/>
        <v>31749099</v>
      </c>
      <c r="AD48" s="7">
        <f t="shared" si="91"/>
        <v>43633334</v>
      </c>
      <c r="AE48" s="7">
        <f t="shared" si="91"/>
        <v>18817127</v>
      </c>
      <c r="AF48" s="7">
        <f t="shared" si="91"/>
        <v>40382763</v>
      </c>
      <c r="AG48" s="7">
        <f t="shared" si="91"/>
        <v>68799529</v>
      </c>
      <c r="AH48" s="7">
        <f t="shared" ref="AH48:AI48" si="92">+SUM(AH41:AH47)</f>
        <v>83400674</v>
      </c>
      <c r="AI48" s="7">
        <f t="shared" si="92"/>
        <v>18172246</v>
      </c>
      <c r="AJ48" s="7">
        <f t="shared" ref="AJ48:AL48" si="93">+SUM(AJ41:AJ47)</f>
        <v>29292310</v>
      </c>
      <c r="AK48" s="7">
        <f t="shared" si="93"/>
        <v>47250439</v>
      </c>
      <c r="AL48" s="7">
        <f t="shared" si="93"/>
        <v>60478605</v>
      </c>
      <c r="AM48" s="7">
        <f t="shared" ref="AM48:AN48" si="94">+SUM(AM41:AM47)</f>
        <v>18083092</v>
      </c>
      <c r="AN48" s="7">
        <f t="shared" si="94"/>
        <v>30600371</v>
      </c>
      <c r="AO48" s="7">
        <f t="shared" ref="AO48:AP48" si="95">+SUM(AO41:AO47)</f>
        <v>53157817</v>
      </c>
      <c r="AP48" s="7">
        <f t="shared" si="95"/>
        <v>65874168</v>
      </c>
      <c r="AQ48" s="7">
        <f t="shared" ref="AQ48:AR48" si="96">+SUM(AQ41:AQ47)</f>
        <v>18393101</v>
      </c>
      <c r="AR48" s="7">
        <f t="shared" si="96"/>
        <v>36742906</v>
      </c>
      <c r="AS48" s="7">
        <f t="shared" ref="AS48:AT48" si="97">+SUM(AS41:AS47)</f>
        <v>70577989</v>
      </c>
      <c r="AT48" s="7">
        <f t="shared" si="97"/>
        <v>85990650</v>
      </c>
      <c r="AU48" s="7">
        <f t="shared" ref="AU48" si="98">+SUM(AU41:AU47)</f>
        <v>12979037</v>
      </c>
    </row>
    <row r="49" spans="1:47" x14ac:dyDescent="0.3">
      <c r="A49" s="1" t="s">
        <v>48</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row>
    <row r="50" spans="1:47" x14ac:dyDescent="0.3">
      <c r="A50" s="1" t="s">
        <v>49</v>
      </c>
      <c r="B50" s="3">
        <v>-10768</v>
      </c>
      <c r="C50" s="3">
        <v>-3686</v>
      </c>
      <c r="D50" s="3">
        <v>-4932</v>
      </c>
      <c r="E50" s="3">
        <v>-7438</v>
      </c>
      <c r="F50" s="3">
        <v>-11261</v>
      </c>
      <c r="G50" s="3">
        <v>-3860</v>
      </c>
      <c r="H50" s="3">
        <v>-5810</v>
      </c>
      <c r="I50" s="3">
        <v>-7771</v>
      </c>
      <c r="J50" s="3">
        <v>-13686</v>
      </c>
      <c r="K50" s="3">
        <v>-3019</v>
      </c>
      <c r="L50" s="3">
        <v>-5973</v>
      </c>
      <c r="M50" s="3">
        <v>-8967</v>
      </c>
      <c r="N50" s="3">
        <v>-13993</v>
      </c>
      <c r="O50" s="3">
        <v>-3067</v>
      </c>
      <c r="P50" s="3">
        <v>-6065</v>
      </c>
      <c r="Q50" s="3">
        <v>-9129</v>
      </c>
      <c r="R50" s="3">
        <v>-14269</v>
      </c>
      <c r="S50" s="3">
        <v>-7235</v>
      </c>
      <c r="T50" s="3">
        <v>-10338</v>
      </c>
      <c r="U50" s="3">
        <v>-13488</v>
      </c>
      <c r="V50" s="3">
        <v>-16699</v>
      </c>
      <c r="W50" s="3">
        <v>-3246</v>
      </c>
      <c r="X50" s="3">
        <v>-6471</v>
      </c>
      <c r="Y50" s="3">
        <v>-9699</v>
      </c>
      <c r="Z50" s="3">
        <v>-10088</v>
      </c>
      <c r="AA50" s="3">
        <v>-3287</v>
      </c>
      <c r="AB50" s="3">
        <v>-6609</v>
      </c>
      <c r="AC50" s="3">
        <v>-9956</v>
      </c>
      <c r="AD50" s="3">
        <v>-13406</v>
      </c>
      <c r="AE50" s="3">
        <v>-3517</v>
      </c>
      <c r="AF50" s="3">
        <v>-7162</v>
      </c>
      <c r="AG50" s="3">
        <v>-10974</v>
      </c>
      <c r="AH50" s="3">
        <v>-15597</v>
      </c>
      <c r="AI50" s="3">
        <v>-3958</v>
      </c>
      <c r="AJ50" s="3">
        <v>-8012</v>
      </c>
      <c r="AK50" s="3">
        <v>-12080</v>
      </c>
      <c r="AL50" s="3">
        <v>-16184</v>
      </c>
      <c r="AM50" s="3">
        <v>-4141</v>
      </c>
      <c r="AN50" s="3">
        <v>-8358</v>
      </c>
      <c r="AO50" s="3">
        <v>-12602</v>
      </c>
      <c r="AP50" s="3">
        <v>-16900</v>
      </c>
      <c r="AQ50" s="3">
        <v>-4322</v>
      </c>
      <c r="AR50" s="3">
        <v>-8713</v>
      </c>
      <c r="AS50" s="3">
        <v>-13145</v>
      </c>
      <c r="AT50" s="3">
        <v>-17620</v>
      </c>
      <c r="AU50" s="3">
        <v>-4476</v>
      </c>
    </row>
    <row r="51" spans="1:47" x14ac:dyDescent="0.3">
      <c r="A51" s="1" t="s">
        <v>50</v>
      </c>
      <c r="B51" s="3">
        <v>-4459564</v>
      </c>
      <c r="C51" s="3">
        <v>-1016906</v>
      </c>
      <c r="D51" s="3">
        <v>-2046101</v>
      </c>
      <c r="E51" s="3">
        <v>-3093698</v>
      </c>
      <c r="F51" s="3">
        <v>-5445125</v>
      </c>
      <c r="G51" s="3">
        <v>-497773</v>
      </c>
      <c r="H51" s="3">
        <v>-713731</v>
      </c>
      <c r="I51" s="3">
        <v>-931397</v>
      </c>
      <c r="J51" s="3">
        <v>-2451850</v>
      </c>
      <c r="K51" s="3">
        <v>-219367</v>
      </c>
      <c r="L51" s="3">
        <v>-440605</v>
      </c>
      <c r="M51" s="3">
        <v>-661845</v>
      </c>
      <c r="N51" s="3">
        <v>-3546299</v>
      </c>
      <c r="O51" s="3">
        <v>-223615</v>
      </c>
      <c r="P51" s="3">
        <v>-336310</v>
      </c>
      <c r="Q51" s="3">
        <v>-506374</v>
      </c>
      <c r="R51" s="3">
        <v>-3289824</v>
      </c>
      <c r="S51" s="3">
        <v>-171770</v>
      </c>
      <c r="T51" s="3">
        <v>-344910</v>
      </c>
      <c r="U51" s="3">
        <v>-519436</v>
      </c>
      <c r="V51" s="3">
        <v>-3021824</v>
      </c>
      <c r="W51" s="3">
        <v>-177444</v>
      </c>
      <c r="X51" s="3">
        <v>-356351</v>
      </c>
      <c r="Y51" s="3">
        <v>-535157</v>
      </c>
      <c r="Z51" s="3">
        <v>-4567516</v>
      </c>
      <c r="AA51" s="3">
        <v>-182444</v>
      </c>
      <c r="AB51" s="3">
        <v>-367073</v>
      </c>
      <c r="AC51" s="3">
        <v>-553621</v>
      </c>
      <c r="AD51" s="3">
        <v>-3484641</v>
      </c>
      <c r="AE51" s="3">
        <v>-196311</v>
      </c>
      <c r="AF51" s="3">
        <v>-399818</v>
      </c>
      <c r="AG51" s="3">
        <v>-610740</v>
      </c>
      <c r="AH51" s="3">
        <v>-3977537</v>
      </c>
      <c r="AI51" s="3">
        <v>-221022</v>
      </c>
      <c r="AJ51" s="3">
        <v>-445345</v>
      </c>
      <c r="AK51" s="3">
        <v>-670531</v>
      </c>
      <c r="AL51" s="3">
        <v>-4380661</v>
      </c>
      <c r="AM51" s="3">
        <v>-233594</v>
      </c>
      <c r="AN51" s="3">
        <v>-472865</v>
      </c>
      <c r="AO51" s="3">
        <v>-716568</v>
      </c>
      <c r="AP51" s="3">
        <v>-4071726</v>
      </c>
      <c r="AQ51" s="3">
        <v>-254001</v>
      </c>
      <c r="AR51" s="3">
        <v>-511520</v>
      </c>
      <c r="AS51" s="3">
        <v>-770169</v>
      </c>
      <c r="AT51" s="3">
        <v>-4417453</v>
      </c>
      <c r="AU51" s="3">
        <v>-261477</v>
      </c>
    </row>
    <row r="52" spans="1:47" x14ac:dyDescent="0.3">
      <c r="A52" s="1" t="s">
        <v>51</v>
      </c>
      <c r="B52" s="3">
        <v>-203153</v>
      </c>
      <c r="C52" s="3">
        <v>-32546</v>
      </c>
      <c r="D52" s="3">
        <v>-77904</v>
      </c>
      <c r="E52" s="3">
        <v>-105804</v>
      </c>
      <c r="F52" s="3">
        <v>-139851</v>
      </c>
      <c r="G52" s="3">
        <v>-27724</v>
      </c>
      <c r="H52" s="3">
        <v>-88917</v>
      </c>
      <c r="I52" s="3">
        <v>-128197</v>
      </c>
      <c r="J52" s="3">
        <v>-137981</v>
      </c>
      <c r="K52" s="3">
        <v>-46690</v>
      </c>
      <c r="L52" s="3">
        <v>-108403</v>
      </c>
      <c r="M52" s="3">
        <v>-158519</v>
      </c>
      <c r="N52" s="3">
        <v>-207535</v>
      </c>
      <c r="O52" s="3">
        <v>-49719</v>
      </c>
      <c r="P52" s="3">
        <v>-106262</v>
      </c>
      <c r="Q52" s="3">
        <v>-156925</v>
      </c>
      <c r="R52" s="3">
        <v>-232936</v>
      </c>
      <c r="S52" s="3">
        <v>-45630</v>
      </c>
      <c r="T52" s="3">
        <v>-88621</v>
      </c>
      <c r="U52" s="3">
        <v>-143394</v>
      </c>
      <c r="V52" s="3">
        <v>-187466</v>
      </c>
      <c r="W52" s="3">
        <v>-49501</v>
      </c>
      <c r="X52" s="3">
        <v>-93358</v>
      </c>
      <c r="Y52" s="3">
        <v>-138775</v>
      </c>
      <c r="Z52" s="3">
        <v>-175130</v>
      </c>
      <c r="AA52" s="3">
        <v>-48358</v>
      </c>
      <c r="AB52" s="3">
        <v>-151893</v>
      </c>
      <c r="AC52" s="3">
        <v>-289395</v>
      </c>
      <c r="AD52" s="3">
        <v>-376305</v>
      </c>
      <c r="AE52" s="3">
        <v>-64036</v>
      </c>
      <c r="AF52" s="3">
        <v>-118205</v>
      </c>
      <c r="AG52" s="3">
        <v>-172996</v>
      </c>
      <c r="AH52" s="3">
        <v>-239383</v>
      </c>
      <c r="AI52" s="3">
        <v>-57769</v>
      </c>
      <c r="AJ52" s="3">
        <v>-124034</v>
      </c>
      <c r="AK52" s="3">
        <v>-191086</v>
      </c>
      <c r="AL52" s="3">
        <v>-263464</v>
      </c>
      <c r="AM52" s="3">
        <v>-64497</v>
      </c>
      <c r="AN52" s="3">
        <v>-167788</v>
      </c>
      <c r="AO52" s="3">
        <v>-234690</v>
      </c>
      <c r="AP52" s="3">
        <v>-290100</v>
      </c>
      <c r="AQ52" s="3">
        <v>-59005</v>
      </c>
      <c r="AR52" s="3">
        <v>-158169</v>
      </c>
      <c r="AS52" s="3">
        <v>-233768</v>
      </c>
      <c r="AT52" s="3">
        <v>-318802</v>
      </c>
      <c r="AU52" s="3">
        <v>-66133</v>
      </c>
    </row>
    <row r="53" spans="1:47" s="6" customFormat="1" x14ac:dyDescent="0.3">
      <c r="A53" s="6" t="s">
        <v>52</v>
      </c>
      <c r="B53" s="7">
        <f t="shared" ref="B53:E53" si="99">+SUM(B49:B52)</f>
        <v>-4673485</v>
      </c>
      <c r="C53" s="7">
        <f t="shared" si="99"/>
        <v>-1053138</v>
      </c>
      <c r="D53" s="7">
        <f t="shared" si="99"/>
        <v>-2128937</v>
      </c>
      <c r="E53" s="7">
        <f t="shared" si="99"/>
        <v>-3206940</v>
      </c>
      <c r="F53" s="7">
        <f t="shared" ref="F53:T53" si="100">+SUM(F49:F52)</f>
        <v>-5596237</v>
      </c>
      <c r="G53" s="7">
        <f t="shared" si="100"/>
        <v>-529357</v>
      </c>
      <c r="H53" s="7">
        <f t="shared" si="100"/>
        <v>-808458</v>
      </c>
      <c r="I53" s="7">
        <f t="shared" si="100"/>
        <v>-1067365</v>
      </c>
      <c r="J53" s="7">
        <f t="shared" si="100"/>
        <v>-2603517</v>
      </c>
      <c r="K53" s="7">
        <f t="shared" si="100"/>
        <v>-269076</v>
      </c>
      <c r="L53" s="7">
        <f t="shared" si="100"/>
        <v>-554981</v>
      </c>
      <c r="M53" s="7">
        <f t="shared" si="100"/>
        <v>-829331</v>
      </c>
      <c r="N53" s="7">
        <f t="shared" si="100"/>
        <v>-3767827</v>
      </c>
      <c r="O53" s="7">
        <f t="shared" si="100"/>
        <v>-276401</v>
      </c>
      <c r="P53" s="7">
        <f t="shared" si="100"/>
        <v>-448637</v>
      </c>
      <c r="Q53" s="7">
        <f t="shared" si="100"/>
        <v>-672428</v>
      </c>
      <c r="R53" s="7">
        <f t="shared" si="100"/>
        <v>-3537029</v>
      </c>
      <c r="S53" s="7">
        <f t="shared" si="100"/>
        <v>-224635</v>
      </c>
      <c r="T53" s="7">
        <f t="shared" si="100"/>
        <v>-443869</v>
      </c>
      <c r="U53" s="7">
        <f t="shared" ref="U53:AG53" si="101">+SUM(U49:U52)</f>
        <v>-676318</v>
      </c>
      <c r="V53" s="7">
        <f t="shared" si="101"/>
        <v>-3225989</v>
      </c>
      <c r="W53" s="7">
        <f t="shared" si="101"/>
        <v>-230191</v>
      </c>
      <c r="X53" s="7">
        <f t="shared" si="101"/>
        <v>-456180</v>
      </c>
      <c r="Y53" s="7">
        <f t="shared" si="101"/>
        <v>-683631</v>
      </c>
      <c r="Z53" s="7">
        <f t="shared" si="101"/>
        <v>-4752734</v>
      </c>
      <c r="AA53" s="7">
        <f t="shared" si="101"/>
        <v>-234089</v>
      </c>
      <c r="AB53" s="7">
        <f t="shared" si="101"/>
        <v>-525575</v>
      </c>
      <c r="AC53" s="7">
        <f t="shared" si="101"/>
        <v>-852972</v>
      </c>
      <c r="AD53" s="7">
        <f t="shared" si="101"/>
        <v>-3874352</v>
      </c>
      <c r="AE53" s="7">
        <f t="shared" si="101"/>
        <v>-263864</v>
      </c>
      <c r="AF53" s="7">
        <f t="shared" si="101"/>
        <v>-525185</v>
      </c>
      <c r="AG53" s="7">
        <f t="shared" si="101"/>
        <v>-794710</v>
      </c>
      <c r="AH53" s="7">
        <f t="shared" ref="AH53:AI53" si="102">+SUM(AH49:AH52)</f>
        <v>-4232517</v>
      </c>
      <c r="AI53" s="7">
        <f t="shared" si="102"/>
        <v>-282749</v>
      </c>
      <c r="AJ53" s="7">
        <f t="shared" ref="AJ53:AL53" si="103">+SUM(AJ49:AJ52)</f>
        <v>-577391</v>
      </c>
      <c r="AK53" s="7">
        <f t="shared" si="103"/>
        <v>-873697</v>
      </c>
      <c r="AL53" s="7">
        <f t="shared" si="103"/>
        <v>-4660309</v>
      </c>
      <c r="AM53" s="7">
        <f t="shared" ref="AM53:AN53" si="104">+SUM(AM49:AM52)</f>
        <v>-302232</v>
      </c>
      <c r="AN53" s="7">
        <f t="shared" si="104"/>
        <v>-649011</v>
      </c>
      <c r="AO53" s="7">
        <f t="shared" ref="AO53:AP53" si="105">+SUM(AO49:AO52)</f>
        <v>-963860</v>
      </c>
      <c r="AP53" s="7">
        <f t="shared" si="105"/>
        <v>-4378726</v>
      </c>
      <c r="AQ53" s="7">
        <f t="shared" ref="AQ53:AR53" si="106">+SUM(AQ49:AQ52)</f>
        <v>-317328</v>
      </c>
      <c r="AR53" s="7">
        <f t="shared" si="106"/>
        <v>-678402</v>
      </c>
      <c r="AS53" s="7">
        <f t="shared" ref="AS53:AT53" si="107">+SUM(AS49:AS52)</f>
        <v>-1017082</v>
      </c>
      <c r="AT53" s="7">
        <f t="shared" si="107"/>
        <v>-4753875</v>
      </c>
      <c r="AU53" s="7">
        <f t="shared" ref="AU53" si="108">+SUM(AU49:AU52)</f>
        <v>-332086</v>
      </c>
    </row>
    <row r="54" spans="1:47" s="117" customFormat="1" x14ac:dyDescent="0.3">
      <c r="A54" s="117" t="s">
        <v>53</v>
      </c>
      <c r="B54" s="118">
        <f t="shared" ref="B54:E54" si="109">+B48+B53</f>
        <v>30592181</v>
      </c>
      <c r="C54" s="118">
        <f t="shared" si="109"/>
        <v>5708679</v>
      </c>
      <c r="D54" s="118">
        <f t="shared" si="109"/>
        <v>11261762</v>
      </c>
      <c r="E54" s="118">
        <f t="shared" si="109"/>
        <v>22998393</v>
      </c>
      <c r="F54" s="118">
        <f t="shared" ref="F54:T54" si="110">+F48+F53</f>
        <v>30941105</v>
      </c>
      <c r="G54" s="118">
        <f t="shared" si="110"/>
        <v>6820105</v>
      </c>
      <c r="H54" s="118">
        <f t="shared" si="110"/>
        <v>14121299</v>
      </c>
      <c r="I54" s="118">
        <f t="shared" si="110"/>
        <v>24030896</v>
      </c>
      <c r="J54" s="118">
        <f t="shared" si="110"/>
        <v>48656240</v>
      </c>
      <c r="K54" s="118">
        <f t="shared" si="110"/>
        <v>8160313</v>
      </c>
      <c r="L54" s="118">
        <f t="shared" si="110"/>
        <v>23508486</v>
      </c>
      <c r="M54" s="118">
        <f t="shared" si="110"/>
        <v>41313884</v>
      </c>
      <c r="N54" s="118">
        <f t="shared" si="110"/>
        <v>47803034</v>
      </c>
      <c r="O54" s="118">
        <f t="shared" si="110"/>
        <v>10208277</v>
      </c>
      <c r="P54" s="118">
        <f t="shared" si="110"/>
        <v>21946267</v>
      </c>
      <c r="Q54" s="118">
        <f t="shared" si="110"/>
        <v>43950062</v>
      </c>
      <c r="R54" s="118">
        <f t="shared" si="110"/>
        <v>53310259</v>
      </c>
      <c r="S54" s="118">
        <f t="shared" si="110"/>
        <v>15631942</v>
      </c>
      <c r="T54" s="118">
        <f t="shared" si="110"/>
        <v>27926926</v>
      </c>
      <c r="U54" s="118">
        <f t="shared" ref="U54:AG54" si="111">+U48+U53</f>
        <v>51408094</v>
      </c>
      <c r="V54" s="118">
        <f t="shared" si="111"/>
        <v>53874520</v>
      </c>
      <c r="W54" s="118">
        <f t="shared" si="111"/>
        <v>11504212</v>
      </c>
      <c r="X54" s="118">
        <f t="shared" si="111"/>
        <v>17413482</v>
      </c>
      <c r="Y54" s="118">
        <f t="shared" si="111"/>
        <v>38641637</v>
      </c>
      <c r="Z54" s="118">
        <f t="shared" si="111"/>
        <v>42358168</v>
      </c>
      <c r="AA54" s="118">
        <f t="shared" si="111"/>
        <v>11769117</v>
      </c>
      <c r="AB54" s="118">
        <f t="shared" si="111"/>
        <v>21794259</v>
      </c>
      <c r="AC54" s="118">
        <f t="shared" si="111"/>
        <v>30896127</v>
      </c>
      <c r="AD54" s="118">
        <f t="shared" si="111"/>
        <v>39758982</v>
      </c>
      <c r="AE54" s="118">
        <f t="shared" si="111"/>
        <v>18553263</v>
      </c>
      <c r="AF54" s="118">
        <f t="shared" si="111"/>
        <v>39857578</v>
      </c>
      <c r="AG54" s="118">
        <f t="shared" si="111"/>
        <v>68004819</v>
      </c>
      <c r="AH54" s="118">
        <f t="shared" ref="AH54:AI54" si="112">+AH48+AH53</f>
        <v>79168157</v>
      </c>
      <c r="AI54" s="118">
        <f t="shared" si="112"/>
        <v>17889497</v>
      </c>
      <c r="AJ54" s="118">
        <f t="shared" ref="AJ54:AL54" si="113">+AJ48+AJ53</f>
        <v>28714919</v>
      </c>
      <c r="AK54" s="118">
        <f t="shared" si="113"/>
        <v>46376742</v>
      </c>
      <c r="AL54" s="118">
        <f t="shared" si="113"/>
        <v>55818296</v>
      </c>
      <c r="AM54" s="118">
        <f t="shared" ref="AM54:AN54" si="114">+AM48+AM53</f>
        <v>17780860</v>
      </c>
      <c r="AN54" s="118">
        <f t="shared" si="114"/>
        <v>29951360</v>
      </c>
      <c r="AO54" s="118">
        <f t="shared" ref="AO54:AP54" si="115">+AO48+AO53</f>
        <v>52193957</v>
      </c>
      <c r="AP54" s="118">
        <f t="shared" si="115"/>
        <v>61495442</v>
      </c>
      <c r="AQ54" s="118">
        <f t="shared" ref="AQ54:AR54" si="116">+AQ48+AQ53</f>
        <v>18075773</v>
      </c>
      <c r="AR54" s="118">
        <f t="shared" si="116"/>
        <v>36064504</v>
      </c>
      <c r="AS54" s="118">
        <f t="shared" ref="AS54:AT54" si="117">+AS48+AS53</f>
        <v>69560907</v>
      </c>
      <c r="AT54" s="118">
        <f t="shared" si="117"/>
        <v>81236775</v>
      </c>
      <c r="AU54" s="118">
        <f t="shared" ref="AU54" si="118">+AU48+AU53</f>
        <v>12646951</v>
      </c>
    </row>
    <row r="55" spans="1:47" x14ac:dyDescent="0.3">
      <c r="A55" s="1" t="s">
        <v>54</v>
      </c>
      <c r="B55" s="3">
        <v>-1886634</v>
      </c>
      <c r="C55" s="3">
        <v>-731973</v>
      </c>
      <c r="D55" s="3">
        <v>-1357448</v>
      </c>
      <c r="E55" s="3">
        <v>-2121239</v>
      </c>
      <c r="F55" s="3">
        <v>-2781198</v>
      </c>
      <c r="G55" s="3">
        <v>-683296</v>
      </c>
      <c r="H55" s="3">
        <v>-1429344</v>
      </c>
      <c r="I55" s="3">
        <v>-2121669</v>
      </c>
      <c r="J55" s="3">
        <v>-3542364</v>
      </c>
      <c r="K55" s="3">
        <v>-946448</v>
      </c>
      <c r="L55" s="3">
        <v>-1928686</v>
      </c>
      <c r="M55" s="3">
        <v>-2937426</v>
      </c>
      <c r="N55" s="3">
        <v>-3919367</v>
      </c>
      <c r="O55" s="3">
        <v>-943102</v>
      </c>
      <c r="P55" s="3">
        <v>-1921386</v>
      </c>
      <c r="Q55" s="3">
        <v>-2971022</v>
      </c>
      <c r="R55" s="3">
        <v>-4047887</v>
      </c>
      <c r="S55" s="3">
        <v>-1096824</v>
      </c>
      <c r="T55" s="3">
        <v>-2274494</v>
      </c>
      <c r="U55" s="3">
        <v>-3461607</v>
      </c>
      <c r="V55" s="3">
        <v>-4746691</v>
      </c>
      <c r="W55" s="3">
        <v>-1179132</v>
      </c>
      <c r="X55" s="3">
        <v>-2364674</v>
      </c>
      <c r="Y55" s="3">
        <v>-2899538</v>
      </c>
      <c r="Z55" s="3">
        <v>-3461998</v>
      </c>
      <c r="AA55" s="3">
        <v>-655931</v>
      </c>
      <c r="AB55" s="3">
        <v>-1650033</v>
      </c>
      <c r="AC55" s="3">
        <v>-2308340</v>
      </c>
      <c r="AD55" s="3">
        <v>-2859278</v>
      </c>
      <c r="AE55" s="3">
        <v>-548741</v>
      </c>
      <c r="AF55" s="3">
        <v>-1132285</v>
      </c>
      <c r="AG55" s="3">
        <v>-1743550</v>
      </c>
      <c r="AH55" s="3">
        <v>-2366016</v>
      </c>
      <c r="AI55" s="3">
        <v>-615890</v>
      </c>
      <c r="AJ55" s="3">
        <v>-1251194</v>
      </c>
      <c r="AK55" s="3">
        <v>-1893372</v>
      </c>
      <c r="AL55" s="3">
        <v>-2543831</v>
      </c>
      <c r="AM55" s="3">
        <v>-645614</v>
      </c>
      <c r="AN55" s="3">
        <v>-1538023</v>
      </c>
      <c r="AO55" s="3">
        <v>-3378556</v>
      </c>
      <c r="AP55" s="3">
        <v>-4634406</v>
      </c>
      <c r="AQ55" s="3">
        <v>-1424822</v>
      </c>
      <c r="AR55" s="3">
        <v>-2865230</v>
      </c>
      <c r="AS55" s="3">
        <v>-4340802</v>
      </c>
      <c r="AT55" s="3">
        <v>-5822485</v>
      </c>
      <c r="AU55" s="3">
        <v>-2104519</v>
      </c>
    </row>
    <row r="56" spans="1:47" s="6" customFormat="1" x14ac:dyDescent="0.3">
      <c r="A56" s="6" t="s">
        <v>55</v>
      </c>
      <c r="B56" s="7">
        <f t="shared" ref="B56:E56" si="119">+SUM(B54:B55)</f>
        <v>28705547</v>
      </c>
      <c r="C56" s="7">
        <f t="shared" si="119"/>
        <v>4976706</v>
      </c>
      <c r="D56" s="7">
        <f t="shared" si="119"/>
        <v>9904314</v>
      </c>
      <c r="E56" s="7">
        <f t="shared" si="119"/>
        <v>20877154</v>
      </c>
      <c r="F56" s="7">
        <f t="shared" ref="F56:T56" si="120">+SUM(F54:F55)</f>
        <v>28159907</v>
      </c>
      <c r="G56" s="7">
        <f t="shared" si="120"/>
        <v>6136809</v>
      </c>
      <c r="H56" s="7">
        <f t="shared" si="120"/>
        <v>12691955</v>
      </c>
      <c r="I56" s="7">
        <f t="shared" si="120"/>
        <v>21909227</v>
      </c>
      <c r="J56" s="7">
        <f t="shared" si="120"/>
        <v>45113876</v>
      </c>
      <c r="K56" s="7">
        <f t="shared" si="120"/>
        <v>7213865</v>
      </c>
      <c r="L56" s="7">
        <f t="shared" si="120"/>
        <v>21579800</v>
      </c>
      <c r="M56" s="7">
        <f t="shared" si="120"/>
        <v>38376458</v>
      </c>
      <c r="N56" s="7">
        <f t="shared" si="120"/>
        <v>43883667</v>
      </c>
      <c r="O56" s="7">
        <f t="shared" si="120"/>
        <v>9265175</v>
      </c>
      <c r="P56" s="7">
        <f t="shared" si="120"/>
        <v>20024881</v>
      </c>
      <c r="Q56" s="7">
        <f t="shared" si="120"/>
        <v>40979040</v>
      </c>
      <c r="R56" s="7">
        <f t="shared" si="120"/>
        <v>49262372</v>
      </c>
      <c r="S56" s="7">
        <f t="shared" si="120"/>
        <v>14535118</v>
      </c>
      <c r="T56" s="7">
        <f t="shared" si="120"/>
        <v>25652432</v>
      </c>
      <c r="U56" s="7">
        <f t="shared" ref="U56:AG56" si="121">+SUM(U54:U55)</f>
        <v>47946487</v>
      </c>
      <c r="V56" s="7">
        <f t="shared" si="121"/>
        <v>49127829</v>
      </c>
      <c r="W56" s="7">
        <f t="shared" si="121"/>
        <v>10325080</v>
      </c>
      <c r="X56" s="7">
        <f t="shared" si="121"/>
        <v>15048808</v>
      </c>
      <c r="Y56" s="7">
        <f t="shared" si="121"/>
        <v>35742099</v>
      </c>
      <c r="Z56" s="7">
        <f t="shared" si="121"/>
        <v>38896170</v>
      </c>
      <c r="AA56" s="7">
        <f t="shared" si="121"/>
        <v>11113186</v>
      </c>
      <c r="AB56" s="7">
        <f t="shared" si="121"/>
        <v>20144226</v>
      </c>
      <c r="AC56" s="7">
        <f t="shared" si="121"/>
        <v>28587787</v>
      </c>
      <c r="AD56" s="7">
        <f t="shared" si="121"/>
        <v>36899704</v>
      </c>
      <c r="AE56" s="7">
        <f t="shared" si="121"/>
        <v>18004522</v>
      </c>
      <c r="AF56" s="7">
        <f t="shared" si="121"/>
        <v>38725293</v>
      </c>
      <c r="AG56" s="7">
        <f t="shared" si="121"/>
        <v>66261269</v>
      </c>
      <c r="AH56" s="7">
        <f t="shared" ref="AH56:AJ56" si="122">+SUM(AH54:AH55)</f>
        <v>76802141</v>
      </c>
      <c r="AI56" s="7">
        <f t="shared" si="122"/>
        <v>17273607</v>
      </c>
      <c r="AJ56" s="7">
        <f t="shared" si="122"/>
        <v>27463725</v>
      </c>
      <c r="AK56" s="7">
        <f t="shared" ref="AK56:AL56" si="123">+SUM(AK54:AK55)</f>
        <v>44483370</v>
      </c>
      <c r="AL56" s="7">
        <f t="shared" si="123"/>
        <v>53274465</v>
      </c>
      <c r="AM56" s="7">
        <f t="shared" ref="AM56:AN56" si="124">+SUM(AM54:AM55)</f>
        <v>17135246</v>
      </c>
      <c r="AN56" s="7">
        <f t="shared" si="124"/>
        <v>28413337</v>
      </c>
      <c r="AO56" s="7">
        <f t="shared" ref="AO56:AT56" si="125">+SUM(AO54:AO55)</f>
        <v>48815401</v>
      </c>
      <c r="AP56" s="7">
        <f t="shared" si="125"/>
        <v>56861036</v>
      </c>
      <c r="AQ56" s="7">
        <f t="shared" si="125"/>
        <v>16650951</v>
      </c>
      <c r="AR56" s="7">
        <f t="shared" si="125"/>
        <v>33199274</v>
      </c>
      <c r="AS56" s="7">
        <f t="shared" si="125"/>
        <v>65220105</v>
      </c>
      <c r="AT56" s="7">
        <f t="shared" si="125"/>
        <v>75414290</v>
      </c>
      <c r="AU56" s="7">
        <f t="shared" ref="AU56" si="126">+SUM(AU54:AU55)</f>
        <v>10542432</v>
      </c>
    </row>
    <row r="57" spans="1:47" x14ac:dyDescent="0.3">
      <c r="A57" s="1" t="s">
        <v>56</v>
      </c>
      <c r="B57" s="3"/>
      <c r="C57" s="3"/>
      <c r="D57" s="3"/>
      <c r="E57" s="3"/>
      <c r="F57" s="3">
        <v>0</v>
      </c>
      <c r="G57" s="3">
        <v>0</v>
      </c>
      <c r="H57" s="3">
        <v>0</v>
      </c>
      <c r="I57" s="3">
        <v>0</v>
      </c>
      <c r="J57" s="3">
        <v>0</v>
      </c>
      <c r="K57" s="3">
        <v>0</v>
      </c>
      <c r="L57" s="3">
        <v>0</v>
      </c>
      <c r="M57" s="3">
        <v>0</v>
      </c>
      <c r="N57" s="3">
        <v>0</v>
      </c>
      <c r="O57" s="3">
        <v>0</v>
      </c>
      <c r="P57" s="3">
        <v>0</v>
      </c>
      <c r="Q57" s="3">
        <v>0</v>
      </c>
      <c r="R57" s="3">
        <v>0</v>
      </c>
      <c r="S57" s="3">
        <v>0</v>
      </c>
      <c r="T57" s="3">
        <v>0</v>
      </c>
      <c r="U57" s="3">
        <v>0</v>
      </c>
      <c r="V57" s="3">
        <v>0</v>
      </c>
      <c r="W57" s="3">
        <v>0</v>
      </c>
      <c r="X57" s="3">
        <v>0</v>
      </c>
      <c r="Y57" s="3">
        <v>0</v>
      </c>
      <c r="Z57" s="3">
        <v>0</v>
      </c>
      <c r="AA57" s="3">
        <v>0</v>
      </c>
      <c r="AB57" s="3">
        <v>0</v>
      </c>
      <c r="AC57" s="3">
        <v>0</v>
      </c>
      <c r="AD57" s="3">
        <v>0</v>
      </c>
      <c r="AE57" s="3">
        <v>0</v>
      </c>
      <c r="AF57" s="3">
        <v>0</v>
      </c>
      <c r="AG57" s="3">
        <v>0</v>
      </c>
      <c r="AH57" s="3">
        <v>0</v>
      </c>
      <c r="AI57" s="3">
        <v>0</v>
      </c>
      <c r="AJ57" s="3">
        <v>0</v>
      </c>
      <c r="AK57" s="3">
        <v>0</v>
      </c>
      <c r="AL57" s="3">
        <v>0</v>
      </c>
      <c r="AM57" s="3">
        <v>0</v>
      </c>
      <c r="AN57" s="3">
        <v>0</v>
      </c>
      <c r="AO57" s="3">
        <v>0</v>
      </c>
      <c r="AP57" s="3">
        <v>0</v>
      </c>
      <c r="AQ57" s="3">
        <v>0</v>
      </c>
      <c r="AR57" s="3">
        <v>0</v>
      </c>
      <c r="AS57" s="3">
        <v>0</v>
      </c>
      <c r="AT57" s="3">
        <v>0</v>
      </c>
      <c r="AU57" s="3">
        <v>0</v>
      </c>
    </row>
    <row r="58" spans="1:47" s="6" customFormat="1" x14ac:dyDescent="0.3">
      <c r="A58" s="6" t="s">
        <v>57</v>
      </c>
      <c r="B58" s="7">
        <f t="shared" ref="B58:E58" si="127">+SUM(B56:B57)</f>
        <v>28705547</v>
      </c>
      <c r="C58" s="7">
        <f t="shared" si="127"/>
        <v>4976706</v>
      </c>
      <c r="D58" s="7">
        <f t="shared" si="127"/>
        <v>9904314</v>
      </c>
      <c r="E58" s="7">
        <f t="shared" si="127"/>
        <v>20877154</v>
      </c>
      <c r="F58" s="7">
        <f t="shared" ref="F58:T58" si="128">+SUM(F56:F57)</f>
        <v>28159907</v>
      </c>
      <c r="G58" s="7">
        <f t="shared" si="128"/>
        <v>6136809</v>
      </c>
      <c r="H58" s="7">
        <f t="shared" si="128"/>
        <v>12691955</v>
      </c>
      <c r="I58" s="7">
        <f t="shared" si="128"/>
        <v>21909227</v>
      </c>
      <c r="J58" s="7">
        <f t="shared" si="128"/>
        <v>45113876</v>
      </c>
      <c r="K58" s="7">
        <f t="shared" si="128"/>
        <v>7213865</v>
      </c>
      <c r="L58" s="7">
        <f t="shared" si="128"/>
        <v>21579800</v>
      </c>
      <c r="M58" s="7">
        <f t="shared" si="128"/>
        <v>38376458</v>
      </c>
      <c r="N58" s="7">
        <f t="shared" si="128"/>
        <v>43883667</v>
      </c>
      <c r="O58" s="7">
        <f t="shared" si="128"/>
        <v>9265175</v>
      </c>
      <c r="P58" s="7">
        <f t="shared" si="128"/>
        <v>20024881</v>
      </c>
      <c r="Q58" s="7">
        <f t="shared" si="128"/>
        <v>40979040</v>
      </c>
      <c r="R58" s="7">
        <f t="shared" si="128"/>
        <v>49262372</v>
      </c>
      <c r="S58" s="7">
        <f t="shared" si="128"/>
        <v>14535118</v>
      </c>
      <c r="T58" s="7">
        <f t="shared" si="128"/>
        <v>25652432</v>
      </c>
      <c r="U58" s="7">
        <f t="shared" ref="U58:AG58" si="129">+SUM(U56:U57)</f>
        <v>47946487</v>
      </c>
      <c r="V58" s="7">
        <f t="shared" si="129"/>
        <v>49127829</v>
      </c>
      <c r="W58" s="7">
        <f t="shared" si="129"/>
        <v>10325080</v>
      </c>
      <c r="X58" s="7">
        <f t="shared" si="129"/>
        <v>15048808</v>
      </c>
      <c r="Y58" s="7">
        <f t="shared" si="129"/>
        <v>35742099</v>
      </c>
      <c r="Z58" s="7">
        <f t="shared" si="129"/>
        <v>38896170</v>
      </c>
      <c r="AA58" s="7">
        <f t="shared" si="129"/>
        <v>11113186</v>
      </c>
      <c r="AB58" s="7">
        <f t="shared" si="129"/>
        <v>20144226</v>
      </c>
      <c r="AC58" s="7">
        <f t="shared" si="129"/>
        <v>28587787</v>
      </c>
      <c r="AD58" s="7">
        <f t="shared" si="129"/>
        <v>36899704</v>
      </c>
      <c r="AE58" s="7">
        <f t="shared" si="129"/>
        <v>18004522</v>
      </c>
      <c r="AF58" s="7">
        <f t="shared" si="129"/>
        <v>38725293</v>
      </c>
      <c r="AG58" s="7">
        <f t="shared" si="129"/>
        <v>66261269</v>
      </c>
      <c r="AH58" s="7">
        <f t="shared" ref="AH58:AI58" si="130">+SUM(AH56:AH57)</f>
        <v>76802141</v>
      </c>
      <c r="AI58" s="7">
        <f t="shared" si="130"/>
        <v>17273607</v>
      </c>
      <c r="AJ58" s="7">
        <f t="shared" ref="AJ58:AK58" si="131">+SUM(AJ56:AJ57)</f>
        <v>27463725</v>
      </c>
      <c r="AK58" s="7">
        <f t="shared" si="131"/>
        <v>44483370</v>
      </c>
      <c r="AL58" s="7">
        <f t="shared" ref="AL58:AM58" si="132">+SUM(AL56:AL57)</f>
        <v>53274465</v>
      </c>
      <c r="AM58" s="7">
        <f t="shared" si="132"/>
        <v>17135246</v>
      </c>
      <c r="AN58" s="7">
        <f t="shared" ref="AN58:AO58" si="133">+SUM(AN56:AN57)</f>
        <v>28413337</v>
      </c>
      <c r="AO58" s="7">
        <f t="shared" si="133"/>
        <v>48815401</v>
      </c>
      <c r="AP58" s="7">
        <f t="shared" ref="AP58:AQ58" si="134">+SUM(AP56:AP57)</f>
        <v>56861036</v>
      </c>
      <c r="AQ58" s="7">
        <f t="shared" si="134"/>
        <v>16650951</v>
      </c>
      <c r="AR58" s="7">
        <f t="shared" ref="AR58:AS58" si="135">+SUM(AR56:AR57)</f>
        <v>33199274</v>
      </c>
      <c r="AS58" s="7">
        <f t="shared" si="135"/>
        <v>65220105</v>
      </c>
      <c r="AT58" s="7">
        <f t="shared" ref="AT58:AU58" si="136">+SUM(AT56:AT57)</f>
        <v>75414290</v>
      </c>
      <c r="AU58" s="7">
        <f t="shared" si="136"/>
        <v>10542432</v>
      </c>
    </row>
    <row r="59" spans="1:47" x14ac:dyDescent="0.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row>
    <row r="60" spans="1:47" x14ac:dyDescent="0.3">
      <c r="A60" s="1" t="s">
        <v>38</v>
      </c>
      <c r="B60" s="4"/>
      <c r="C60" s="4" t="str">
        <f>IF((+C58-C33)=0,"ok","error")</f>
        <v>ok</v>
      </c>
      <c r="D60" s="4" t="str">
        <f t="shared" ref="D60:L60" si="137">IF((+D58-D33)=0,"ok","error")</f>
        <v>ok</v>
      </c>
      <c r="E60" s="4" t="str">
        <f t="shared" si="137"/>
        <v>ok</v>
      </c>
      <c r="F60" s="4" t="str">
        <f t="shared" si="137"/>
        <v>ok</v>
      </c>
      <c r="G60" s="4" t="str">
        <f t="shared" si="137"/>
        <v>ok</v>
      </c>
      <c r="H60" s="4" t="str">
        <f t="shared" si="137"/>
        <v>ok</v>
      </c>
      <c r="I60" s="4" t="str">
        <f t="shared" si="137"/>
        <v>ok</v>
      </c>
      <c r="J60" s="4" t="str">
        <f t="shared" si="137"/>
        <v>ok</v>
      </c>
      <c r="K60" s="4" t="str">
        <f t="shared" si="137"/>
        <v>ok</v>
      </c>
      <c r="L60" s="4" t="str">
        <f t="shared" si="137"/>
        <v>ok</v>
      </c>
      <c r="M60" s="4" t="str">
        <f t="shared" ref="M60:N60" si="138">IF((+M58-M33)=0,"ok","error")</f>
        <v>ok</v>
      </c>
      <c r="N60" s="4" t="str">
        <f t="shared" si="138"/>
        <v>ok</v>
      </c>
      <c r="O60" s="4" t="str">
        <f t="shared" ref="O60:P60" si="139">IF((+O58-O33)=0,"ok","error")</f>
        <v>ok</v>
      </c>
      <c r="P60" s="4" t="str">
        <f t="shared" si="139"/>
        <v>ok</v>
      </c>
      <c r="Q60" s="4" t="str">
        <f t="shared" ref="Q60:R60" si="140">IF((+Q58-Q33)=0,"ok","error")</f>
        <v>ok</v>
      </c>
      <c r="R60" s="4" t="str">
        <f t="shared" si="140"/>
        <v>ok</v>
      </c>
      <c r="S60" s="4" t="str">
        <f t="shared" ref="S60:T60" si="141">IF((+S58-S33)=0,"ok","error")</f>
        <v>ok</v>
      </c>
      <c r="T60" s="4" t="str">
        <f t="shared" si="141"/>
        <v>ok</v>
      </c>
      <c r="U60" s="4" t="str">
        <f t="shared" ref="U60:AG60" si="142">IF((+U58-U33)=0,"ok","error")</f>
        <v>ok</v>
      </c>
      <c r="V60" s="4" t="str">
        <f t="shared" si="142"/>
        <v>ok</v>
      </c>
      <c r="W60" s="4" t="str">
        <f t="shared" si="142"/>
        <v>ok</v>
      </c>
      <c r="X60" s="4" t="str">
        <f t="shared" si="142"/>
        <v>ok</v>
      </c>
      <c r="Y60" s="4" t="str">
        <f t="shared" si="142"/>
        <v>ok</v>
      </c>
      <c r="Z60" s="4" t="str">
        <f t="shared" si="142"/>
        <v>ok</v>
      </c>
      <c r="AA60" s="4" t="str">
        <f t="shared" si="142"/>
        <v>ok</v>
      </c>
      <c r="AB60" s="4" t="str">
        <f t="shared" si="142"/>
        <v>ok</v>
      </c>
      <c r="AC60" s="4" t="str">
        <f t="shared" si="142"/>
        <v>ok</v>
      </c>
      <c r="AD60" s="4" t="str">
        <f t="shared" si="142"/>
        <v>ok</v>
      </c>
      <c r="AE60" s="4" t="str">
        <f t="shared" si="142"/>
        <v>ok</v>
      </c>
      <c r="AF60" s="4" t="str">
        <f t="shared" si="142"/>
        <v>ok</v>
      </c>
      <c r="AG60" s="4" t="str">
        <f t="shared" si="142"/>
        <v>ok</v>
      </c>
      <c r="AH60" s="4" t="str">
        <f t="shared" ref="AH60:AI60" si="143">IF((+AH58-AH33)=0,"ok","error")</f>
        <v>ok</v>
      </c>
      <c r="AI60" s="4" t="str">
        <f t="shared" si="143"/>
        <v>ok</v>
      </c>
      <c r="AJ60" s="4" t="str">
        <f t="shared" ref="AJ60:AK60" si="144">IF((+AJ58-AJ33)=0,"ok","error")</f>
        <v>ok</v>
      </c>
      <c r="AK60" s="4" t="str">
        <f t="shared" si="144"/>
        <v>ok</v>
      </c>
      <c r="AL60" s="4" t="str">
        <f t="shared" ref="AL60:AM60" si="145">IF((+AL58-AL33)=0,"ok","error")</f>
        <v>ok</v>
      </c>
      <c r="AM60" s="4" t="str">
        <f t="shared" si="145"/>
        <v>ok</v>
      </c>
      <c r="AN60" s="4" t="str">
        <f t="shared" ref="AN60:AO60" si="146">IF((+AN58-AN33)=0,"ok","error")</f>
        <v>ok</v>
      </c>
      <c r="AO60" s="4" t="str">
        <f t="shared" si="146"/>
        <v>ok</v>
      </c>
      <c r="AP60" s="4" t="str">
        <f t="shared" ref="AP60:AQ60" si="147">IF((+AP58-AP33)=0,"ok","error")</f>
        <v>ok</v>
      </c>
      <c r="AQ60" s="4" t="str">
        <f t="shared" si="147"/>
        <v>ok</v>
      </c>
      <c r="AR60" s="4" t="str">
        <f t="shared" ref="AR60:AS60" si="148">IF((+AR58-AR33)=0,"ok","error")</f>
        <v>ok</v>
      </c>
      <c r="AS60" s="4" t="str">
        <f t="shared" si="148"/>
        <v>ok</v>
      </c>
      <c r="AT60" s="4" t="str">
        <f t="shared" ref="AT60:AU60" si="149">IF((+AT58-AT33)=0,"ok","error")</f>
        <v>ok</v>
      </c>
      <c r="AU60" s="4" t="str">
        <f t="shared" si="149"/>
        <v>ok</v>
      </c>
    </row>
    <row r="61" spans="1:47" x14ac:dyDescent="0.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47" s="8" customFormat="1" x14ac:dyDescent="0.3">
      <c r="A62" s="8" t="s">
        <v>58</v>
      </c>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row>
    <row r="63" spans="1:47" x14ac:dyDescent="0.3">
      <c r="A63" s="1" t="s">
        <v>59</v>
      </c>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row>
    <row r="64" spans="1:47" s="6" customFormat="1" x14ac:dyDescent="0.3">
      <c r="A64" s="6" t="s">
        <v>60</v>
      </c>
      <c r="B64" s="7">
        <f t="shared" ref="B64" si="150">+SUM(B65:B70)</f>
        <v>22024082</v>
      </c>
      <c r="C64" s="7">
        <f t="shared" ref="C64" si="151">+SUM(C65:C70)</f>
        <v>5648014</v>
      </c>
      <c r="D64" s="7">
        <f t="shared" ref="D64" si="152">+SUM(D65:D70)</f>
        <v>10579637</v>
      </c>
      <c r="E64" s="7">
        <f t="shared" ref="E64" si="153">+SUM(E65:E70)</f>
        <v>15787182</v>
      </c>
      <c r="F64" s="7">
        <f t="shared" ref="F64:G64" si="154">+SUM(F65:F70)</f>
        <v>29142097</v>
      </c>
      <c r="G64" s="7">
        <f t="shared" si="154"/>
        <v>5716433</v>
      </c>
      <c r="H64" s="7">
        <f t="shared" ref="H64:T64" si="155">+SUM(H65:H70)</f>
        <v>11320058</v>
      </c>
      <c r="I64" s="7">
        <f t="shared" si="155"/>
        <v>16426766</v>
      </c>
      <c r="J64" s="7">
        <f t="shared" si="155"/>
        <v>26661557</v>
      </c>
      <c r="K64" s="7">
        <f t="shared" si="155"/>
        <v>6387342</v>
      </c>
      <c r="L64" s="7">
        <f t="shared" si="155"/>
        <v>12475195</v>
      </c>
      <c r="M64" s="7">
        <f t="shared" si="155"/>
        <v>21509946</v>
      </c>
      <c r="N64" s="7">
        <f t="shared" si="155"/>
        <v>30335128</v>
      </c>
      <c r="O64" s="7">
        <f t="shared" si="155"/>
        <v>6862360</v>
      </c>
      <c r="P64" s="7">
        <f t="shared" si="155"/>
        <v>14519233</v>
      </c>
      <c r="Q64" s="7">
        <f t="shared" si="155"/>
        <v>23965950</v>
      </c>
      <c r="R64" s="7">
        <f t="shared" si="155"/>
        <v>31083175</v>
      </c>
      <c r="S64" s="7">
        <f t="shared" si="155"/>
        <v>5743911</v>
      </c>
      <c r="T64" s="7">
        <f t="shared" si="155"/>
        <v>12309196</v>
      </c>
      <c r="U64" s="7">
        <f t="shared" ref="U64:AG64" si="156">+SUM(U65:U70)</f>
        <v>21526159</v>
      </c>
      <c r="V64" s="7">
        <f t="shared" si="156"/>
        <v>31162500</v>
      </c>
      <c r="W64" s="7">
        <f t="shared" si="156"/>
        <v>5703974</v>
      </c>
      <c r="X64" s="7">
        <f t="shared" si="156"/>
        <v>10684162</v>
      </c>
      <c r="Y64" s="7">
        <f t="shared" si="156"/>
        <v>15104480</v>
      </c>
      <c r="Z64" s="7">
        <f t="shared" si="156"/>
        <v>37639825</v>
      </c>
      <c r="AA64" s="7">
        <f t="shared" si="156"/>
        <v>4536208</v>
      </c>
      <c r="AB64" s="7">
        <f t="shared" si="156"/>
        <v>12229078</v>
      </c>
      <c r="AC64" s="7">
        <f t="shared" si="156"/>
        <v>18586732</v>
      </c>
      <c r="AD64" s="7">
        <f>+SUM(AD65:AD70)</f>
        <v>25263080</v>
      </c>
      <c r="AE64" s="7">
        <f t="shared" si="156"/>
        <v>8057129</v>
      </c>
      <c r="AF64" s="7">
        <f t="shared" si="156"/>
        <v>15259004</v>
      </c>
      <c r="AG64" s="7">
        <f t="shared" si="156"/>
        <v>24338273</v>
      </c>
      <c r="AH64" s="7">
        <f t="shared" ref="AH64:AI64" si="157">+SUM(AH65:AH70)</f>
        <v>32683421</v>
      </c>
      <c r="AI64" s="7">
        <f t="shared" si="157"/>
        <v>11908672</v>
      </c>
      <c r="AJ64" s="7">
        <f t="shared" ref="AJ64:AL64" si="158">+SUM(AJ65:AJ70)</f>
        <v>20112351</v>
      </c>
      <c r="AK64" s="7">
        <f t="shared" si="158"/>
        <v>27517866</v>
      </c>
      <c r="AL64" s="7">
        <f t="shared" si="158"/>
        <v>36872363</v>
      </c>
      <c r="AM64" s="7">
        <f t="shared" ref="AM64:AN64" si="159">+SUM(AM65:AM70)</f>
        <v>10174722</v>
      </c>
      <c r="AN64" s="7">
        <f t="shared" si="159"/>
        <v>20403216</v>
      </c>
      <c r="AO64" s="7">
        <f t="shared" ref="AO64:AP64" si="160">+SUM(AO65:AO70)</f>
        <v>31074338</v>
      </c>
      <c r="AP64" s="7">
        <f t="shared" si="160"/>
        <v>40992046</v>
      </c>
      <c r="AQ64" s="7">
        <f t="shared" ref="AQ64:AR64" si="161">+SUM(AQ65:AQ70)</f>
        <v>9678829</v>
      </c>
      <c r="AR64" s="7">
        <f t="shared" si="161"/>
        <v>20145675</v>
      </c>
      <c r="AS64" s="7">
        <f t="shared" ref="AS64:AT64" si="162">+SUM(AS65:AS70)</f>
        <v>28974077</v>
      </c>
      <c r="AT64" s="7">
        <f t="shared" si="162"/>
        <v>38525971</v>
      </c>
      <c r="AU64" s="7">
        <f t="shared" ref="AU64" si="163">+SUM(AU65:AU70)</f>
        <v>9299272</v>
      </c>
    </row>
    <row r="65" spans="1:47" x14ac:dyDescent="0.3">
      <c r="A65" s="1" t="s">
        <v>61</v>
      </c>
      <c r="B65" s="3">
        <v>31535</v>
      </c>
      <c r="C65" s="3">
        <v>19308</v>
      </c>
      <c r="D65" s="3">
        <v>60599</v>
      </c>
      <c r="E65" s="3">
        <v>113571</v>
      </c>
      <c r="F65" s="3">
        <v>179111</v>
      </c>
      <c r="G65" s="3">
        <v>76609</v>
      </c>
      <c r="H65" s="3">
        <v>58267</v>
      </c>
      <c r="I65" s="3">
        <v>114619</v>
      </c>
      <c r="J65" s="3">
        <v>268994</v>
      </c>
      <c r="K65" s="3">
        <v>80536</v>
      </c>
      <c r="L65" s="3">
        <v>286395</v>
      </c>
      <c r="M65" s="3">
        <v>293561</v>
      </c>
      <c r="N65" s="3">
        <v>301166</v>
      </c>
      <c r="O65" s="3">
        <v>7333</v>
      </c>
      <c r="P65" s="3">
        <v>30070</v>
      </c>
      <c r="Q65" s="3">
        <v>37941</v>
      </c>
      <c r="R65" s="3">
        <v>51310</v>
      </c>
      <c r="S65" s="3">
        <v>21538</v>
      </c>
      <c r="T65" s="3">
        <v>35242</v>
      </c>
      <c r="U65" s="3">
        <v>48941</v>
      </c>
      <c r="V65" s="3">
        <v>74101</v>
      </c>
      <c r="W65" s="3">
        <v>10629</v>
      </c>
      <c r="X65" s="3">
        <v>73411</v>
      </c>
      <c r="Y65" s="3">
        <v>75755</v>
      </c>
      <c r="Z65" s="3">
        <v>79530</v>
      </c>
      <c r="AA65" s="3">
        <v>4395</v>
      </c>
      <c r="AB65" s="3">
        <v>7737</v>
      </c>
      <c r="AC65" s="3">
        <v>8665</v>
      </c>
      <c r="AD65" s="3">
        <v>15166</v>
      </c>
      <c r="AE65" s="3">
        <v>11819</v>
      </c>
      <c r="AF65" s="3">
        <v>55070</v>
      </c>
      <c r="AG65" s="3">
        <v>117884</v>
      </c>
      <c r="AH65" s="3">
        <v>157352</v>
      </c>
      <c r="AI65" s="3">
        <v>61499</v>
      </c>
      <c r="AJ65" s="3">
        <v>273593</v>
      </c>
      <c r="AK65" s="3">
        <v>410729</v>
      </c>
      <c r="AL65" s="3">
        <v>443864</v>
      </c>
      <c r="AM65" s="3">
        <v>213750</v>
      </c>
      <c r="AN65" s="3">
        <v>291035</v>
      </c>
      <c r="AO65" s="3">
        <v>359287</v>
      </c>
      <c r="AP65" s="3">
        <v>401247</v>
      </c>
      <c r="AQ65" s="3">
        <v>58532</v>
      </c>
      <c r="AR65" s="3">
        <v>96053</v>
      </c>
      <c r="AS65" s="3">
        <v>114159</v>
      </c>
      <c r="AT65" s="3">
        <v>136502</v>
      </c>
      <c r="AU65" s="3">
        <v>16754</v>
      </c>
    </row>
    <row r="66" spans="1:47" x14ac:dyDescent="0.3">
      <c r="A66" s="1" t="s">
        <v>62</v>
      </c>
      <c r="B66" s="3">
        <v>8165894</v>
      </c>
      <c r="C66" s="3">
        <v>2412651</v>
      </c>
      <c r="D66" s="3">
        <v>3994575</v>
      </c>
      <c r="E66" s="3">
        <v>5485345</v>
      </c>
      <c r="F66" s="3">
        <v>14031535</v>
      </c>
      <c r="G66" s="3">
        <v>1611802</v>
      </c>
      <c r="H66" s="3">
        <v>3092808</v>
      </c>
      <c r="I66" s="3">
        <v>3975535</v>
      </c>
      <c r="J66" s="3">
        <v>9850606</v>
      </c>
      <c r="K66" s="3">
        <v>2243735</v>
      </c>
      <c r="L66" s="3">
        <v>3882059</v>
      </c>
      <c r="M66" s="3">
        <v>8678245</v>
      </c>
      <c r="N66" s="3">
        <v>12973289</v>
      </c>
      <c r="O66" s="3">
        <v>2487684</v>
      </c>
      <c r="P66" s="3">
        <v>5768162</v>
      </c>
      <c r="Q66" s="3">
        <v>11131380</v>
      </c>
      <c r="R66" s="3">
        <v>13125794</v>
      </c>
      <c r="S66" s="3">
        <v>1497825</v>
      </c>
      <c r="T66" s="3">
        <v>3574154</v>
      </c>
      <c r="U66" s="3">
        <v>8277491</v>
      </c>
      <c r="V66" s="3">
        <v>13328626</v>
      </c>
      <c r="W66" s="3">
        <v>2089322</v>
      </c>
      <c r="X66" s="3">
        <v>2861854</v>
      </c>
      <c r="Y66" s="3">
        <v>4176002</v>
      </c>
      <c r="Z66" s="3">
        <v>23339320</v>
      </c>
      <c r="AA66" s="3">
        <v>1719984</v>
      </c>
      <c r="AB66" s="3">
        <v>6521507</v>
      </c>
      <c r="AC66" s="3">
        <v>9899216</v>
      </c>
      <c r="AD66" s="3">
        <v>13588120</v>
      </c>
      <c r="AE66" s="3">
        <v>3573306</v>
      </c>
      <c r="AF66" s="3">
        <v>5962845</v>
      </c>
      <c r="AG66" s="3">
        <v>10011815</v>
      </c>
      <c r="AH66" s="3">
        <v>13118122</v>
      </c>
      <c r="AI66" s="3">
        <v>7341643</v>
      </c>
      <c r="AJ66" s="3">
        <v>10647779</v>
      </c>
      <c r="AK66" s="3">
        <v>13156046</v>
      </c>
      <c r="AL66" s="3">
        <v>17550981</v>
      </c>
      <c r="AM66" s="3">
        <v>4397047</v>
      </c>
      <c r="AN66" s="3">
        <v>8988385</v>
      </c>
      <c r="AO66" s="3">
        <v>13462077</v>
      </c>
      <c r="AP66" s="3">
        <v>17940152</v>
      </c>
      <c r="AQ66" s="3">
        <v>4793837</v>
      </c>
      <c r="AR66" s="3">
        <v>9154452</v>
      </c>
      <c r="AS66" s="3">
        <v>13091347</v>
      </c>
      <c r="AT66" s="3">
        <v>17842189</v>
      </c>
      <c r="AU66" s="3">
        <v>4549270</v>
      </c>
    </row>
    <row r="67" spans="1:47" x14ac:dyDescent="0.3">
      <c r="A67" s="1" t="s">
        <v>63</v>
      </c>
      <c r="B67" s="3">
        <v>8934690</v>
      </c>
      <c r="C67" s="3">
        <v>2005906</v>
      </c>
      <c r="D67" s="3">
        <v>4076239</v>
      </c>
      <c r="E67" s="3">
        <v>6407404</v>
      </c>
      <c r="F67" s="3">
        <v>8915714</v>
      </c>
      <c r="G67" s="3">
        <v>2457238</v>
      </c>
      <c r="H67" s="3">
        <v>4700300</v>
      </c>
      <c r="I67" s="3">
        <v>7319992</v>
      </c>
      <c r="J67" s="3">
        <v>9799303</v>
      </c>
      <c r="K67" s="3">
        <v>2243482</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c r="AJ67" s="3">
        <v>0</v>
      </c>
      <c r="AK67" s="3">
        <v>0</v>
      </c>
      <c r="AL67" s="3">
        <v>0</v>
      </c>
      <c r="AM67" s="3">
        <v>0</v>
      </c>
      <c r="AN67" s="3">
        <v>0</v>
      </c>
      <c r="AO67" s="3">
        <v>0</v>
      </c>
      <c r="AP67" s="3">
        <v>0</v>
      </c>
      <c r="AQ67" s="3">
        <v>0</v>
      </c>
      <c r="AR67" s="3">
        <v>0</v>
      </c>
      <c r="AS67" s="3">
        <v>0</v>
      </c>
      <c r="AT67" s="3">
        <v>0</v>
      </c>
      <c r="AU67" s="3">
        <v>0</v>
      </c>
    </row>
    <row r="68" spans="1:47" x14ac:dyDescent="0.3">
      <c r="A68" s="1" t="s">
        <v>64</v>
      </c>
      <c r="B68" s="3">
        <v>0</v>
      </c>
      <c r="C68" s="3">
        <v>0</v>
      </c>
      <c r="D68" s="3">
        <v>0</v>
      </c>
      <c r="E68" s="3">
        <v>0</v>
      </c>
      <c r="F68" s="3">
        <v>0</v>
      </c>
      <c r="G68" s="3">
        <v>0</v>
      </c>
      <c r="H68" s="3">
        <v>0</v>
      </c>
      <c r="I68" s="3">
        <v>0</v>
      </c>
      <c r="J68" s="3">
        <v>0</v>
      </c>
      <c r="K68" s="3">
        <v>36423</v>
      </c>
      <c r="L68" s="3">
        <v>4664331</v>
      </c>
      <c r="M68" s="3">
        <v>7000913</v>
      </c>
      <c r="N68" s="3">
        <v>9488814</v>
      </c>
      <c r="O68" s="3">
        <v>1878127</v>
      </c>
      <c r="P68" s="3">
        <v>3898040</v>
      </c>
      <c r="Q68" s="3">
        <v>6169050</v>
      </c>
      <c r="R68" s="3">
        <v>8841780</v>
      </c>
      <c r="S68" s="3">
        <v>2502405</v>
      </c>
      <c r="T68" s="3">
        <v>5222505</v>
      </c>
      <c r="U68" s="3">
        <v>7933813</v>
      </c>
      <c r="V68" s="3">
        <v>10692390</v>
      </c>
      <c r="W68" s="3">
        <v>1877125</v>
      </c>
      <c r="X68" s="3">
        <v>3708995</v>
      </c>
      <c r="Y68" s="3">
        <v>5122075</v>
      </c>
      <c r="Z68" s="3">
        <v>6558484</v>
      </c>
      <c r="AA68" s="3">
        <v>1136373</v>
      </c>
      <c r="AB68" s="3">
        <v>2310754</v>
      </c>
      <c r="AC68" s="3">
        <v>3459797</v>
      </c>
      <c r="AD68" s="3">
        <v>4643604</v>
      </c>
      <c r="AE68" s="3">
        <v>2568665</v>
      </c>
      <c r="AF68" s="3">
        <v>5339968</v>
      </c>
      <c r="AG68" s="3">
        <v>8214421</v>
      </c>
      <c r="AH68" s="3">
        <v>11258366</v>
      </c>
      <c r="AI68" s="3">
        <v>2399760</v>
      </c>
      <c r="AJ68" s="3">
        <v>4924115</v>
      </c>
      <c r="AK68" s="3">
        <v>7491044</v>
      </c>
      <c r="AL68" s="3">
        <v>10196617</v>
      </c>
      <c r="AM68" s="3">
        <v>3293052</v>
      </c>
      <c r="AN68" s="3">
        <v>6539325</v>
      </c>
      <c r="AO68" s="3">
        <v>10191454</v>
      </c>
      <c r="AP68" s="3">
        <v>13278080</v>
      </c>
      <c r="AQ68" s="3">
        <v>2488813</v>
      </c>
      <c r="AR68" s="3">
        <v>5935522</v>
      </c>
      <c r="AS68" s="3">
        <v>8296258</v>
      </c>
      <c r="AT68" s="3">
        <v>10542584</v>
      </c>
      <c r="AU68" s="3">
        <v>2262191</v>
      </c>
    </row>
    <row r="69" spans="1:47" x14ac:dyDescent="0.3">
      <c r="A69" s="1" t="s">
        <v>65</v>
      </c>
      <c r="B69" s="3">
        <v>4891963</v>
      </c>
      <c r="C69" s="3">
        <v>1210149</v>
      </c>
      <c r="D69" s="3">
        <v>2448224</v>
      </c>
      <c r="E69" s="3">
        <v>3780862</v>
      </c>
      <c r="F69" s="3">
        <v>6015737</v>
      </c>
      <c r="G69" s="3">
        <v>1570784</v>
      </c>
      <c r="H69" s="3">
        <v>3332581</v>
      </c>
      <c r="I69" s="3">
        <v>5016620</v>
      </c>
      <c r="J69" s="3">
        <v>6742654</v>
      </c>
      <c r="K69" s="3">
        <v>1783166</v>
      </c>
      <c r="L69" s="3">
        <v>3642410</v>
      </c>
      <c r="M69" s="3">
        <v>5537227</v>
      </c>
      <c r="N69" s="3">
        <v>7571859</v>
      </c>
      <c r="O69" s="3">
        <v>2489216</v>
      </c>
      <c r="P69" s="3">
        <v>4822961</v>
      </c>
      <c r="Q69" s="3">
        <v>6627579</v>
      </c>
      <c r="R69" s="3">
        <v>9064291</v>
      </c>
      <c r="S69" s="3">
        <v>1722143</v>
      </c>
      <c r="T69" s="3">
        <v>3477295</v>
      </c>
      <c r="U69" s="3">
        <v>5265914</v>
      </c>
      <c r="V69" s="3">
        <v>7067383</v>
      </c>
      <c r="W69" s="3">
        <v>1726898</v>
      </c>
      <c r="X69" s="3">
        <v>4039902</v>
      </c>
      <c r="Y69" s="3">
        <v>5730648</v>
      </c>
      <c r="Z69" s="3">
        <v>7662491</v>
      </c>
      <c r="AA69" s="3">
        <v>1675456</v>
      </c>
      <c r="AB69" s="3">
        <v>3389080</v>
      </c>
      <c r="AC69" s="3">
        <v>5219054</v>
      </c>
      <c r="AD69" s="3">
        <v>7016190</v>
      </c>
      <c r="AE69" s="3">
        <v>1903339</v>
      </c>
      <c r="AF69" s="3">
        <v>3901121</v>
      </c>
      <c r="AG69" s="3">
        <v>5994153</v>
      </c>
      <c r="AH69" s="3">
        <v>8149581</v>
      </c>
      <c r="AI69" s="3">
        <v>2105770</v>
      </c>
      <c r="AJ69" s="3">
        <v>4266864</v>
      </c>
      <c r="AK69" s="3">
        <v>6460047</v>
      </c>
      <c r="AL69" s="3">
        <v>8680901</v>
      </c>
      <c r="AM69" s="3">
        <v>2270873</v>
      </c>
      <c r="AN69" s="3">
        <v>4584471</v>
      </c>
      <c r="AO69" s="3">
        <v>7061520</v>
      </c>
      <c r="AP69" s="3">
        <v>9372567</v>
      </c>
      <c r="AQ69" s="3">
        <v>2337647</v>
      </c>
      <c r="AR69" s="3">
        <f>4879891+79757</f>
        <v>4959648</v>
      </c>
      <c r="AS69" s="3">
        <f>7392556+79757</f>
        <v>7472313</v>
      </c>
      <c r="AT69" s="3">
        <v>9924939</v>
      </c>
      <c r="AU69" s="3">
        <v>2471057</v>
      </c>
    </row>
    <row r="70" spans="1:47" x14ac:dyDescent="0.3">
      <c r="A70" s="1" t="s">
        <v>66</v>
      </c>
      <c r="B70" s="3">
        <v>0</v>
      </c>
      <c r="C70" s="3">
        <v>0</v>
      </c>
      <c r="D70" s="3">
        <v>0</v>
      </c>
      <c r="E70" s="3">
        <v>0</v>
      </c>
      <c r="F70" s="3">
        <v>0</v>
      </c>
      <c r="G70" s="3">
        <v>0</v>
      </c>
      <c r="H70" s="3">
        <v>136102</v>
      </c>
      <c r="I70" s="3">
        <v>0</v>
      </c>
      <c r="J70" s="3">
        <v>0</v>
      </c>
      <c r="K70" s="3">
        <v>0</v>
      </c>
      <c r="L70" s="3">
        <v>0</v>
      </c>
      <c r="M70" s="3">
        <v>0</v>
      </c>
      <c r="N70" s="3">
        <v>0</v>
      </c>
      <c r="O70" s="3">
        <v>0</v>
      </c>
      <c r="P70" s="3">
        <v>0</v>
      </c>
      <c r="Q70" s="3">
        <v>0</v>
      </c>
      <c r="R70" s="3">
        <v>0</v>
      </c>
      <c r="S70" s="3">
        <v>0</v>
      </c>
      <c r="T70" s="3">
        <v>0</v>
      </c>
      <c r="U70" s="3">
        <v>0</v>
      </c>
      <c r="V70" s="3">
        <v>0</v>
      </c>
      <c r="W70" s="3">
        <v>0</v>
      </c>
      <c r="X70" s="3">
        <v>0</v>
      </c>
      <c r="Y70" s="3">
        <v>0</v>
      </c>
      <c r="Z70" s="3">
        <v>0</v>
      </c>
      <c r="AA70" s="3">
        <v>0</v>
      </c>
      <c r="AB70" s="3">
        <v>0</v>
      </c>
      <c r="AC70" s="3">
        <v>0</v>
      </c>
      <c r="AD70" s="3">
        <v>0</v>
      </c>
      <c r="AE70" s="3">
        <v>0</v>
      </c>
      <c r="AF70" s="3">
        <v>0</v>
      </c>
      <c r="AG70" s="3">
        <v>0</v>
      </c>
      <c r="AH70" s="3">
        <v>0</v>
      </c>
      <c r="AI70" s="3">
        <v>0</v>
      </c>
      <c r="AJ70" s="3">
        <v>0</v>
      </c>
      <c r="AK70" s="3">
        <v>0</v>
      </c>
      <c r="AL70" s="3">
        <v>0</v>
      </c>
      <c r="AM70" s="3">
        <v>0</v>
      </c>
      <c r="AN70" s="3">
        <v>0</v>
      </c>
      <c r="AO70" s="3">
        <v>0</v>
      </c>
      <c r="AP70" s="3">
        <v>0</v>
      </c>
      <c r="AQ70" s="3">
        <v>0</v>
      </c>
      <c r="AR70" s="3">
        <v>0</v>
      </c>
      <c r="AS70" s="3">
        <v>0</v>
      </c>
      <c r="AT70" s="3">
        <v>79757</v>
      </c>
      <c r="AU70" s="3">
        <v>0</v>
      </c>
    </row>
    <row r="71" spans="1:47" s="6" customFormat="1" x14ac:dyDescent="0.3">
      <c r="A71" s="6" t="s">
        <v>67</v>
      </c>
      <c r="B71" s="7">
        <f t="shared" ref="B71:E71" si="164">+SUM(B72:B72)</f>
        <v>0</v>
      </c>
      <c r="C71" s="7">
        <f t="shared" si="164"/>
        <v>0</v>
      </c>
      <c r="D71" s="7">
        <f t="shared" si="164"/>
        <v>-70244</v>
      </c>
      <c r="E71" s="7">
        <f t="shared" si="164"/>
        <v>0</v>
      </c>
      <c r="F71" s="7">
        <f t="shared" ref="F71:T71" si="165">+SUM(F72:F72)</f>
        <v>-745490</v>
      </c>
      <c r="G71" s="7">
        <f t="shared" si="165"/>
        <v>-18560</v>
      </c>
      <c r="H71" s="7">
        <f t="shared" si="165"/>
        <v>-426320</v>
      </c>
      <c r="I71" s="7">
        <f t="shared" si="165"/>
        <v>-52748</v>
      </c>
      <c r="J71" s="7">
        <f t="shared" si="165"/>
        <v>0</v>
      </c>
      <c r="K71" s="7">
        <f t="shared" si="165"/>
        <v>-324711</v>
      </c>
      <c r="L71" s="7">
        <f t="shared" si="165"/>
        <v>-19428</v>
      </c>
      <c r="M71" s="7">
        <f t="shared" si="165"/>
        <v>-20201</v>
      </c>
      <c r="N71" s="7">
        <f t="shared" si="165"/>
        <v>0</v>
      </c>
      <c r="O71" s="7">
        <f t="shared" si="165"/>
        <v>-7943</v>
      </c>
      <c r="P71" s="7">
        <f t="shared" si="165"/>
        <v>-245840</v>
      </c>
      <c r="Q71" s="7">
        <f t="shared" si="165"/>
        <v>0</v>
      </c>
      <c r="R71" s="7">
        <f t="shared" si="165"/>
        <v>0</v>
      </c>
      <c r="S71" s="7">
        <f t="shared" si="165"/>
        <v>-14947</v>
      </c>
      <c r="T71" s="7">
        <f t="shared" si="165"/>
        <v>-28702</v>
      </c>
      <c r="U71" s="7">
        <f t="shared" ref="U71:AU71" si="166">+SUM(U72:U72)</f>
        <v>-1000459</v>
      </c>
      <c r="V71" s="7">
        <f t="shared" si="166"/>
        <v>-2460478</v>
      </c>
      <c r="W71" s="7">
        <f t="shared" si="166"/>
        <v>-34650</v>
      </c>
      <c r="X71" s="7">
        <f t="shared" si="166"/>
        <v>-773220</v>
      </c>
      <c r="Y71" s="7">
        <f t="shared" si="166"/>
        <v>-159869</v>
      </c>
      <c r="Z71" s="7">
        <f t="shared" si="166"/>
        <v>-3223573</v>
      </c>
      <c r="AA71" s="7">
        <f t="shared" si="166"/>
        <v>-22470</v>
      </c>
      <c r="AB71" s="7">
        <f t="shared" si="166"/>
        <v>-1154838</v>
      </c>
      <c r="AC71" s="7">
        <f t="shared" si="166"/>
        <v>-3000599</v>
      </c>
      <c r="AD71" s="7">
        <f t="shared" si="166"/>
        <v>-9337496</v>
      </c>
      <c r="AE71" s="7">
        <f t="shared" si="166"/>
        <v>-312394</v>
      </c>
      <c r="AF71" s="7">
        <f t="shared" si="166"/>
        <v>-2304623</v>
      </c>
      <c r="AG71" s="7">
        <f t="shared" si="166"/>
        <v>-4027977</v>
      </c>
      <c r="AH71" s="7">
        <f t="shared" si="166"/>
        <v>-10620900</v>
      </c>
      <c r="AI71" s="7">
        <f t="shared" si="166"/>
        <v>-368716</v>
      </c>
      <c r="AJ71" s="7">
        <f t="shared" si="166"/>
        <v>-1573871</v>
      </c>
      <c r="AK71" s="7">
        <f t="shared" si="166"/>
        <v>-3241597</v>
      </c>
      <c r="AL71" s="7">
        <f t="shared" si="166"/>
        <v>-8733647</v>
      </c>
      <c r="AM71" s="7">
        <f t="shared" si="166"/>
        <v>-793209</v>
      </c>
      <c r="AN71" s="7">
        <f t="shared" si="166"/>
        <v>-9052867</v>
      </c>
      <c r="AO71" s="7">
        <f t="shared" si="166"/>
        <v>-9939925</v>
      </c>
      <c r="AP71" s="7">
        <f t="shared" si="166"/>
        <v>-17000995</v>
      </c>
      <c r="AQ71" s="7">
        <f t="shared" si="166"/>
        <v>-438981</v>
      </c>
      <c r="AR71" s="7">
        <f t="shared" si="166"/>
        <v>-7490637</v>
      </c>
      <c r="AS71" s="7">
        <f t="shared" si="166"/>
        <v>-10335922</v>
      </c>
      <c r="AT71" s="7">
        <f t="shared" si="166"/>
        <v>-10051059</v>
      </c>
      <c r="AU71" s="7">
        <f t="shared" si="166"/>
        <v>-308164</v>
      </c>
    </row>
    <row r="72" spans="1:47" x14ac:dyDescent="0.3">
      <c r="A72" s="1" t="s">
        <v>68</v>
      </c>
      <c r="B72" s="3">
        <v>0</v>
      </c>
      <c r="C72" s="3">
        <v>0</v>
      </c>
      <c r="D72" s="3">
        <v>-70244</v>
      </c>
      <c r="E72" s="3">
        <v>0</v>
      </c>
      <c r="F72" s="3">
        <v>-745490</v>
      </c>
      <c r="G72" s="3">
        <v>-18560</v>
      </c>
      <c r="H72" s="3">
        <v>-426320</v>
      </c>
      <c r="I72" s="3">
        <v>-52748</v>
      </c>
      <c r="J72" s="3">
        <v>0</v>
      </c>
      <c r="K72" s="3">
        <v>-324711</v>
      </c>
      <c r="L72" s="3">
        <v>-19428</v>
      </c>
      <c r="M72" s="3">
        <v>-20201</v>
      </c>
      <c r="N72" s="3">
        <v>0</v>
      </c>
      <c r="O72" s="3">
        <v>-7943</v>
      </c>
      <c r="P72" s="3">
        <v>-245840</v>
      </c>
      <c r="Q72" s="3">
        <v>0</v>
      </c>
      <c r="R72" s="3">
        <v>0</v>
      </c>
      <c r="S72" s="3">
        <v>-14947</v>
      </c>
      <c r="T72" s="3">
        <v>-28702</v>
      </c>
      <c r="U72" s="3">
        <v>-1000459</v>
      </c>
      <c r="V72" s="3">
        <v>-2460478</v>
      </c>
      <c r="W72" s="3">
        <v>-34650</v>
      </c>
      <c r="X72" s="3">
        <v>-773220</v>
      </c>
      <c r="Y72" s="3">
        <v>-159869</v>
      </c>
      <c r="Z72" s="3">
        <v>-3223573</v>
      </c>
      <c r="AA72" s="3">
        <v>-22470</v>
      </c>
      <c r="AB72" s="3">
        <v>-1154838</v>
      </c>
      <c r="AC72" s="3">
        <v>-3000599</v>
      </c>
      <c r="AD72" s="3">
        <v>-9337496</v>
      </c>
      <c r="AE72" s="3">
        <v>-312394</v>
      </c>
      <c r="AF72" s="3">
        <v>-2304623</v>
      </c>
      <c r="AG72" s="3">
        <v>-4027977</v>
      </c>
      <c r="AH72" s="3">
        <v>-10620900</v>
      </c>
      <c r="AI72" s="3">
        <v>-368716</v>
      </c>
      <c r="AJ72" s="3">
        <v>-1573871</v>
      </c>
      <c r="AK72" s="3">
        <v>-3241597</v>
      </c>
      <c r="AL72" s="3">
        <v>-8733647</v>
      </c>
      <c r="AM72" s="3">
        <v>-793209</v>
      </c>
      <c r="AN72" s="3">
        <v>-9052867</v>
      </c>
      <c r="AO72" s="3">
        <v>-9939925</v>
      </c>
      <c r="AP72" s="3">
        <v>-17000995</v>
      </c>
      <c r="AQ72" s="3">
        <v>-438981</v>
      </c>
      <c r="AR72" s="3">
        <v>-7490637</v>
      </c>
      <c r="AS72" s="3">
        <v>-10335922</v>
      </c>
      <c r="AT72" s="3">
        <v>-10051059</v>
      </c>
      <c r="AU72" s="3">
        <v>-308164</v>
      </c>
    </row>
    <row r="73" spans="1:47" s="6" customFormat="1" x14ac:dyDescent="0.3">
      <c r="A73" s="6" t="s">
        <v>69</v>
      </c>
      <c r="B73" s="7">
        <f t="shared" ref="B73:E73" si="167">+SUM(B74:B78)</f>
        <v>13236228</v>
      </c>
      <c r="C73" s="7">
        <f t="shared" si="167"/>
        <v>1113800</v>
      </c>
      <c r="D73" s="7">
        <f t="shared" si="167"/>
        <v>3071</v>
      </c>
      <c r="E73" s="7">
        <f t="shared" si="167"/>
        <v>10418127</v>
      </c>
      <c r="F73" s="7">
        <f t="shared" ref="F73:T73" si="168">+SUM(F74:F78)</f>
        <v>8138170</v>
      </c>
      <c r="G73" s="7">
        <f t="shared" si="168"/>
        <v>101504</v>
      </c>
      <c r="H73" s="7">
        <f t="shared" si="168"/>
        <v>494564</v>
      </c>
      <c r="I73" s="7">
        <f t="shared" si="168"/>
        <v>8737561</v>
      </c>
      <c r="J73" s="7">
        <f t="shared" si="168"/>
        <v>18670152</v>
      </c>
      <c r="K73" s="7">
        <f t="shared" si="168"/>
        <v>1355537</v>
      </c>
      <c r="L73" s="7">
        <f t="shared" si="168"/>
        <v>9020564</v>
      </c>
      <c r="M73" s="7">
        <f t="shared" si="168"/>
        <v>18139686</v>
      </c>
      <c r="N73" s="7">
        <f t="shared" si="168"/>
        <v>17485635</v>
      </c>
      <c r="O73" s="7">
        <f t="shared" si="168"/>
        <v>2140308</v>
      </c>
      <c r="P73" s="7">
        <f t="shared" si="168"/>
        <v>5017872</v>
      </c>
      <c r="Q73" s="7">
        <f t="shared" si="168"/>
        <v>15980339</v>
      </c>
      <c r="R73" s="7">
        <f t="shared" si="168"/>
        <v>19302913</v>
      </c>
      <c r="S73" s="7">
        <f t="shared" si="168"/>
        <v>10126563</v>
      </c>
      <c r="T73" s="7">
        <f t="shared" si="168"/>
        <v>13633437</v>
      </c>
      <c r="U73" s="7">
        <f t="shared" ref="U73:AG73" si="169">+SUM(U74:U78)</f>
        <v>28040764</v>
      </c>
      <c r="V73" s="7">
        <f t="shared" si="169"/>
        <v>22968265</v>
      </c>
      <c r="W73" s="7">
        <f t="shared" si="169"/>
        <v>3927206</v>
      </c>
      <c r="X73" s="7">
        <f t="shared" si="169"/>
        <v>5079407</v>
      </c>
      <c r="Y73" s="7">
        <f t="shared" si="169"/>
        <v>21410172</v>
      </c>
      <c r="Z73" s="7">
        <f t="shared" si="169"/>
        <v>7151478</v>
      </c>
      <c r="AA73" s="7">
        <f t="shared" si="169"/>
        <v>6149213</v>
      </c>
      <c r="AB73" s="7">
        <f t="shared" si="169"/>
        <v>9198915</v>
      </c>
      <c r="AC73" s="7">
        <f t="shared" si="169"/>
        <v>12661271</v>
      </c>
      <c r="AD73" s="7">
        <f t="shared" si="169"/>
        <v>20589975</v>
      </c>
      <c r="AE73" s="7">
        <f t="shared" si="169"/>
        <v>8073338</v>
      </c>
      <c r="AF73" s="7">
        <f t="shared" si="169"/>
        <v>18898092</v>
      </c>
      <c r="AG73" s="7">
        <f t="shared" si="169"/>
        <v>35087604</v>
      </c>
      <c r="AH73" s="7">
        <f t="shared" ref="AH73:AI73" si="170">+SUM(AH74:AH78)</f>
        <v>44401636</v>
      </c>
      <c r="AI73" s="7">
        <f t="shared" si="170"/>
        <v>4769453</v>
      </c>
      <c r="AJ73" s="7">
        <f t="shared" ref="AJ73:AL73" si="171">+SUM(AJ74:AJ78)</f>
        <v>6804020</v>
      </c>
      <c r="AK73" s="7">
        <f t="shared" si="171"/>
        <v>18586926</v>
      </c>
      <c r="AL73" s="7">
        <f t="shared" si="171"/>
        <v>25532638</v>
      </c>
      <c r="AM73" s="7">
        <f t="shared" ref="AM73:AN73" si="172">+SUM(AM74:AM78)</f>
        <v>7395080</v>
      </c>
      <c r="AN73" s="7">
        <f t="shared" si="172"/>
        <v>15914094</v>
      </c>
      <c r="AO73" s="7">
        <f t="shared" ref="AO73:AP73" si="173">+SUM(AO74:AO78)</f>
        <v>27511001</v>
      </c>
      <c r="AP73" s="7">
        <f t="shared" si="173"/>
        <v>35076722</v>
      </c>
      <c r="AQ73" s="7">
        <f t="shared" ref="AQ73:AR73" si="174">+SUM(AQ74:AQ78)</f>
        <v>6720786</v>
      </c>
      <c r="AR73" s="7">
        <f t="shared" si="174"/>
        <v>19881099</v>
      </c>
      <c r="AS73" s="7">
        <f t="shared" ref="AS73:AT73" si="175">+SUM(AS74:AS78)</f>
        <v>47058012</v>
      </c>
      <c r="AT73" s="7">
        <f t="shared" si="175"/>
        <v>51855436</v>
      </c>
      <c r="AU73" s="7">
        <f t="shared" ref="AU73" si="176">+SUM(AU74:AU78)</f>
        <v>3620990</v>
      </c>
    </row>
    <row r="74" spans="1:47" x14ac:dyDescent="0.3">
      <c r="A74" s="1" t="s">
        <v>68</v>
      </c>
      <c r="B74" s="3">
        <v>1971760</v>
      </c>
      <c r="C74" s="3">
        <v>1052232</v>
      </c>
      <c r="D74" s="3">
        <v>0</v>
      </c>
      <c r="E74" s="3">
        <v>4594007</v>
      </c>
      <c r="F74" s="3">
        <v>28256</v>
      </c>
      <c r="G74" s="3">
        <v>61608</v>
      </c>
      <c r="H74" s="3">
        <v>481153</v>
      </c>
      <c r="I74" s="3">
        <v>3715640</v>
      </c>
      <c r="J74" s="3">
        <v>18662772</v>
      </c>
      <c r="K74" s="3">
        <v>1295187</v>
      </c>
      <c r="L74" s="3">
        <v>9019936</v>
      </c>
      <c r="M74" s="3">
        <v>17976525</v>
      </c>
      <c r="N74" s="3">
        <v>17484793</v>
      </c>
      <c r="O74" s="3">
        <v>2136731</v>
      </c>
      <c r="P74" s="3">
        <v>5016240</v>
      </c>
      <c r="Q74" s="3">
        <v>15592837</v>
      </c>
      <c r="R74" s="3">
        <v>19293567</v>
      </c>
      <c r="S74" s="3">
        <v>10111809</v>
      </c>
      <c r="T74" s="3">
        <v>13618419</v>
      </c>
      <c r="U74" s="3">
        <v>28019140</v>
      </c>
      <c r="V74" s="3">
        <v>22942887</v>
      </c>
      <c r="W74" s="3">
        <v>3864425</v>
      </c>
      <c r="X74" s="3">
        <v>5072048</v>
      </c>
      <c r="Y74" s="3">
        <v>21405814</v>
      </c>
      <c r="Z74" s="3">
        <v>7150582</v>
      </c>
      <c r="AA74" s="3">
        <v>6133973</v>
      </c>
      <c r="AB74" s="3">
        <v>9191037</v>
      </c>
      <c r="AC74" s="3">
        <v>12661262</v>
      </c>
      <c r="AD74" s="3">
        <v>20587898</v>
      </c>
      <c r="AE74" s="3">
        <v>8066302</v>
      </c>
      <c r="AF74" s="3">
        <v>18896217</v>
      </c>
      <c r="AG74" s="3">
        <v>35070152</v>
      </c>
      <c r="AH74" s="3">
        <v>44357644</v>
      </c>
      <c r="AI74" s="3">
        <v>4691564</v>
      </c>
      <c r="AJ74" s="3">
        <v>6775687</v>
      </c>
      <c r="AK74" s="3">
        <v>18528619</v>
      </c>
      <c r="AL74" s="3">
        <v>25461825</v>
      </c>
      <c r="AM74" s="3">
        <v>7350591</v>
      </c>
      <c r="AN74" s="3">
        <v>15861508</v>
      </c>
      <c r="AO74" s="3">
        <v>27442863</v>
      </c>
      <c r="AP74" s="3">
        <v>34614107</v>
      </c>
      <c r="AQ74" s="3">
        <v>6044623</v>
      </c>
      <c r="AR74" s="3">
        <v>19870170</v>
      </c>
      <c r="AS74" s="3">
        <v>47043934</v>
      </c>
      <c r="AT74" s="3">
        <v>51721932</v>
      </c>
      <c r="AU74" s="3">
        <v>3559172</v>
      </c>
    </row>
    <row r="75" spans="1:47" x14ac:dyDescent="0.3">
      <c r="A75" s="1" t="s">
        <v>70</v>
      </c>
      <c r="B75" s="3">
        <v>0</v>
      </c>
      <c r="C75" s="3">
        <v>0</v>
      </c>
      <c r="D75" s="3">
        <v>0</v>
      </c>
      <c r="E75" s="3">
        <v>0</v>
      </c>
      <c r="F75" s="3">
        <v>-1</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c r="AI75" s="3">
        <v>0</v>
      </c>
      <c r="AJ75" s="3">
        <v>0</v>
      </c>
      <c r="AK75" s="3">
        <v>0</v>
      </c>
      <c r="AL75" s="3">
        <v>0</v>
      </c>
      <c r="AM75" s="3">
        <v>0</v>
      </c>
      <c r="AN75" s="3">
        <v>0</v>
      </c>
      <c r="AO75" s="3">
        <v>0</v>
      </c>
      <c r="AP75" s="3">
        <v>0</v>
      </c>
      <c r="AQ75" s="3">
        <v>0</v>
      </c>
      <c r="AR75" s="3">
        <v>0</v>
      </c>
      <c r="AS75" s="3">
        <v>0</v>
      </c>
      <c r="AT75" s="3">
        <v>0</v>
      </c>
      <c r="AU75" s="3">
        <v>0</v>
      </c>
    </row>
    <row r="76" spans="1:47" x14ac:dyDescent="0.3">
      <c r="A76" s="1" t="s">
        <v>71</v>
      </c>
      <c r="B76" s="3">
        <v>541</v>
      </c>
      <c r="C76" s="3">
        <v>17633</v>
      </c>
      <c r="D76" s="3">
        <v>3071</v>
      </c>
      <c r="E76" s="3">
        <v>31755</v>
      </c>
      <c r="F76" s="3">
        <v>9056</v>
      </c>
      <c r="G76" s="3">
        <v>13412</v>
      </c>
      <c r="H76" s="3">
        <v>13411</v>
      </c>
      <c r="I76" s="3">
        <v>13412</v>
      </c>
      <c r="J76" s="3">
        <v>0</v>
      </c>
      <c r="K76" s="3">
        <v>0</v>
      </c>
      <c r="L76" s="3">
        <v>628</v>
      </c>
      <c r="M76" s="3">
        <v>128</v>
      </c>
      <c r="N76" s="3">
        <v>226</v>
      </c>
      <c r="O76" s="3">
        <v>3577</v>
      </c>
      <c r="P76" s="3">
        <v>1631</v>
      </c>
      <c r="Q76" s="3">
        <v>153</v>
      </c>
      <c r="R76" s="3">
        <v>0</v>
      </c>
      <c r="S76" s="3">
        <v>975</v>
      </c>
      <c r="T76" s="3">
        <v>63</v>
      </c>
      <c r="U76" s="3">
        <v>938</v>
      </c>
      <c r="V76" s="3">
        <v>179</v>
      </c>
      <c r="W76" s="3">
        <v>38589</v>
      </c>
      <c r="X76" s="3">
        <v>2</v>
      </c>
      <c r="Y76" s="3">
        <v>3</v>
      </c>
      <c r="Z76" s="3">
        <v>10</v>
      </c>
      <c r="AA76" s="3">
        <v>246</v>
      </c>
      <c r="AB76" s="3">
        <v>1</v>
      </c>
      <c r="AC76" s="3">
        <v>9</v>
      </c>
      <c r="AD76" s="3">
        <v>88</v>
      </c>
      <c r="AE76" s="3">
        <v>68</v>
      </c>
      <c r="AF76" s="3">
        <v>143</v>
      </c>
      <c r="AG76" s="3">
        <v>84</v>
      </c>
      <c r="AH76" s="3">
        <v>388</v>
      </c>
      <c r="AI76" s="3">
        <v>186</v>
      </c>
      <c r="AJ76" s="3">
        <v>0</v>
      </c>
      <c r="AK76" s="3">
        <v>588</v>
      </c>
      <c r="AL76" s="3">
        <v>1841</v>
      </c>
      <c r="AM76" s="3">
        <v>-1362</v>
      </c>
      <c r="AN76" s="3">
        <v>-768</v>
      </c>
      <c r="AO76" s="3">
        <v>1703</v>
      </c>
      <c r="AP76" s="3">
        <v>3257</v>
      </c>
      <c r="AQ76" s="3">
        <v>833</v>
      </c>
      <c r="AR76" s="3">
        <v>1179</v>
      </c>
      <c r="AS76" s="3">
        <v>1507</v>
      </c>
      <c r="AT76" s="3">
        <v>2116</v>
      </c>
      <c r="AU76" s="3">
        <v>565</v>
      </c>
    </row>
    <row r="77" spans="1:47" x14ac:dyDescent="0.3">
      <c r="A77" s="1" t="s">
        <v>72</v>
      </c>
      <c r="B77" s="3">
        <v>-190295</v>
      </c>
      <c r="C77" s="3">
        <v>3351</v>
      </c>
      <c r="D77" s="3">
        <v>0</v>
      </c>
      <c r="E77" s="3">
        <v>405</v>
      </c>
      <c r="F77" s="3">
        <v>2727</v>
      </c>
      <c r="G77" s="3">
        <v>26484</v>
      </c>
      <c r="H77" s="3">
        <v>0</v>
      </c>
      <c r="I77" s="3">
        <v>8697</v>
      </c>
      <c r="J77" s="3">
        <v>7380</v>
      </c>
      <c r="K77" s="3">
        <v>60350</v>
      </c>
      <c r="L77" s="3">
        <v>0</v>
      </c>
      <c r="M77" s="3">
        <v>93608</v>
      </c>
      <c r="N77" s="3">
        <v>617</v>
      </c>
      <c r="O77" s="3">
        <v>0</v>
      </c>
      <c r="P77" s="3">
        <v>1</v>
      </c>
      <c r="Q77" s="3">
        <v>50716</v>
      </c>
      <c r="R77" s="3">
        <v>9346</v>
      </c>
      <c r="S77" s="3">
        <v>13779</v>
      </c>
      <c r="T77" s="3">
        <v>14955</v>
      </c>
      <c r="U77" s="3">
        <v>20686</v>
      </c>
      <c r="V77" s="3">
        <v>25199</v>
      </c>
      <c r="W77" s="3">
        <v>24192</v>
      </c>
      <c r="X77" s="3">
        <v>7357</v>
      </c>
      <c r="Y77" s="3">
        <v>4355</v>
      </c>
      <c r="Z77" s="3">
        <v>886</v>
      </c>
      <c r="AA77" s="3">
        <v>14994</v>
      </c>
      <c r="AB77" s="3">
        <v>7877</v>
      </c>
      <c r="AC77" s="3">
        <v>0</v>
      </c>
      <c r="AD77" s="3">
        <v>1989</v>
      </c>
      <c r="AE77" s="3">
        <v>6968</v>
      </c>
      <c r="AF77" s="3">
        <v>1732</v>
      </c>
      <c r="AG77" s="3">
        <v>17368</v>
      </c>
      <c r="AH77" s="3">
        <v>43604</v>
      </c>
      <c r="AI77" s="3">
        <v>77703</v>
      </c>
      <c r="AJ77" s="3">
        <v>28333</v>
      </c>
      <c r="AK77" s="3">
        <v>57719</v>
      </c>
      <c r="AL77" s="3">
        <v>68801</v>
      </c>
      <c r="AM77" s="3">
        <v>45851</v>
      </c>
      <c r="AN77" s="3">
        <v>53354</v>
      </c>
      <c r="AO77" s="3">
        <v>66435</v>
      </c>
      <c r="AP77" s="3">
        <v>380479</v>
      </c>
      <c r="AQ77" s="3">
        <v>607680</v>
      </c>
      <c r="AR77" s="3">
        <v>9751</v>
      </c>
      <c r="AS77" s="3">
        <v>12571</v>
      </c>
      <c r="AT77" s="3">
        <v>131389</v>
      </c>
      <c r="AU77" s="3">
        <v>61253</v>
      </c>
    </row>
    <row r="78" spans="1:47" x14ac:dyDescent="0.3">
      <c r="A78" s="1" t="s">
        <v>65</v>
      </c>
      <c r="B78" s="3">
        <v>11454222</v>
      </c>
      <c r="C78" s="3">
        <v>40584</v>
      </c>
      <c r="D78" s="3">
        <v>0</v>
      </c>
      <c r="E78" s="3">
        <v>5791960</v>
      </c>
      <c r="F78" s="3">
        <v>8098132</v>
      </c>
      <c r="G78" s="3">
        <v>0</v>
      </c>
      <c r="H78" s="3">
        <v>0</v>
      </c>
      <c r="I78" s="3">
        <v>4999812</v>
      </c>
      <c r="J78" s="3">
        <v>0</v>
      </c>
      <c r="K78" s="3">
        <v>0</v>
      </c>
      <c r="L78" s="3">
        <v>0</v>
      </c>
      <c r="M78" s="3">
        <v>69425</v>
      </c>
      <c r="N78" s="3">
        <v>-1</v>
      </c>
      <c r="O78" s="3">
        <v>0</v>
      </c>
      <c r="P78" s="3">
        <v>0</v>
      </c>
      <c r="Q78" s="3">
        <v>336633</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c r="AJ78" s="3">
        <v>0</v>
      </c>
      <c r="AK78" s="3">
        <v>0</v>
      </c>
      <c r="AL78" s="3">
        <v>171</v>
      </c>
      <c r="AM78" s="3">
        <v>0</v>
      </c>
      <c r="AN78" s="3">
        <v>0</v>
      </c>
      <c r="AO78" s="3">
        <v>0</v>
      </c>
      <c r="AP78" s="3">
        <v>78879</v>
      </c>
      <c r="AQ78" s="3">
        <v>67650</v>
      </c>
      <c r="AR78" s="3">
        <v>-1</v>
      </c>
      <c r="AS78" s="3">
        <v>0</v>
      </c>
      <c r="AT78" s="3">
        <v>-1</v>
      </c>
      <c r="AU78" s="3">
        <v>0</v>
      </c>
    </row>
    <row r="79" spans="1:47" s="6" customFormat="1" x14ac:dyDescent="0.3">
      <c r="A79" s="6" t="s">
        <v>73</v>
      </c>
      <c r="B79" s="7">
        <f t="shared" ref="B79:E79" si="177">+SUM(B80:B83)</f>
        <v>-6560118</v>
      </c>
      <c r="C79" s="7">
        <f t="shared" si="177"/>
        <v>-1785111</v>
      </c>
      <c r="D79" s="7">
        <f t="shared" si="177"/>
        <v>-3486385</v>
      </c>
      <c r="E79" s="7">
        <f t="shared" si="177"/>
        <v>-5328179</v>
      </c>
      <c r="F79" s="7">
        <f t="shared" ref="F79:T79" si="178">+SUM(F80:F83)</f>
        <v>-8377435</v>
      </c>
      <c r="G79" s="7">
        <f t="shared" si="178"/>
        <v>-1212653</v>
      </c>
      <c r="H79" s="7">
        <f t="shared" si="178"/>
        <v>-2237800</v>
      </c>
      <c r="I79" s="7">
        <f t="shared" si="178"/>
        <v>-3189033</v>
      </c>
      <c r="J79" s="7">
        <f t="shared" si="178"/>
        <v>-6145881</v>
      </c>
      <c r="K79" s="7">
        <f t="shared" si="178"/>
        <v>-1215525</v>
      </c>
      <c r="L79" s="7">
        <f t="shared" si="178"/>
        <v>-2483667</v>
      </c>
      <c r="M79" s="7">
        <f t="shared" si="178"/>
        <v>-3766757</v>
      </c>
      <c r="N79" s="7">
        <f t="shared" si="178"/>
        <v>-7687196</v>
      </c>
      <c r="O79" s="7">
        <f t="shared" si="178"/>
        <v>-1219503</v>
      </c>
      <c r="P79" s="7">
        <f t="shared" si="178"/>
        <v>-2370023</v>
      </c>
      <c r="Q79" s="7">
        <f t="shared" si="178"/>
        <v>-3643450</v>
      </c>
      <c r="R79" s="7">
        <f t="shared" si="178"/>
        <v>-7584916</v>
      </c>
      <c r="S79" s="7">
        <f t="shared" si="178"/>
        <v>-1321459</v>
      </c>
      <c r="T79" s="7">
        <f t="shared" si="178"/>
        <v>-2718363</v>
      </c>
      <c r="U79" s="7">
        <f t="shared" ref="U79:AG79" si="179">+SUM(U80:U83)</f>
        <v>-4137927</v>
      </c>
      <c r="V79" s="7">
        <f t="shared" si="179"/>
        <v>-7972680</v>
      </c>
      <c r="W79" s="7">
        <f t="shared" si="179"/>
        <v>-1409323</v>
      </c>
      <c r="X79" s="7">
        <f t="shared" si="179"/>
        <v>-2820854</v>
      </c>
      <c r="Y79" s="7">
        <f t="shared" si="179"/>
        <v>-3583169</v>
      </c>
      <c r="Z79" s="7">
        <f t="shared" si="179"/>
        <v>-8214732</v>
      </c>
      <c r="AA79" s="7">
        <f t="shared" si="179"/>
        <v>-890020</v>
      </c>
      <c r="AB79" s="7">
        <f t="shared" si="179"/>
        <v>-2175608</v>
      </c>
      <c r="AC79" s="7">
        <f t="shared" si="179"/>
        <v>-3161312</v>
      </c>
      <c r="AD79" s="7">
        <f t="shared" si="179"/>
        <v>-6733630</v>
      </c>
      <c r="AE79" s="7">
        <f t="shared" si="179"/>
        <v>-812605</v>
      </c>
      <c r="AF79" s="7">
        <f t="shared" si="179"/>
        <v>-1657470</v>
      </c>
      <c r="AG79" s="7">
        <f t="shared" si="179"/>
        <v>-2538260</v>
      </c>
      <c r="AH79" s="7">
        <f t="shared" ref="AH79:AI79" si="180">+SUM(AH80:AH83)</f>
        <v>-6598533</v>
      </c>
      <c r="AI79" s="7">
        <f t="shared" si="180"/>
        <v>-898639</v>
      </c>
      <c r="AJ79" s="7">
        <f t="shared" ref="AJ79:AL79" si="181">+SUM(AJ80:AJ83)</f>
        <v>-1828585</v>
      </c>
      <c r="AK79" s="7">
        <f t="shared" si="181"/>
        <v>-2767069</v>
      </c>
      <c r="AL79" s="7">
        <f t="shared" si="181"/>
        <v>-7204139</v>
      </c>
      <c r="AM79" s="7">
        <f t="shared" ref="AM79:AN79" si="182">+SUM(AM80:AM83)</f>
        <v>-947846</v>
      </c>
      <c r="AN79" s="7">
        <f t="shared" si="182"/>
        <v>-2187035</v>
      </c>
      <c r="AO79" s="7">
        <f t="shared" ref="AO79:AP79" si="183">+SUM(AO80:AO83)</f>
        <v>-4342416</v>
      </c>
      <c r="AP79" s="7">
        <f t="shared" si="183"/>
        <v>-9013132</v>
      </c>
      <c r="AQ79" s="7">
        <f t="shared" ref="AQ79:AR79" si="184">+SUM(AQ80:AQ83)</f>
        <v>-1742150</v>
      </c>
      <c r="AR79" s="7">
        <f t="shared" si="184"/>
        <v>-3543632</v>
      </c>
      <c r="AS79" s="7">
        <f t="shared" ref="AS79:AT79" si="185">+SUM(AS80:AS83)</f>
        <v>-5357884</v>
      </c>
      <c r="AT79" s="7">
        <f t="shared" si="185"/>
        <v>-10576360</v>
      </c>
      <c r="AU79" s="7">
        <f t="shared" ref="AU79" si="186">+SUM(AU80:AU83)</f>
        <v>-2436605</v>
      </c>
    </row>
    <row r="80" spans="1:47" x14ac:dyDescent="0.3">
      <c r="A80" s="1" t="s">
        <v>74</v>
      </c>
      <c r="B80" s="3">
        <v>-1886633</v>
      </c>
      <c r="C80" s="3">
        <v>-731973</v>
      </c>
      <c r="D80" s="3">
        <v>-1357448</v>
      </c>
      <c r="E80" s="3">
        <f>+E55</f>
        <v>-2121239</v>
      </c>
      <c r="F80" s="3">
        <v>-2781198</v>
      </c>
      <c r="G80" s="3">
        <v>-683296</v>
      </c>
      <c r="H80" s="3">
        <v>-1429344</v>
      </c>
      <c r="I80" s="3">
        <v>-2121668</v>
      </c>
      <c r="J80" s="3">
        <v>-3542364</v>
      </c>
      <c r="K80" s="3">
        <v>-946450</v>
      </c>
      <c r="L80" s="3">
        <f t="shared" ref="L80:T80" si="187">+L55</f>
        <v>-1928686</v>
      </c>
      <c r="M80" s="3">
        <f t="shared" si="187"/>
        <v>-2937426</v>
      </c>
      <c r="N80" s="3">
        <f t="shared" si="187"/>
        <v>-3919367</v>
      </c>
      <c r="O80" s="3">
        <f t="shared" si="187"/>
        <v>-943102</v>
      </c>
      <c r="P80" s="3">
        <f t="shared" si="187"/>
        <v>-1921386</v>
      </c>
      <c r="Q80" s="3">
        <f t="shared" si="187"/>
        <v>-2971022</v>
      </c>
      <c r="R80" s="3">
        <f t="shared" si="187"/>
        <v>-4047887</v>
      </c>
      <c r="S80" s="3">
        <f t="shared" si="187"/>
        <v>-1096824</v>
      </c>
      <c r="T80" s="3">
        <f t="shared" si="187"/>
        <v>-2274494</v>
      </c>
      <c r="U80" s="3">
        <f t="shared" ref="U80:AG80" si="188">+U55</f>
        <v>-3461607</v>
      </c>
      <c r="V80" s="3">
        <f t="shared" si="188"/>
        <v>-4746691</v>
      </c>
      <c r="W80" s="3">
        <f t="shared" si="188"/>
        <v>-1179132</v>
      </c>
      <c r="X80" s="3">
        <f t="shared" si="188"/>
        <v>-2364674</v>
      </c>
      <c r="Y80" s="3">
        <f t="shared" si="188"/>
        <v>-2899538</v>
      </c>
      <c r="Z80" s="3">
        <f t="shared" si="188"/>
        <v>-3461998</v>
      </c>
      <c r="AA80" s="3">
        <f t="shared" si="188"/>
        <v>-655931</v>
      </c>
      <c r="AB80" s="3">
        <f t="shared" si="188"/>
        <v>-1650033</v>
      </c>
      <c r="AC80" s="3">
        <f t="shared" si="188"/>
        <v>-2308340</v>
      </c>
      <c r="AD80" s="3">
        <f t="shared" si="188"/>
        <v>-2859278</v>
      </c>
      <c r="AE80" s="3">
        <f t="shared" si="188"/>
        <v>-548741</v>
      </c>
      <c r="AF80" s="3">
        <f t="shared" si="188"/>
        <v>-1132285</v>
      </c>
      <c r="AG80" s="3">
        <f t="shared" si="188"/>
        <v>-1743550</v>
      </c>
      <c r="AH80" s="3">
        <f t="shared" ref="AH80:AI80" si="189">+AH55</f>
        <v>-2366016</v>
      </c>
      <c r="AI80" s="3">
        <f t="shared" si="189"/>
        <v>-615890</v>
      </c>
      <c r="AJ80" s="3">
        <f>+AJ55</f>
        <v>-1251194</v>
      </c>
      <c r="AK80" s="3">
        <f>+AK55</f>
        <v>-1893372</v>
      </c>
      <c r="AL80" s="3">
        <v>-2543831</v>
      </c>
      <c r="AM80" s="3">
        <v>-645614</v>
      </c>
      <c r="AN80" s="3">
        <v>-1538024</v>
      </c>
      <c r="AO80" s="3">
        <v>-3378556</v>
      </c>
      <c r="AP80" s="3">
        <f t="shared" ref="AP80:AU80" si="190">+AP55</f>
        <v>-4634406</v>
      </c>
      <c r="AQ80" s="3">
        <f t="shared" si="190"/>
        <v>-1424822</v>
      </c>
      <c r="AR80" s="3">
        <f t="shared" si="190"/>
        <v>-2865230</v>
      </c>
      <c r="AS80" s="3">
        <f t="shared" si="190"/>
        <v>-4340802</v>
      </c>
      <c r="AT80" s="3">
        <f t="shared" si="190"/>
        <v>-5822485</v>
      </c>
      <c r="AU80" s="3">
        <f t="shared" si="190"/>
        <v>-2104519</v>
      </c>
    </row>
    <row r="81" spans="1:47" x14ac:dyDescent="0.3">
      <c r="A81" s="1" t="s">
        <v>75</v>
      </c>
      <c r="B81" s="3">
        <v>-4459564</v>
      </c>
      <c r="C81" s="3">
        <v>-1016906</v>
      </c>
      <c r="D81" s="3">
        <v>-2046101</v>
      </c>
      <c r="E81" s="3">
        <f>+E51</f>
        <v>-3093698</v>
      </c>
      <c r="F81" s="3">
        <v>-5445125</v>
      </c>
      <c r="G81" s="3">
        <v>-497773</v>
      </c>
      <c r="H81" s="3">
        <v>-713730</v>
      </c>
      <c r="I81" s="3">
        <v>-931397</v>
      </c>
      <c r="J81" s="3">
        <v>-2451850</v>
      </c>
      <c r="K81" s="3">
        <v>-219367</v>
      </c>
      <c r="L81" s="3">
        <f t="shared" ref="L81:T81" si="191">+L51</f>
        <v>-440605</v>
      </c>
      <c r="M81" s="3">
        <f t="shared" si="191"/>
        <v>-661845</v>
      </c>
      <c r="N81" s="3">
        <f t="shared" si="191"/>
        <v>-3546299</v>
      </c>
      <c r="O81" s="3">
        <f t="shared" si="191"/>
        <v>-223615</v>
      </c>
      <c r="P81" s="3">
        <f t="shared" si="191"/>
        <v>-336310</v>
      </c>
      <c r="Q81" s="3">
        <f t="shared" si="191"/>
        <v>-506374</v>
      </c>
      <c r="R81" s="3">
        <f t="shared" si="191"/>
        <v>-3289824</v>
      </c>
      <c r="S81" s="3">
        <f t="shared" si="191"/>
        <v>-171770</v>
      </c>
      <c r="T81" s="3">
        <f t="shared" si="191"/>
        <v>-344910</v>
      </c>
      <c r="U81" s="3">
        <f t="shared" ref="U81:AG81" si="192">+U51</f>
        <v>-519436</v>
      </c>
      <c r="V81" s="3">
        <f t="shared" si="192"/>
        <v>-3021824</v>
      </c>
      <c r="W81" s="3">
        <f t="shared" si="192"/>
        <v>-177444</v>
      </c>
      <c r="X81" s="3">
        <f t="shared" si="192"/>
        <v>-356351</v>
      </c>
      <c r="Y81" s="3">
        <f t="shared" si="192"/>
        <v>-535157</v>
      </c>
      <c r="Z81" s="3">
        <f t="shared" si="192"/>
        <v>-4567516</v>
      </c>
      <c r="AA81" s="3">
        <f t="shared" si="192"/>
        <v>-182444</v>
      </c>
      <c r="AB81" s="3">
        <f t="shared" si="192"/>
        <v>-367073</v>
      </c>
      <c r="AC81" s="3">
        <f t="shared" si="192"/>
        <v>-553621</v>
      </c>
      <c r="AD81" s="3">
        <f t="shared" si="192"/>
        <v>-3484641</v>
      </c>
      <c r="AE81" s="3">
        <f t="shared" si="192"/>
        <v>-196311</v>
      </c>
      <c r="AF81" s="3">
        <f t="shared" si="192"/>
        <v>-399818</v>
      </c>
      <c r="AG81" s="3">
        <f t="shared" si="192"/>
        <v>-610740</v>
      </c>
      <c r="AH81" s="3">
        <f t="shared" ref="AH81:AI81" si="193">+AH51</f>
        <v>-3977537</v>
      </c>
      <c r="AI81" s="3">
        <f t="shared" si="193"/>
        <v>-221022</v>
      </c>
      <c r="AJ81" s="3">
        <f t="shared" ref="AJ81:AK81" si="194">+AJ51</f>
        <v>-445345</v>
      </c>
      <c r="AK81" s="3">
        <f t="shared" si="194"/>
        <v>-670531</v>
      </c>
      <c r="AL81" s="3">
        <v>-4380661</v>
      </c>
      <c r="AM81" s="3">
        <v>-233594</v>
      </c>
      <c r="AN81" s="3">
        <v>-472865</v>
      </c>
      <c r="AO81" s="3">
        <v>-716568</v>
      </c>
      <c r="AP81" s="3">
        <f t="shared" ref="AP81:AU81" si="195">+AP51</f>
        <v>-4071726</v>
      </c>
      <c r="AQ81" s="3">
        <f t="shared" si="195"/>
        <v>-254001</v>
      </c>
      <c r="AR81" s="3">
        <f t="shared" si="195"/>
        <v>-511520</v>
      </c>
      <c r="AS81" s="3">
        <f t="shared" si="195"/>
        <v>-770169</v>
      </c>
      <c r="AT81" s="3">
        <f t="shared" si="195"/>
        <v>-4417453</v>
      </c>
      <c r="AU81" s="3">
        <f t="shared" si="195"/>
        <v>-261477</v>
      </c>
    </row>
    <row r="82" spans="1:47" x14ac:dyDescent="0.3">
      <c r="A82" s="1" t="s">
        <v>49</v>
      </c>
      <c r="B82" s="3">
        <v>-10768</v>
      </c>
      <c r="C82" s="3">
        <v>-3686</v>
      </c>
      <c r="D82" s="3">
        <v>-4932</v>
      </c>
      <c r="E82" s="3">
        <f>+E50</f>
        <v>-7438</v>
      </c>
      <c r="F82" s="3">
        <v>-11261</v>
      </c>
      <c r="G82" s="3">
        <v>-3860</v>
      </c>
      <c r="H82" s="3">
        <v>-5809</v>
      </c>
      <c r="I82" s="3">
        <v>-7771</v>
      </c>
      <c r="J82" s="3">
        <v>-13686</v>
      </c>
      <c r="K82" s="3">
        <v>-3019</v>
      </c>
      <c r="L82" s="3">
        <f>+L50</f>
        <v>-5973</v>
      </c>
      <c r="M82" s="3">
        <f>+M50</f>
        <v>-8967</v>
      </c>
      <c r="N82" s="3">
        <f>+N50-2</f>
        <v>-13995</v>
      </c>
      <c r="O82" s="3">
        <f t="shared" ref="O82:T82" si="196">+O50</f>
        <v>-3067</v>
      </c>
      <c r="P82" s="3">
        <f t="shared" si="196"/>
        <v>-6065</v>
      </c>
      <c r="Q82" s="3">
        <f t="shared" si="196"/>
        <v>-9129</v>
      </c>
      <c r="R82" s="3">
        <f t="shared" si="196"/>
        <v>-14269</v>
      </c>
      <c r="S82" s="3">
        <f t="shared" si="196"/>
        <v>-7235</v>
      </c>
      <c r="T82" s="3">
        <f t="shared" si="196"/>
        <v>-10338</v>
      </c>
      <c r="U82" s="3">
        <v>-13489</v>
      </c>
      <c r="V82" s="3">
        <f t="shared" ref="V82:AG82" si="197">+V50</f>
        <v>-16699</v>
      </c>
      <c r="W82" s="3">
        <f t="shared" si="197"/>
        <v>-3246</v>
      </c>
      <c r="X82" s="3">
        <f t="shared" si="197"/>
        <v>-6471</v>
      </c>
      <c r="Y82" s="3">
        <f t="shared" si="197"/>
        <v>-9699</v>
      </c>
      <c r="Z82" s="3">
        <f t="shared" si="197"/>
        <v>-10088</v>
      </c>
      <c r="AA82" s="3">
        <f t="shared" si="197"/>
        <v>-3287</v>
      </c>
      <c r="AB82" s="3">
        <f t="shared" si="197"/>
        <v>-6609</v>
      </c>
      <c r="AC82" s="3">
        <f t="shared" si="197"/>
        <v>-9956</v>
      </c>
      <c r="AD82" s="3">
        <f t="shared" si="197"/>
        <v>-13406</v>
      </c>
      <c r="AE82" s="3">
        <f t="shared" si="197"/>
        <v>-3517</v>
      </c>
      <c r="AF82" s="3">
        <f t="shared" si="197"/>
        <v>-7162</v>
      </c>
      <c r="AG82" s="3">
        <f t="shared" si="197"/>
        <v>-10974</v>
      </c>
      <c r="AH82" s="3">
        <f t="shared" ref="AH82:AI82" si="198">+AH50</f>
        <v>-15597</v>
      </c>
      <c r="AI82" s="3">
        <f t="shared" si="198"/>
        <v>-3958</v>
      </c>
      <c r="AJ82" s="3">
        <f t="shared" ref="AJ82:AK82" si="199">+AJ50</f>
        <v>-8012</v>
      </c>
      <c r="AK82" s="3">
        <f t="shared" si="199"/>
        <v>-12080</v>
      </c>
      <c r="AL82" s="3">
        <v>-16183</v>
      </c>
      <c r="AM82" s="3">
        <v>-4141</v>
      </c>
      <c r="AN82" s="3">
        <v>-8358</v>
      </c>
      <c r="AO82" s="3">
        <v>-12602</v>
      </c>
      <c r="AP82" s="3">
        <f t="shared" ref="AP82:AU82" si="200">+AP50</f>
        <v>-16900</v>
      </c>
      <c r="AQ82" s="3">
        <f t="shared" si="200"/>
        <v>-4322</v>
      </c>
      <c r="AR82" s="3">
        <f t="shared" si="200"/>
        <v>-8713</v>
      </c>
      <c r="AS82" s="3">
        <f t="shared" si="200"/>
        <v>-13145</v>
      </c>
      <c r="AT82" s="3">
        <f t="shared" si="200"/>
        <v>-17620</v>
      </c>
      <c r="AU82" s="3">
        <f t="shared" si="200"/>
        <v>-4476</v>
      </c>
    </row>
    <row r="83" spans="1:47" x14ac:dyDescent="0.3">
      <c r="A83" s="1" t="s">
        <v>76</v>
      </c>
      <c r="B83" s="3">
        <v>-203153</v>
      </c>
      <c r="C83" s="3">
        <v>-32546</v>
      </c>
      <c r="D83" s="3">
        <v>-77904</v>
      </c>
      <c r="E83" s="3">
        <f>+E52</f>
        <v>-105804</v>
      </c>
      <c r="F83" s="3">
        <v>-139851</v>
      </c>
      <c r="G83" s="3">
        <v>-27724</v>
      </c>
      <c r="H83" s="3">
        <v>-88917</v>
      </c>
      <c r="I83" s="3">
        <v>-128197</v>
      </c>
      <c r="J83" s="3">
        <v>-137981</v>
      </c>
      <c r="K83" s="3">
        <v>-46689</v>
      </c>
      <c r="L83" s="3">
        <f t="shared" ref="L83:T83" si="201">+L52</f>
        <v>-108403</v>
      </c>
      <c r="M83" s="3">
        <f t="shared" si="201"/>
        <v>-158519</v>
      </c>
      <c r="N83" s="3">
        <f t="shared" si="201"/>
        <v>-207535</v>
      </c>
      <c r="O83" s="3">
        <f t="shared" si="201"/>
        <v>-49719</v>
      </c>
      <c r="P83" s="3">
        <f t="shared" si="201"/>
        <v>-106262</v>
      </c>
      <c r="Q83" s="3">
        <f t="shared" si="201"/>
        <v>-156925</v>
      </c>
      <c r="R83" s="3">
        <f t="shared" si="201"/>
        <v>-232936</v>
      </c>
      <c r="S83" s="3">
        <f t="shared" si="201"/>
        <v>-45630</v>
      </c>
      <c r="T83" s="3">
        <f t="shared" si="201"/>
        <v>-88621</v>
      </c>
      <c r="U83" s="3">
        <v>-143395</v>
      </c>
      <c r="V83" s="3">
        <f t="shared" ref="V83:AG83" si="202">+V52</f>
        <v>-187466</v>
      </c>
      <c r="W83" s="3">
        <f t="shared" si="202"/>
        <v>-49501</v>
      </c>
      <c r="X83" s="3">
        <f t="shared" si="202"/>
        <v>-93358</v>
      </c>
      <c r="Y83" s="3">
        <f t="shared" si="202"/>
        <v>-138775</v>
      </c>
      <c r="Z83" s="3">
        <f t="shared" si="202"/>
        <v>-175130</v>
      </c>
      <c r="AA83" s="3">
        <f t="shared" si="202"/>
        <v>-48358</v>
      </c>
      <c r="AB83" s="3">
        <f t="shared" si="202"/>
        <v>-151893</v>
      </c>
      <c r="AC83" s="3">
        <f t="shared" si="202"/>
        <v>-289395</v>
      </c>
      <c r="AD83" s="3">
        <f t="shared" si="202"/>
        <v>-376305</v>
      </c>
      <c r="AE83" s="3">
        <f t="shared" si="202"/>
        <v>-64036</v>
      </c>
      <c r="AF83" s="3">
        <f t="shared" si="202"/>
        <v>-118205</v>
      </c>
      <c r="AG83" s="3">
        <f t="shared" si="202"/>
        <v>-172996</v>
      </c>
      <c r="AH83" s="3">
        <f t="shared" ref="AH83:AI83" si="203">+AH52</f>
        <v>-239383</v>
      </c>
      <c r="AI83" s="3">
        <f t="shared" si="203"/>
        <v>-57769</v>
      </c>
      <c r="AJ83" s="3">
        <f t="shared" ref="AJ83:AM83" si="204">+AJ52</f>
        <v>-124034</v>
      </c>
      <c r="AK83" s="3">
        <f t="shared" si="204"/>
        <v>-191086</v>
      </c>
      <c r="AL83" s="3">
        <f t="shared" si="204"/>
        <v>-263464</v>
      </c>
      <c r="AM83" s="3">
        <f t="shared" si="204"/>
        <v>-64497</v>
      </c>
      <c r="AN83" s="3">
        <f t="shared" ref="AN83:AO83" si="205">+AN52</f>
        <v>-167788</v>
      </c>
      <c r="AO83" s="3">
        <f t="shared" si="205"/>
        <v>-234690</v>
      </c>
      <c r="AP83" s="3">
        <f t="shared" ref="AP83:AQ83" si="206">+AP52</f>
        <v>-290100</v>
      </c>
      <c r="AQ83" s="3">
        <f t="shared" si="206"/>
        <v>-59005</v>
      </c>
      <c r="AR83" s="3">
        <f t="shared" ref="AR83:AS83" si="207">+AR52</f>
        <v>-158169</v>
      </c>
      <c r="AS83" s="3">
        <f t="shared" si="207"/>
        <v>-233768</v>
      </c>
      <c r="AT83" s="3">
        <f t="shared" ref="AT83:AU83" si="208">+AT52</f>
        <v>-318802</v>
      </c>
      <c r="AU83" s="3">
        <f t="shared" si="208"/>
        <v>-66133</v>
      </c>
    </row>
    <row r="84" spans="1:47" s="8" customFormat="1" x14ac:dyDescent="0.3">
      <c r="A84" s="8" t="s">
        <v>77</v>
      </c>
      <c r="B84" s="9">
        <v>5355</v>
      </c>
      <c r="C84" s="9">
        <v>3</v>
      </c>
      <c r="D84" s="9">
        <v>2878235</v>
      </c>
      <c r="E84" s="9">
        <v>24</v>
      </c>
      <c r="F84" s="9">
        <v>2565</v>
      </c>
      <c r="G84" s="9">
        <v>1550085</v>
      </c>
      <c r="H84" s="9">
        <v>3541453</v>
      </c>
      <c r="I84" s="9">
        <v>-13319</v>
      </c>
      <c r="J84" s="9">
        <v>5928048</v>
      </c>
      <c r="K84" s="9">
        <v>1011222</v>
      </c>
      <c r="L84" s="9">
        <v>2587136</v>
      </c>
      <c r="M84" s="9">
        <v>2513784</v>
      </c>
      <c r="N84" s="9">
        <v>3750100</v>
      </c>
      <c r="O84" s="9">
        <v>1489953</v>
      </c>
      <c r="P84" s="9">
        <v>3103639</v>
      </c>
      <c r="Q84" s="9">
        <v>4676201</v>
      </c>
      <c r="R84" s="9">
        <v>6461200</v>
      </c>
      <c r="S84" s="9">
        <v>1050</v>
      </c>
      <c r="T84" s="9">
        <v>2456864</v>
      </c>
      <c r="U84" s="9">
        <v>3517950</v>
      </c>
      <c r="V84" s="9">
        <v>5430222</v>
      </c>
      <c r="W84" s="9">
        <v>2137873</v>
      </c>
      <c r="X84" s="9">
        <v>2879313</v>
      </c>
      <c r="Y84" s="9">
        <v>2970485</v>
      </c>
      <c r="Z84" s="9">
        <v>5543172</v>
      </c>
      <c r="AA84" s="9">
        <v>1340255</v>
      </c>
      <c r="AB84" s="9">
        <v>2046679</v>
      </c>
      <c r="AC84" s="9">
        <v>3501695</v>
      </c>
      <c r="AD84" s="9">
        <v>7117775</v>
      </c>
      <c r="AE84" s="9">
        <v>2999054</v>
      </c>
      <c r="AF84" s="9">
        <v>8530290</v>
      </c>
      <c r="AG84" s="9">
        <v>13401629</v>
      </c>
      <c r="AH84" s="9">
        <v>16936517</v>
      </c>
      <c r="AI84" s="9">
        <v>1862837</v>
      </c>
      <c r="AJ84" s="9">
        <v>3949810</v>
      </c>
      <c r="AK84" s="9">
        <v>4387244</v>
      </c>
      <c r="AL84" s="9">
        <v>6807250</v>
      </c>
      <c r="AM84" s="9">
        <v>1306499</v>
      </c>
      <c r="AN84" s="9">
        <v>3335929</v>
      </c>
      <c r="AO84" s="9">
        <v>4512403</v>
      </c>
      <c r="AP84" s="9">
        <v>6806395</v>
      </c>
      <c r="AQ84" s="9">
        <v>2432467</v>
      </c>
      <c r="AR84" s="9">
        <v>4206769</v>
      </c>
      <c r="AS84" s="9">
        <v>4881822</v>
      </c>
      <c r="AT84" s="9">
        <v>5660302</v>
      </c>
      <c r="AU84" s="9">
        <v>366939</v>
      </c>
    </row>
    <row r="85" spans="1:47" s="6" customFormat="1" x14ac:dyDescent="0.3">
      <c r="A85" s="6" t="s">
        <v>78</v>
      </c>
      <c r="B85" s="7">
        <f>+B64+B71+B73+B79+B84</f>
        <v>28705547</v>
      </c>
      <c r="C85" s="7">
        <f t="shared" ref="C85:AG85" si="209">+C64+C71+C73+C79+C84</f>
        <v>4976706</v>
      </c>
      <c r="D85" s="7">
        <f t="shared" si="209"/>
        <v>9904314</v>
      </c>
      <c r="E85" s="7">
        <f t="shared" si="209"/>
        <v>20877154</v>
      </c>
      <c r="F85" s="7">
        <f t="shared" si="209"/>
        <v>28159907</v>
      </c>
      <c r="G85" s="7">
        <f t="shared" si="209"/>
        <v>6136809</v>
      </c>
      <c r="H85" s="7">
        <f t="shared" si="209"/>
        <v>12691955</v>
      </c>
      <c r="I85" s="7">
        <f t="shared" si="209"/>
        <v>21909227</v>
      </c>
      <c r="J85" s="7">
        <f t="shared" si="209"/>
        <v>45113876</v>
      </c>
      <c r="K85" s="7">
        <f t="shared" si="209"/>
        <v>7213865</v>
      </c>
      <c r="L85" s="7">
        <f t="shared" si="209"/>
        <v>21579800</v>
      </c>
      <c r="M85" s="7">
        <f t="shared" si="209"/>
        <v>38376458</v>
      </c>
      <c r="N85" s="7">
        <f t="shared" si="209"/>
        <v>43883667</v>
      </c>
      <c r="O85" s="7">
        <f t="shared" si="209"/>
        <v>9265175</v>
      </c>
      <c r="P85" s="7">
        <f t="shared" si="209"/>
        <v>20024881</v>
      </c>
      <c r="Q85" s="7">
        <f t="shared" si="209"/>
        <v>40979040</v>
      </c>
      <c r="R85" s="7">
        <f t="shared" si="209"/>
        <v>49262372</v>
      </c>
      <c r="S85" s="7">
        <f t="shared" si="209"/>
        <v>14535118</v>
      </c>
      <c r="T85" s="7">
        <f t="shared" si="209"/>
        <v>25652432</v>
      </c>
      <c r="U85" s="7">
        <f t="shared" si="209"/>
        <v>47946487</v>
      </c>
      <c r="V85" s="7">
        <f t="shared" si="209"/>
        <v>49127829</v>
      </c>
      <c r="W85" s="7">
        <f t="shared" si="209"/>
        <v>10325080</v>
      </c>
      <c r="X85" s="7">
        <f t="shared" si="209"/>
        <v>15048808</v>
      </c>
      <c r="Y85" s="7">
        <f t="shared" si="209"/>
        <v>35742099</v>
      </c>
      <c r="Z85" s="7">
        <f t="shared" si="209"/>
        <v>38896170</v>
      </c>
      <c r="AA85" s="7">
        <f t="shared" si="209"/>
        <v>11113186</v>
      </c>
      <c r="AB85" s="7">
        <f t="shared" si="209"/>
        <v>20144226</v>
      </c>
      <c r="AC85" s="7">
        <f t="shared" si="209"/>
        <v>28587787</v>
      </c>
      <c r="AD85" s="7">
        <f t="shared" si="209"/>
        <v>36899704</v>
      </c>
      <c r="AE85" s="7">
        <f t="shared" si="209"/>
        <v>18004522</v>
      </c>
      <c r="AF85" s="7">
        <f t="shared" si="209"/>
        <v>38725293</v>
      </c>
      <c r="AG85" s="7">
        <f t="shared" si="209"/>
        <v>66261269</v>
      </c>
      <c r="AH85" s="7">
        <f t="shared" ref="AH85" si="210">+AH64+AH71+AH73+AH79+AH84</f>
        <v>76802141</v>
      </c>
      <c r="AI85" s="7">
        <f t="shared" ref="AI85:AN85" si="211">+AI64+AI71+AI73+AI79+AI84</f>
        <v>17273607</v>
      </c>
      <c r="AJ85" s="7">
        <f t="shared" si="211"/>
        <v>27463725</v>
      </c>
      <c r="AK85" s="7">
        <f t="shared" si="211"/>
        <v>44483370</v>
      </c>
      <c r="AL85" s="7">
        <f t="shared" si="211"/>
        <v>53274465</v>
      </c>
      <c r="AM85" s="7">
        <f t="shared" si="211"/>
        <v>17135246</v>
      </c>
      <c r="AN85" s="7">
        <f t="shared" si="211"/>
        <v>28413337</v>
      </c>
      <c r="AO85" s="7">
        <f t="shared" ref="AO85:AP85" si="212">+AO64+AO71+AO73+AO79+AO84</f>
        <v>48815401</v>
      </c>
      <c r="AP85" s="7">
        <f t="shared" si="212"/>
        <v>56861036</v>
      </c>
      <c r="AQ85" s="7">
        <f t="shared" ref="AQ85:AR85" si="213">+AQ64+AQ71+AQ73+AQ79+AQ84</f>
        <v>16650951</v>
      </c>
      <c r="AR85" s="7">
        <f t="shared" si="213"/>
        <v>33199274</v>
      </c>
      <c r="AS85" s="7">
        <f t="shared" ref="AS85:AT85" si="214">+AS64+AS71+AS73+AS79+AS84</f>
        <v>65220105</v>
      </c>
      <c r="AT85" s="7">
        <f t="shared" si="214"/>
        <v>75414290</v>
      </c>
      <c r="AU85" s="7">
        <f t="shared" ref="AU85" si="215">+AU64+AU71+AU73+AU79+AU84</f>
        <v>10542432</v>
      </c>
    </row>
    <row r="86" spans="1:47" x14ac:dyDescent="0.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row>
    <row r="87" spans="1:47" x14ac:dyDescent="0.3">
      <c r="A87" s="1" t="s">
        <v>38</v>
      </c>
      <c r="B87" s="4" t="str">
        <f t="shared" ref="B87:AG87" si="216">+IF(B85=B58,"ok","error")</f>
        <v>ok</v>
      </c>
      <c r="C87" s="4" t="str">
        <f t="shared" si="216"/>
        <v>ok</v>
      </c>
      <c r="D87" s="4" t="str">
        <f t="shared" si="216"/>
        <v>ok</v>
      </c>
      <c r="E87" s="4" t="str">
        <f t="shared" si="216"/>
        <v>ok</v>
      </c>
      <c r="F87" s="4" t="str">
        <f t="shared" si="216"/>
        <v>ok</v>
      </c>
      <c r="G87" s="4" t="str">
        <f t="shared" si="216"/>
        <v>ok</v>
      </c>
      <c r="H87" s="4" t="str">
        <f t="shared" si="216"/>
        <v>ok</v>
      </c>
      <c r="I87" s="4" t="str">
        <f t="shared" si="216"/>
        <v>ok</v>
      </c>
      <c r="J87" s="4" t="str">
        <f t="shared" si="216"/>
        <v>ok</v>
      </c>
      <c r="K87" s="4" t="str">
        <f t="shared" si="216"/>
        <v>ok</v>
      </c>
      <c r="L87" s="4" t="str">
        <f t="shared" si="216"/>
        <v>ok</v>
      </c>
      <c r="M87" s="4" t="str">
        <f t="shared" si="216"/>
        <v>ok</v>
      </c>
      <c r="N87" s="4" t="str">
        <f t="shared" si="216"/>
        <v>ok</v>
      </c>
      <c r="O87" s="4" t="str">
        <f t="shared" si="216"/>
        <v>ok</v>
      </c>
      <c r="P87" s="4" t="str">
        <f t="shared" si="216"/>
        <v>ok</v>
      </c>
      <c r="Q87" s="4" t="str">
        <f t="shared" si="216"/>
        <v>ok</v>
      </c>
      <c r="R87" s="4" t="str">
        <f t="shared" si="216"/>
        <v>ok</v>
      </c>
      <c r="S87" s="4" t="str">
        <f t="shared" si="216"/>
        <v>ok</v>
      </c>
      <c r="T87" s="4" t="str">
        <f t="shared" si="216"/>
        <v>ok</v>
      </c>
      <c r="U87" s="4" t="str">
        <f t="shared" si="216"/>
        <v>ok</v>
      </c>
      <c r="V87" s="4" t="str">
        <f t="shared" si="216"/>
        <v>ok</v>
      </c>
      <c r="W87" s="4" t="str">
        <f t="shared" si="216"/>
        <v>ok</v>
      </c>
      <c r="X87" s="4" t="str">
        <f t="shared" si="216"/>
        <v>ok</v>
      </c>
      <c r="Y87" s="4" t="str">
        <f t="shared" si="216"/>
        <v>ok</v>
      </c>
      <c r="Z87" s="4" t="str">
        <f t="shared" si="216"/>
        <v>ok</v>
      </c>
      <c r="AA87" s="4" t="str">
        <f t="shared" si="216"/>
        <v>ok</v>
      </c>
      <c r="AB87" s="4" t="str">
        <f t="shared" si="216"/>
        <v>ok</v>
      </c>
      <c r="AC87" s="4" t="str">
        <f t="shared" si="216"/>
        <v>ok</v>
      </c>
      <c r="AD87" s="4" t="str">
        <f t="shared" si="216"/>
        <v>ok</v>
      </c>
      <c r="AE87" s="4" t="str">
        <f t="shared" si="216"/>
        <v>ok</v>
      </c>
      <c r="AF87" s="4" t="str">
        <f t="shared" si="216"/>
        <v>ok</v>
      </c>
      <c r="AG87" s="4" t="str">
        <f t="shared" si="216"/>
        <v>ok</v>
      </c>
      <c r="AH87" s="4" t="str">
        <f t="shared" ref="AH87:AI87" si="217">+IF(AH85=AH58,"ok","error")</f>
        <v>ok</v>
      </c>
      <c r="AI87" s="4" t="str">
        <f t="shared" si="217"/>
        <v>ok</v>
      </c>
      <c r="AJ87" s="4" t="str">
        <f t="shared" ref="AJ87:AO87" si="218">+IF(AJ85=AJ58,"ok","error")</f>
        <v>ok</v>
      </c>
      <c r="AK87" s="4" t="str">
        <f t="shared" si="218"/>
        <v>ok</v>
      </c>
      <c r="AL87" s="4" t="str">
        <f t="shared" si="218"/>
        <v>ok</v>
      </c>
      <c r="AM87" s="4" t="str">
        <f t="shared" si="218"/>
        <v>ok</v>
      </c>
      <c r="AN87" s="4" t="str">
        <f t="shared" si="218"/>
        <v>ok</v>
      </c>
      <c r="AO87" s="4" t="str">
        <f t="shared" si="218"/>
        <v>ok</v>
      </c>
      <c r="AP87" s="4" t="str">
        <f t="shared" ref="AP87:AQ87" si="219">+IF(AP85=AP58,"ok","error")</f>
        <v>ok</v>
      </c>
      <c r="AQ87" s="4" t="str">
        <f t="shared" si="219"/>
        <v>ok</v>
      </c>
      <c r="AR87" s="4" t="str">
        <f t="shared" ref="AR87:AS87" si="220">+IF(AR85=AR58,"ok","error")</f>
        <v>ok</v>
      </c>
      <c r="AS87" s="4" t="str">
        <f t="shared" si="220"/>
        <v>ok</v>
      </c>
      <c r="AT87" s="4" t="str">
        <f t="shared" ref="AT87:AU87" si="221">+IF(AT85=AT58,"ok","error")</f>
        <v>ok</v>
      </c>
      <c r="AU87" s="4" t="str">
        <f t="shared" si="221"/>
        <v>ok</v>
      </c>
    </row>
    <row r="88" spans="1:47" x14ac:dyDescent="0.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row>
    <row r="89" spans="1:47" x14ac:dyDescent="0.3">
      <c r="A89" s="6" t="s">
        <v>79</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row>
    <row r="90" spans="1:47" x14ac:dyDescent="0.3">
      <c r="A90" s="1" t="s">
        <v>80</v>
      </c>
      <c r="B90" s="3">
        <v>4459564</v>
      </c>
      <c r="C90" s="3">
        <v>1016906</v>
      </c>
      <c r="D90" s="3">
        <v>2046101</v>
      </c>
      <c r="E90" s="3">
        <v>3093698</v>
      </c>
      <c r="F90" s="3">
        <v>5445125</v>
      </c>
      <c r="G90" s="3">
        <v>497773</v>
      </c>
      <c r="H90" s="3">
        <v>713730</v>
      </c>
      <c r="I90" s="3">
        <v>931397</v>
      </c>
      <c r="J90" s="3">
        <v>2451850</v>
      </c>
      <c r="K90" s="3">
        <v>219367</v>
      </c>
      <c r="L90" s="3">
        <v>440605</v>
      </c>
      <c r="M90" s="3">
        <v>661845</v>
      </c>
      <c r="N90" s="3">
        <v>3546299</v>
      </c>
      <c r="O90" s="3">
        <v>223615</v>
      </c>
      <c r="P90" s="3">
        <v>336310</v>
      </c>
      <c r="Q90" s="3">
        <v>506374</v>
      </c>
      <c r="R90" s="3">
        <v>3289824</v>
      </c>
      <c r="S90" s="3">
        <v>171770</v>
      </c>
      <c r="T90" s="3">
        <v>344910</v>
      </c>
      <c r="U90" s="3">
        <v>519436</v>
      </c>
      <c r="V90" s="3">
        <v>3021824</v>
      </c>
      <c r="W90" s="3">
        <v>177444</v>
      </c>
      <c r="X90" s="3">
        <v>356351</v>
      </c>
      <c r="Y90" s="3">
        <v>535157</v>
      </c>
      <c r="Z90" s="3">
        <v>4567516</v>
      </c>
      <c r="AA90" s="3">
        <v>182444</v>
      </c>
      <c r="AB90" s="3">
        <v>367073</v>
      </c>
      <c r="AC90" s="3">
        <v>553621</v>
      </c>
      <c r="AD90" s="3">
        <v>3484641</v>
      </c>
      <c r="AE90" s="3">
        <v>196311</v>
      </c>
      <c r="AF90" s="3">
        <v>399818</v>
      </c>
      <c r="AG90" s="3">
        <v>610740</v>
      </c>
      <c r="AH90" s="3">
        <f t="shared" ref="AH90:AM90" si="222">-AH81</f>
        <v>3977537</v>
      </c>
      <c r="AI90" s="3">
        <f t="shared" si="222"/>
        <v>221022</v>
      </c>
      <c r="AJ90" s="3">
        <f t="shared" si="222"/>
        <v>445345</v>
      </c>
      <c r="AK90" s="3">
        <f t="shared" si="222"/>
        <v>670531</v>
      </c>
      <c r="AL90" s="3">
        <f t="shared" si="222"/>
        <v>4380661</v>
      </c>
      <c r="AM90" s="3">
        <f t="shared" si="222"/>
        <v>233594</v>
      </c>
      <c r="AN90" s="3">
        <f t="shared" ref="AN90:AO90" si="223">-AN81</f>
        <v>472865</v>
      </c>
      <c r="AO90" s="3">
        <f t="shared" si="223"/>
        <v>716568</v>
      </c>
      <c r="AP90" s="3">
        <f t="shared" ref="AP90:AQ90" si="224">-AP81</f>
        <v>4071726</v>
      </c>
      <c r="AQ90" s="3">
        <f t="shared" si="224"/>
        <v>254001</v>
      </c>
      <c r="AR90" s="3">
        <f t="shared" ref="AR90:AS90" si="225">-AR81</f>
        <v>511520</v>
      </c>
      <c r="AS90" s="3">
        <f t="shared" si="225"/>
        <v>770169</v>
      </c>
      <c r="AT90" s="3">
        <f t="shared" ref="AT90:AU90" si="226">-AT81</f>
        <v>4417453</v>
      </c>
      <c r="AU90" s="3">
        <f t="shared" si="226"/>
        <v>261477</v>
      </c>
    </row>
    <row r="91" spans="1:47" x14ac:dyDescent="0.3">
      <c r="A91" s="1" t="s">
        <v>81</v>
      </c>
      <c r="B91" s="3">
        <v>88736</v>
      </c>
      <c r="C91" s="3">
        <v>18591</v>
      </c>
      <c r="D91" s="3">
        <v>44093</v>
      </c>
      <c r="E91" s="3">
        <v>58244</v>
      </c>
      <c r="F91" s="3">
        <v>80666</v>
      </c>
      <c r="G91" s="3">
        <v>17692</v>
      </c>
      <c r="H91" s="3">
        <v>33286</v>
      </c>
      <c r="I91" s="3">
        <v>62700</v>
      </c>
      <c r="J91" s="3">
        <v>61336</v>
      </c>
      <c r="K91" s="3">
        <v>14468</v>
      </c>
      <c r="L91" s="3">
        <v>29898</v>
      </c>
      <c r="M91" s="3">
        <v>45979</v>
      </c>
      <c r="N91" s="3">
        <v>60623</v>
      </c>
      <c r="O91" s="3">
        <v>14748</v>
      </c>
      <c r="P91" s="3">
        <v>29570</v>
      </c>
      <c r="Q91" s="3">
        <v>44512</v>
      </c>
      <c r="R91" s="3">
        <v>78994</v>
      </c>
      <c r="S91" s="3">
        <v>12509</v>
      </c>
      <c r="T91" s="3">
        <v>16728</v>
      </c>
      <c r="U91" s="3">
        <v>37610</v>
      </c>
      <c r="V91" s="3">
        <v>36641</v>
      </c>
      <c r="W91" s="3">
        <v>13701</v>
      </c>
      <c r="X91" s="3">
        <v>22298</v>
      </c>
      <c r="Y91" s="3">
        <v>30904</v>
      </c>
      <c r="Z91" s="3">
        <v>34449</v>
      </c>
      <c r="AA91" s="3">
        <v>8779</v>
      </c>
      <c r="AB91" s="3">
        <v>53588</v>
      </c>
      <c r="AC91" s="3">
        <v>66159</v>
      </c>
      <c r="AD91" s="3">
        <v>79209</v>
      </c>
      <c r="AE91" s="3">
        <v>17263</v>
      </c>
      <c r="AF91" s="3">
        <v>27383</v>
      </c>
      <c r="AG91" s="3">
        <v>37532</v>
      </c>
      <c r="AH91" s="3">
        <v>48140</v>
      </c>
      <c r="AI91" s="3">
        <v>10637</v>
      </c>
      <c r="AJ91" s="3">
        <v>24929</v>
      </c>
      <c r="AK91" s="3">
        <v>35788</v>
      </c>
      <c r="AL91" s="3">
        <v>46731</v>
      </c>
      <c r="AM91" s="3">
        <v>15941</v>
      </c>
      <c r="AN91" s="3">
        <f>22952</f>
        <v>22952</v>
      </c>
      <c r="AO91" s="3">
        <v>37460</v>
      </c>
      <c r="AP91" s="3">
        <v>45027</v>
      </c>
      <c r="AQ91" s="3">
        <v>12741</v>
      </c>
      <c r="AR91" s="3">
        <v>32887</v>
      </c>
      <c r="AS91" s="3">
        <v>48595</v>
      </c>
      <c r="AT91" s="3">
        <f>62664</f>
        <v>62664</v>
      </c>
      <c r="AU91" s="3">
        <v>7985</v>
      </c>
    </row>
    <row r="92" spans="1:47" x14ac:dyDescent="0.3">
      <c r="A92" s="1" t="s">
        <v>82</v>
      </c>
      <c r="B92" s="3">
        <v>15193</v>
      </c>
      <c r="C92" s="3">
        <v>2105</v>
      </c>
      <c r="D92" s="3">
        <v>4336</v>
      </c>
      <c r="E92" s="3">
        <v>6932</v>
      </c>
      <c r="F92" s="3">
        <v>8967</v>
      </c>
      <c r="G92" s="3">
        <v>7</v>
      </c>
      <c r="H92" s="3">
        <v>3915</v>
      </c>
      <c r="I92" s="3">
        <v>5907</v>
      </c>
      <c r="J92" s="3">
        <v>7899</v>
      </c>
      <c r="K92" s="3">
        <v>1991</v>
      </c>
      <c r="L92" s="3">
        <v>4272</v>
      </c>
      <c r="M92" s="3">
        <v>6403</v>
      </c>
      <c r="N92" s="3">
        <v>8581</v>
      </c>
      <c r="O92" s="3">
        <v>1951</v>
      </c>
      <c r="P92" s="3">
        <v>4428</v>
      </c>
      <c r="Q92" s="3">
        <v>6630</v>
      </c>
      <c r="R92" s="3">
        <v>8838</v>
      </c>
      <c r="S92" s="3">
        <v>2205</v>
      </c>
      <c r="T92" s="3">
        <v>4422</v>
      </c>
      <c r="U92" s="3">
        <v>6661</v>
      </c>
      <c r="V92" s="3">
        <v>9059</v>
      </c>
      <c r="W92" s="3">
        <v>2295</v>
      </c>
      <c r="X92" s="3">
        <v>4590</v>
      </c>
      <c r="Y92" s="3">
        <v>6885</v>
      </c>
      <c r="Z92" s="3">
        <v>9306</v>
      </c>
      <c r="AA92" s="3">
        <v>1862</v>
      </c>
      <c r="AB92" s="3">
        <v>3722</v>
      </c>
      <c r="AC92" s="3">
        <v>5582</v>
      </c>
      <c r="AD92" s="3">
        <v>7749</v>
      </c>
      <c r="AE92" s="3">
        <v>2148</v>
      </c>
      <c r="AF92" s="3">
        <v>4320</v>
      </c>
      <c r="AG92" s="3">
        <v>6656</v>
      </c>
      <c r="AH92" s="3">
        <v>8947</v>
      </c>
      <c r="AI92" s="3">
        <v>2243</v>
      </c>
      <c r="AJ92" s="3">
        <v>4529</v>
      </c>
      <c r="AK92" s="3">
        <v>6854</v>
      </c>
      <c r="AL92" s="3">
        <v>9135</v>
      </c>
      <c r="AM92" s="3">
        <v>2326</v>
      </c>
      <c r="AN92" s="3">
        <f>4366</f>
        <v>4366</v>
      </c>
      <c r="AO92" s="3">
        <f>6406</f>
        <v>6406</v>
      </c>
      <c r="AP92" s="3">
        <v>8446</v>
      </c>
      <c r="AQ92" s="3">
        <v>2040</v>
      </c>
      <c r="AR92" s="3">
        <v>4383</v>
      </c>
      <c r="AS92" s="3">
        <v>6583</v>
      </c>
      <c r="AT92" s="3">
        <f>12652</f>
        <v>12652</v>
      </c>
      <c r="AU92" s="3">
        <v>2203</v>
      </c>
    </row>
    <row r="93" spans="1:47" x14ac:dyDescent="0.3">
      <c r="A93" s="1" t="s">
        <v>83</v>
      </c>
      <c r="B93" s="3">
        <v>1876</v>
      </c>
      <c r="C93" s="3">
        <v>84</v>
      </c>
      <c r="D93" s="3">
        <v>556</v>
      </c>
      <c r="E93" s="3">
        <v>776</v>
      </c>
      <c r="F93" s="3">
        <v>1640</v>
      </c>
      <c r="G93" s="3">
        <v>0</v>
      </c>
      <c r="H93" s="3">
        <v>0</v>
      </c>
      <c r="I93" s="3">
        <v>8880</v>
      </c>
      <c r="J93" s="3">
        <v>11896</v>
      </c>
      <c r="K93" s="3">
        <v>4765</v>
      </c>
      <c r="L93" s="3">
        <v>16366</v>
      </c>
      <c r="M93" s="3">
        <v>21162</v>
      </c>
      <c r="N93" s="3">
        <v>21050</v>
      </c>
      <c r="O93" s="3">
        <v>5319</v>
      </c>
      <c r="P93" s="3">
        <v>10748</v>
      </c>
      <c r="Q93" s="3">
        <v>16205</v>
      </c>
      <c r="R93" s="3">
        <v>21662</v>
      </c>
      <c r="S93" s="3">
        <v>5457</v>
      </c>
      <c r="T93" s="3">
        <v>10777</v>
      </c>
      <c r="U93" s="3">
        <v>16172</v>
      </c>
      <c r="V93" s="3">
        <v>23496</v>
      </c>
      <c r="W93" s="3">
        <v>5520</v>
      </c>
      <c r="X93" s="3">
        <v>10751</v>
      </c>
      <c r="Y93" s="3">
        <v>16124</v>
      </c>
      <c r="Z93" s="3">
        <v>22559</v>
      </c>
      <c r="AA93" s="3">
        <v>9705</v>
      </c>
      <c r="AB93" s="3">
        <v>17845</v>
      </c>
      <c r="AC93" s="3">
        <v>29731</v>
      </c>
      <c r="AD93" s="3">
        <v>41189</v>
      </c>
      <c r="AE93" s="3">
        <v>9189</v>
      </c>
      <c r="AF93" s="3">
        <v>18378</v>
      </c>
      <c r="AG93" s="3">
        <v>28263</v>
      </c>
      <c r="AH93" s="3">
        <v>46917</v>
      </c>
      <c r="AI93" s="3">
        <v>10676</v>
      </c>
      <c r="AJ93" s="3">
        <v>19563</v>
      </c>
      <c r="AK93" s="3">
        <v>29607</v>
      </c>
      <c r="AL93" s="3">
        <v>39733</v>
      </c>
      <c r="AM93" s="3">
        <v>9957</v>
      </c>
      <c r="AN93" s="3">
        <f>24378</f>
        <v>24378</v>
      </c>
      <c r="AO93" s="3">
        <f>36399</f>
        <v>36399</v>
      </c>
      <c r="AP93" s="3">
        <v>48419</v>
      </c>
      <c r="AQ93" s="3">
        <v>10284</v>
      </c>
      <c r="AR93" s="3">
        <v>32603</v>
      </c>
      <c r="AS93" s="3">
        <v>48236</v>
      </c>
      <c r="AT93" s="3">
        <f>63217</f>
        <v>63217</v>
      </c>
      <c r="AU93" s="3">
        <v>15950</v>
      </c>
    </row>
    <row r="94" spans="1:47" x14ac:dyDescent="0.3">
      <c r="A94" s="1" t="s">
        <v>84</v>
      </c>
      <c r="B94" s="3">
        <v>10921</v>
      </c>
      <c r="C94" s="3">
        <v>2773</v>
      </c>
      <c r="D94" s="3">
        <v>5613</v>
      </c>
      <c r="E94" s="3">
        <v>8462</v>
      </c>
      <c r="F94" s="3">
        <v>11359</v>
      </c>
      <c r="G94" s="3">
        <v>2315</v>
      </c>
      <c r="H94" s="3">
        <v>5862</v>
      </c>
      <c r="I94" s="3">
        <v>8760</v>
      </c>
      <c r="J94" s="3">
        <v>11817</v>
      </c>
      <c r="K94" s="3">
        <v>2971</v>
      </c>
      <c r="L94" s="3">
        <v>5993</v>
      </c>
      <c r="M94" s="3">
        <v>8989</v>
      </c>
      <c r="N94" s="3">
        <v>13809</v>
      </c>
      <c r="O94" s="3">
        <v>4833</v>
      </c>
      <c r="P94" s="3">
        <v>9696</v>
      </c>
      <c r="Q94" s="3">
        <v>14594</v>
      </c>
      <c r="R94" s="3">
        <v>19533</v>
      </c>
      <c r="S94" s="3">
        <v>4960</v>
      </c>
      <c r="T94" s="3">
        <v>9943</v>
      </c>
      <c r="U94" s="3">
        <v>14972</v>
      </c>
      <c r="V94" s="3">
        <v>20032</v>
      </c>
      <c r="W94" s="3">
        <v>5103</v>
      </c>
      <c r="X94" s="3">
        <v>10261</v>
      </c>
      <c r="Y94" s="3">
        <v>15424</v>
      </c>
      <c r="Z94" s="3">
        <v>20615</v>
      </c>
      <c r="AA94" s="3">
        <v>5247</v>
      </c>
      <c r="AB94" s="3">
        <v>10554</v>
      </c>
      <c r="AC94" s="3">
        <v>15917</v>
      </c>
      <c r="AD94" s="3">
        <v>21382</v>
      </c>
      <c r="AE94" s="3">
        <v>10267</v>
      </c>
      <c r="AF94" s="3">
        <v>16049</v>
      </c>
      <c r="AG94" s="3">
        <v>17411</v>
      </c>
      <c r="AH94" s="3">
        <v>23622</v>
      </c>
      <c r="AI94" s="3">
        <v>6349</v>
      </c>
      <c r="AJ94" s="3">
        <v>12791</v>
      </c>
      <c r="AK94" s="3">
        <v>19286</v>
      </c>
      <c r="AL94" s="3">
        <v>25831</v>
      </c>
      <c r="AM94" s="3">
        <v>6621</v>
      </c>
      <c r="AN94" s="3">
        <f>13323</f>
        <v>13323</v>
      </c>
      <c r="AO94" s="3">
        <f>20095</f>
        <v>20095</v>
      </c>
      <c r="AP94" s="3">
        <v>26938</v>
      </c>
      <c r="AQ94" s="3">
        <v>6924</v>
      </c>
      <c r="AR94" s="3">
        <v>13949</v>
      </c>
      <c r="AS94" s="3">
        <v>21016</v>
      </c>
      <c r="AT94" s="3">
        <f>28138</f>
        <v>28138</v>
      </c>
      <c r="AU94" s="3">
        <v>7152</v>
      </c>
    </row>
    <row r="95" spans="1:47" x14ac:dyDescent="0.3">
      <c r="A95" s="1" t="s">
        <v>85</v>
      </c>
      <c r="B95" s="3">
        <v>25017</v>
      </c>
      <c r="C95" s="3">
        <v>5337</v>
      </c>
      <c r="D95" s="3">
        <v>13108</v>
      </c>
      <c r="E95" s="3">
        <v>18527</v>
      </c>
      <c r="F95" s="3">
        <v>21397</v>
      </c>
      <c r="G95" s="3">
        <v>5327</v>
      </c>
      <c r="H95" s="3">
        <v>10745</v>
      </c>
      <c r="I95" s="3">
        <v>17917</v>
      </c>
      <c r="J95" s="3">
        <v>26097</v>
      </c>
      <c r="K95" s="3">
        <v>5040</v>
      </c>
      <c r="L95" s="3">
        <v>14582</v>
      </c>
      <c r="M95" s="3">
        <v>21556</v>
      </c>
      <c r="N95" s="3">
        <v>27305</v>
      </c>
      <c r="O95" s="3">
        <v>5460</v>
      </c>
      <c r="P95" s="3">
        <v>14908</v>
      </c>
      <c r="Q95" s="3">
        <v>20419</v>
      </c>
      <c r="R95" s="3">
        <v>26429</v>
      </c>
      <c r="S95" s="3">
        <v>5919</v>
      </c>
      <c r="T95" s="3">
        <v>15652</v>
      </c>
      <c r="U95" s="3">
        <v>21791</v>
      </c>
      <c r="V95" s="3">
        <v>30492</v>
      </c>
      <c r="W95" s="3">
        <v>5577</v>
      </c>
      <c r="X95" s="3">
        <v>13236</v>
      </c>
      <c r="Y95" s="3">
        <v>21724</v>
      </c>
      <c r="Z95" s="3">
        <v>26043</v>
      </c>
      <c r="AA95" s="3">
        <v>6930</v>
      </c>
      <c r="AB95" s="3">
        <v>16102</v>
      </c>
      <c r="AC95" s="3">
        <v>22117</v>
      </c>
      <c r="AD95" s="3">
        <v>32312</v>
      </c>
      <c r="AE95" s="3">
        <v>7872</v>
      </c>
      <c r="AF95" s="3">
        <v>15744</v>
      </c>
      <c r="AG95" s="3">
        <v>23683</v>
      </c>
      <c r="AH95" s="3">
        <v>33734</v>
      </c>
      <c r="AI95" s="3">
        <v>7635</v>
      </c>
      <c r="AJ95" s="3">
        <v>18354</v>
      </c>
      <c r="AK95" s="3">
        <v>31043</v>
      </c>
      <c r="AL95" s="3">
        <v>41180</v>
      </c>
      <c r="AM95" s="3">
        <v>10350</v>
      </c>
      <c r="AN95" s="3">
        <f>21686</f>
        <v>21686</v>
      </c>
      <c r="AO95" s="3">
        <f>32654</f>
        <v>32654</v>
      </c>
      <c r="AP95" s="3">
        <v>41378</v>
      </c>
      <c r="AQ95" s="3">
        <v>6501</v>
      </c>
      <c r="AR95" s="3">
        <v>25107</v>
      </c>
      <c r="AS95" s="3">
        <v>34602</v>
      </c>
      <c r="AT95" s="3">
        <f>43745</f>
        <v>43745</v>
      </c>
      <c r="AU95" s="3">
        <v>10090</v>
      </c>
    </row>
    <row r="96" spans="1:47" x14ac:dyDescent="0.3">
      <c r="A96" s="1" t="s">
        <v>86</v>
      </c>
      <c r="B96" s="3">
        <v>6931</v>
      </c>
      <c r="C96" s="3">
        <v>1504</v>
      </c>
      <c r="D96" s="3">
        <v>5741</v>
      </c>
      <c r="E96" s="3">
        <v>7280</v>
      </c>
      <c r="F96" s="3">
        <v>8842</v>
      </c>
      <c r="G96" s="3">
        <v>1571</v>
      </c>
      <c r="H96" s="3">
        <v>6003</v>
      </c>
      <c r="I96" s="3">
        <v>7605</v>
      </c>
      <c r="J96" s="3">
        <v>1693</v>
      </c>
      <c r="K96" s="3">
        <v>2351</v>
      </c>
      <c r="L96" s="3">
        <v>4692</v>
      </c>
      <c r="M96" s="3">
        <v>7097</v>
      </c>
      <c r="N96" s="3">
        <v>9513</v>
      </c>
      <c r="O96" s="3">
        <v>2528</v>
      </c>
      <c r="P96" s="3">
        <v>4775</v>
      </c>
      <c r="Q96" s="3">
        <v>7328</v>
      </c>
      <c r="R96" s="3">
        <v>9749</v>
      </c>
      <c r="S96" s="3">
        <v>2447</v>
      </c>
      <c r="T96" s="3">
        <v>4876</v>
      </c>
      <c r="U96" s="3">
        <v>7326</v>
      </c>
      <c r="V96" s="3">
        <v>9774</v>
      </c>
      <c r="W96" s="3">
        <v>2482</v>
      </c>
      <c r="X96" s="3">
        <v>4972</v>
      </c>
      <c r="Y96" s="3">
        <v>7487</v>
      </c>
      <c r="Z96" s="3">
        <v>9999</v>
      </c>
      <c r="AA96" s="3">
        <v>2552</v>
      </c>
      <c r="AB96" s="3">
        <v>5126</v>
      </c>
      <c r="AC96" s="3">
        <v>7719</v>
      </c>
      <c r="AD96" s="3">
        <v>10353</v>
      </c>
      <c r="AE96" s="3">
        <v>3067</v>
      </c>
      <c r="AF96" s="3">
        <v>6199</v>
      </c>
      <c r="AG96" s="3">
        <v>9397</v>
      </c>
      <c r="AH96" s="3">
        <v>12666</v>
      </c>
      <c r="AI96" s="3">
        <v>4391</v>
      </c>
      <c r="AJ96" s="3">
        <v>10139</v>
      </c>
      <c r="AK96" s="3">
        <v>15916</v>
      </c>
      <c r="AL96" s="3">
        <v>18280</v>
      </c>
      <c r="AM96" s="3">
        <v>3541</v>
      </c>
      <c r="AN96" s="3">
        <f>9875</f>
        <v>9875</v>
      </c>
      <c r="AO96" s="3">
        <f>12835</f>
        <v>12835</v>
      </c>
      <c r="AP96" s="3">
        <v>20077</v>
      </c>
      <c r="AQ96" s="3">
        <v>2525</v>
      </c>
      <c r="AR96" s="3">
        <f>10225</f>
        <v>10225</v>
      </c>
      <c r="AS96" s="3">
        <v>13022</v>
      </c>
      <c r="AT96" s="3">
        <f>26316</f>
        <v>26316</v>
      </c>
      <c r="AU96" s="3">
        <v>2599</v>
      </c>
    </row>
    <row r="97" spans="1:47" x14ac:dyDescent="0.3">
      <c r="A97" s="1" t="s">
        <v>87</v>
      </c>
      <c r="B97" s="3">
        <v>4166</v>
      </c>
      <c r="C97" s="3">
        <v>1317</v>
      </c>
      <c r="D97" s="3">
        <f>1317+1757</f>
        <v>3074</v>
      </c>
      <c r="E97" s="3">
        <v>3074</v>
      </c>
      <c r="F97" s="3">
        <v>3074</v>
      </c>
      <c r="G97" s="3">
        <v>0</v>
      </c>
      <c r="H97" s="3">
        <v>2434</v>
      </c>
      <c r="I97" s="3">
        <v>1837</v>
      </c>
      <c r="J97" s="3">
        <v>2345</v>
      </c>
      <c r="K97" s="3">
        <v>0</v>
      </c>
      <c r="L97" s="3">
        <v>0</v>
      </c>
      <c r="M97" s="3">
        <v>0</v>
      </c>
      <c r="N97" s="3">
        <v>2737</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979</v>
      </c>
      <c r="AI97" s="3">
        <v>0</v>
      </c>
      <c r="AJ97" s="3">
        <v>0</v>
      </c>
      <c r="AK97" s="3">
        <v>0</v>
      </c>
      <c r="AL97" s="3">
        <v>1809</v>
      </c>
      <c r="AM97" s="3">
        <v>0</v>
      </c>
      <c r="AN97" s="3">
        <f>11608</f>
        <v>11608</v>
      </c>
      <c r="AO97" s="3">
        <f>11608</f>
        <v>11608</v>
      </c>
      <c r="AP97" s="3">
        <v>11608</v>
      </c>
      <c r="AQ97" s="3">
        <v>0</v>
      </c>
      <c r="AR97" s="3">
        <f>1400</f>
        <v>1400</v>
      </c>
      <c r="AS97" s="3">
        <v>1400</v>
      </c>
      <c r="AT97" s="3">
        <f>1400</f>
        <v>1400</v>
      </c>
      <c r="AU97" s="3">
        <v>0</v>
      </c>
    </row>
    <row r="98" spans="1:47" x14ac:dyDescent="0.3">
      <c r="A98" s="1" t="s">
        <v>88</v>
      </c>
      <c r="B98" s="3">
        <v>1182</v>
      </c>
      <c r="C98" s="3">
        <v>0</v>
      </c>
      <c r="D98" s="3">
        <v>0</v>
      </c>
      <c r="E98" s="3">
        <v>1126</v>
      </c>
      <c r="F98" s="3">
        <v>1754</v>
      </c>
      <c r="G98" s="3">
        <v>0</v>
      </c>
      <c r="H98" s="3">
        <v>492</v>
      </c>
      <c r="I98" s="3">
        <v>622</v>
      </c>
      <c r="J98" s="3">
        <v>272</v>
      </c>
      <c r="K98" s="3">
        <v>0</v>
      </c>
      <c r="L98" s="3">
        <v>50</v>
      </c>
      <c r="M98" s="3">
        <v>509</v>
      </c>
      <c r="N98" s="3">
        <v>528</v>
      </c>
      <c r="O98" s="3">
        <v>0</v>
      </c>
      <c r="P98" s="3">
        <v>0</v>
      </c>
      <c r="Q98" s="3">
        <v>0</v>
      </c>
      <c r="R98" s="3">
        <v>0</v>
      </c>
      <c r="S98" s="3">
        <v>0</v>
      </c>
      <c r="T98" s="3">
        <v>429</v>
      </c>
      <c r="U98" s="3">
        <v>429</v>
      </c>
      <c r="V98" s="3">
        <v>760</v>
      </c>
      <c r="W98" s="3">
        <v>11</v>
      </c>
      <c r="X98" s="3">
        <v>11</v>
      </c>
      <c r="Y98" s="3">
        <v>11</v>
      </c>
      <c r="Z98" s="3">
        <v>61</v>
      </c>
      <c r="AA98" s="3">
        <v>0</v>
      </c>
      <c r="AB98" s="3">
        <v>882</v>
      </c>
      <c r="AC98" s="3">
        <v>11212</v>
      </c>
      <c r="AD98" s="3">
        <v>1557</v>
      </c>
      <c r="AE98" s="3">
        <v>0</v>
      </c>
      <c r="AF98" s="3">
        <v>0</v>
      </c>
      <c r="AG98" s="3">
        <v>0</v>
      </c>
      <c r="AH98" s="3">
        <v>0</v>
      </c>
      <c r="AI98" s="3">
        <v>0</v>
      </c>
      <c r="AJ98" s="3">
        <v>0</v>
      </c>
      <c r="AK98" s="3">
        <v>2276</v>
      </c>
      <c r="AL98" s="3">
        <v>2547</v>
      </c>
      <c r="AM98" s="3">
        <v>7</v>
      </c>
      <c r="AN98" s="3">
        <v>7</v>
      </c>
      <c r="AO98" s="3">
        <v>7</v>
      </c>
      <c r="AP98" s="3">
        <v>7</v>
      </c>
      <c r="AQ98" s="3">
        <v>0</v>
      </c>
      <c r="AR98" s="3">
        <v>0</v>
      </c>
      <c r="AS98" s="3">
        <v>60</v>
      </c>
      <c r="AT98" s="3">
        <v>0</v>
      </c>
      <c r="AU98" s="3">
        <v>0</v>
      </c>
    </row>
    <row r="99" spans="1:47" x14ac:dyDescent="0.3">
      <c r="A99" s="1" t="s">
        <v>89</v>
      </c>
      <c r="B99" s="3">
        <v>0</v>
      </c>
      <c r="C99" s="3">
        <v>0</v>
      </c>
      <c r="D99" s="3">
        <v>0</v>
      </c>
      <c r="E99" s="3">
        <v>0</v>
      </c>
      <c r="F99" s="3">
        <v>0</v>
      </c>
      <c r="G99" s="3">
        <v>0</v>
      </c>
      <c r="H99" s="3">
        <v>0</v>
      </c>
      <c r="I99" s="3">
        <v>0</v>
      </c>
      <c r="J99" s="3">
        <v>0</v>
      </c>
      <c r="K99" s="3">
        <v>14176</v>
      </c>
      <c r="L99" s="3">
        <v>28388</v>
      </c>
      <c r="M99" s="3">
        <v>42643</v>
      </c>
      <c r="N99" s="3">
        <v>56952</v>
      </c>
      <c r="O99" s="3">
        <v>14408</v>
      </c>
      <c r="P99" s="3">
        <v>28896</v>
      </c>
      <c r="Q99" s="3">
        <v>43519</v>
      </c>
      <c r="R99" s="3">
        <v>56284</v>
      </c>
      <c r="S99" s="3">
        <v>12133</v>
      </c>
      <c r="T99" s="3">
        <v>23703</v>
      </c>
      <c r="U99" s="3">
        <v>35699</v>
      </c>
      <c r="V99" s="3">
        <v>47779</v>
      </c>
      <c r="W99" s="3">
        <v>12200</v>
      </c>
      <c r="X99" s="3">
        <v>24494</v>
      </c>
      <c r="Y99" s="3">
        <v>36775</v>
      </c>
      <c r="Z99" s="3">
        <v>49194</v>
      </c>
      <c r="AA99" s="3">
        <v>12477</v>
      </c>
      <c r="AB99" s="3">
        <v>25185</v>
      </c>
      <c r="AC99" s="3">
        <v>38019</v>
      </c>
      <c r="AD99" s="3">
        <v>51176</v>
      </c>
      <c r="AE99" s="3">
        <v>13465</v>
      </c>
      <c r="AF99" s="3">
        <v>27478</v>
      </c>
      <c r="AG99" s="3">
        <v>41973</v>
      </c>
      <c r="AH99" s="3">
        <v>56900</v>
      </c>
      <c r="AI99" s="3">
        <v>15181</v>
      </c>
      <c r="AJ99" s="3">
        <v>30607</v>
      </c>
      <c r="AK99" s="3">
        <v>46113</v>
      </c>
      <c r="AL99" s="3">
        <v>61754</v>
      </c>
      <c r="AM99" s="3">
        <v>15754</v>
      </c>
      <c r="AN99" s="3">
        <f>31818</f>
        <v>31818</v>
      </c>
      <c r="AO99" s="3">
        <f>47919</f>
        <v>47919</v>
      </c>
      <c r="AP99" s="3">
        <v>58893</v>
      </c>
      <c r="AQ99" s="3">
        <v>16485</v>
      </c>
      <c r="AR99" s="3">
        <v>33216</v>
      </c>
      <c r="AS99" s="3">
        <v>55681</v>
      </c>
      <c r="AT99" s="3">
        <v>72670</v>
      </c>
      <c r="AU99" s="3">
        <v>17012</v>
      </c>
    </row>
    <row r="100" spans="1:47" x14ac:dyDescent="0.3">
      <c r="A100" s="1" t="s">
        <v>90</v>
      </c>
      <c r="B100" s="3">
        <f>24627+1263+172+23069</f>
        <v>49131</v>
      </c>
      <c r="C100" s="3">
        <f>245+590</f>
        <v>835</v>
      </c>
      <c r="D100" s="3">
        <f>245+893+245</f>
        <v>1383</v>
      </c>
      <c r="E100" s="3">
        <f>245+1138</f>
        <v>1383</v>
      </c>
      <c r="F100" s="3">
        <f>769+245+1138</f>
        <v>2152</v>
      </c>
      <c r="G100" s="3">
        <f>673+139</f>
        <v>812</v>
      </c>
      <c r="H100" s="3">
        <f>823+486+11872+12999</f>
        <v>26180</v>
      </c>
      <c r="I100" s="3">
        <f>1716+486+11767</f>
        <v>13969</v>
      </c>
      <c r="J100" s="3">
        <f>1716+486+12424</f>
        <v>14626</v>
      </c>
      <c r="K100" s="3">
        <v>927</v>
      </c>
      <c r="L100" s="3">
        <f>497+928+2737</f>
        <v>4162</v>
      </c>
      <c r="M100" s="3">
        <f>497+928+2756</f>
        <v>4181</v>
      </c>
      <c r="N100" s="3">
        <f>5012+928+497</f>
        <v>6437</v>
      </c>
      <c r="O100" s="3">
        <v>472</v>
      </c>
      <c r="P100" s="3">
        <f>944+1809+488</f>
        <v>3241</v>
      </c>
      <c r="Q100" s="3">
        <f>1421+1809+488</f>
        <v>3718</v>
      </c>
      <c r="R100" s="3">
        <v>11447</v>
      </c>
      <c r="S100" s="3">
        <v>0</v>
      </c>
      <c r="T100" s="3">
        <f>656+476+590+369</f>
        <v>2091</v>
      </c>
      <c r="U100" s="3">
        <f>369+590+477+1299</f>
        <v>2735</v>
      </c>
      <c r="V100" s="3">
        <f>1847+476+1321+369+5420</f>
        <v>9433</v>
      </c>
      <c r="W100" s="3">
        <f>1063--1549</f>
        <v>2612</v>
      </c>
      <c r="X100" s="3">
        <f>1062+1207+476</f>
        <v>2745</v>
      </c>
      <c r="Y100" s="3">
        <f>1062+1903+476</f>
        <v>3441</v>
      </c>
      <c r="Z100" s="3">
        <f>2428+476</f>
        <v>2904</v>
      </c>
      <c r="AA100" s="3">
        <f>706--100</f>
        <v>806</v>
      </c>
      <c r="AB100" s="3">
        <f>1990+1240+1309+14350</f>
        <v>18889</v>
      </c>
      <c r="AC100" s="3">
        <f>14350+2625+1970+73994</f>
        <v>92939</v>
      </c>
      <c r="AD100" s="3">
        <f>76301+2174+2626+50277</f>
        <v>131378</v>
      </c>
      <c r="AE100" s="3">
        <f>580+185</f>
        <v>765</v>
      </c>
      <c r="AF100" s="3">
        <f>1159+185--1310</f>
        <v>2654</v>
      </c>
      <c r="AG100" s="3">
        <f>6386+385+1310</f>
        <v>8081</v>
      </c>
      <c r="AH100" s="3">
        <f>4649+2829</f>
        <v>7478</v>
      </c>
      <c r="AI100" s="3">
        <v>657</v>
      </c>
      <c r="AJ100" s="3">
        <f>1313+1809</f>
        <v>3122</v>
      </c>
      <c r="AK100" s="3">
        <f>1970+424+1809</f>
        <v>4203</v>
      </c>
      <c r="AL100" s="3">
        <f>13867+2173+424</f>
        <v>16464</v>
      </c>
      <c r="AM100" s="3">
        <v>0</v>
      </c>
      <c r="AN100" s="3">
        <f>22207+219+1892+827+2630</f>
        <v>27775</v>
      </c>
      <c r="AO100" s="3">
        <f>22207+442+1892+827+3939</f>
        <v>29307</v>
      </c>
      <c r="AP100" s="3">
        <f>22207+442+1892+827+7+3939-7</f>
        <v>29307</v>
      </c>
      <c r="AQ100" s="3">
        <v>1505</v>
      </c>
      <c r="AR100" s="3">
        <f>1391+228+1809+911+60</f>
        <v>4399</v>
      </c>
      <c r="AS100" s="3">
        <f>1391+462+1809+911+60-1400+1400-60</f>
        <v>4573</v>
      </c>
      <c r="AT100" s="3">
        <f>4243+462+1809+911+575</f>
        <v>8000</v>
      </c>
      <c r="AU100" s="3">
        <f>2242+900</f>
        <v>3142</v>
      </c>
    </row>
    <row r="101" spans="1:47" x14ac:dyDescent="0.3">
      <c r="A101" s="1" t="s">
        <v>91</v>
      </c>
      <c r="B101" s="3">
        <v>10768</v>
      </c>
      <c r="C101" s="3">
        <v>3686</v>
      </c>
      <c r="D101" s="3">
        <v>4932</v>
      </c>
      <c r="E101" s="3">
        <v>7438</v>
      </c>
      <c r="F101" s="3">
        <v>11261</v>
      </c>
      <c r="G101" s="3">
        <v>3860</v>
      </c>
      <c r="H101" s="3">
        <v>5809</v>
      </c>
      <c r="I101" s="3">
        <v>7771</v>
      </c>
      <c r="J101" s="3">
        <v>13686</v>
      </c>
      <c r="K101" s="3">
        <v>3019</v>
      </c>
      <c r="L101" s="3">
        <v>5973</v>
      </c>
      <c r="M101" s="3">
        <v>8967</v>
      </c>
      <c r="N101" s="3">
        <v>13995</v>
      </c>
      <c r="O101" s="3">
        <v>3067</v>
      </c>
      <c r="P101" s="3">
        <v>6065</v>
      </c>
      <c r="Q101" s="3">
        <v>9129</v>
      </c>
      <c r="R101" s="3">
        <v>14269</v>
      </c>
      <c r="S101" s="3">
        <v>7235</v>
      </c>
      <c r="T101" s="3">
        <v>10338</v>
      </c>
      <c r="U101" s="3">
        <v>13489</v>
      </c>
      <c r="V101" s="3">
        <v>16699</v>
      </c>
      <c r="W101" s="3">
        <v>3246</v>
      </c>
      <c r="X101" s="3">
        <v>6471</v>
      </c>
      <c r="Y101" s="3">
        <v>9699</v>
      </c>
      <c r="Z101" s="3">
        <v>10088</v>
      </c>
      <c r="AA101" s="3">
        <v>3287</v>
      </c>
      <c r="AB101" s="3">
        <v>6609</v>
      </c>
      <c r="AC101" s="3">
        <v>9956</v>
      </c>
      <c r="AD101" s="3">
        <v>13406</v>
      </c>
      <c r="AE101" s="3">
        <v>3517</v>
      </c>
      <c r="AF101" s="3">
        <v>7162</v>
      </c>
      <c r="AG101" s="3">
        <v>10974</v>
      </c>
      <c r="AH101" s="3">
        <f t="shared" ref="AH101:AM101" si="227">-AH82</f>
        <v>15597</v>
      </c>
      <c r="AI101" s="3">
        <f t="shared" si="227"/>
        <v>3958</v>
      </c>
      <c r="AJ101" s="3">
        <f t="shared" si="227"/>
        <v>8012</v>
      </c>
      <c r="AK101" s="3">
        <f t="shared" si="227"/>
        <v>12080</v>
      </c>
      <c r="AL101" s="3">
        <f t="shared" si="227"/>
        <v>16183</v>
      </c>
      <c r="AM101" s="3">
        <f t="shared" si="227"/>
        <v>4141</v>
      </c>
      <c r="AN101" s="3">
        <f t="shared" ref="AN101:AO101" si="228">-AN82</f>
        <v>8358</v>
      </c>
      <c r="AO101" s="3">
        <f t="shared" si="228"/>
        <v>12602</v>
      </c>
      <c r="AP101" s="3">
        <f t="shared" ref="AP101:AQ101" si="229">-AP82</f>
        <v>16900</v>
      </c>
      <c r="AQ101" s="3">
        <f t="shared" si="229"/>
        <v>4322</v>
      </c>
      <c r="AR101" s="3">
        <f t="shared" ref="AR101:AS101" si="230">-AR82</f>
        <v>8713</v>
      </c>
      <c r="AS101" s="3">
        <f t="shared" si="230"/>
        <v>13145</v>
      </c>
      <c r="AT101" s="3">
        <f t="shared" ref="AT101:AU101" si="231">-AT82</f>
        <v>17620</v>
      </c>
      <c r="AU101" s="3">
        <f t="shared" si="231"/>
        <v>4476</v>
      </c>
    </row>
    <row r="102" spans="1:47" x14ac:dyDescent="0.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row>
    <row r="103" spans="1:47" x14ac:dyDescent="0.3">
      <c r="A103" s="6" t="s">
        <v>92</v>
      </c>
      <c r="B103" s="7">
        <f t="shared" ref="B103:AG103" si="232">SUM(B90:B102)</f>
        <v>4673485</v>
      </c>
      <c r="C103" s="7">
        <f t="shared" si="232"/>
        <v>1053138</v>
      </c>
      <c r="D103" s="7">
        <f t="shared" si="232"/>
        <v>2128937</v>
      </c>
      <c r="E103" s="7">
        <f t="shared" si="232"/>
        <v>3206940</v>
      </c>
      <c r="F103" s="7">
        <f t="shared" si="232"/>
        <v>5596237</v>
      </c>
      <c r="G103" s="7">
        <f t="shared" si="232"/>
        <v>529357</v>
      </c>
      <c r="H103" s="7">
        <f t="shared" si="232"/>
        <v>808456</v>
      </c>
      <c r="I103" s="7">
        <f t="shared" si="232"/>
        <v>1067365</v>
      </c>
      <c r="J103" s="7">
        <f t="shared" si="232"/>
        <v>2603517</v>
      </c>
      <c r="K103" s="7">
        <f t="shared" si="232"/>
        <v>269075</v>
      </c>
      <c r="L103" s="7">
        <f t="shared" si="232"/>
        <v>554981</v>
      </c>
      <c r="M103" s="7">
        <f t="shared" si="232"/>
        <v>829331</v>
      </c>
      <c r="N103" s="7">
        <f t="shared" si="232"/>
        <v>3767829</v>
      </c>
      <c r="O103" s="7">
        <f t="shared" si="232"/>
        <v>276401</v>
      </c>
      <c r="P103" s="7">
        <f t="shared" si="232"/>
        <v>448637</v>
      </c>
      <c r="Q103" s="7">
        <f t="shared" si="232"/>
        <v>672428</v>
      </c>
      <c r="R103" s="7">
        <f t="shared" si="232"/>
        <v>3537029</v>
      </c>
      <c r="S103" s="7">
        <f t="shared" si="232"/>
        <v>224635</v>
      </c>
      <c r="T103" s="7">
        <f t="shared" si="232"/>
        <v>443869</v>
      </c>
      <c r="U103" s="7">
        <f t="shared" si="232"/>
        <v>676320</v>
      </c>
      <c r="V103" s="7">
        <f t="shared" si="232"/>
        <v>3225989</v>
      </c>
      <c r="W103" s="7">
        <f t="shared" si="232"/>
        <v>230191</v>
      </c>
      <c r="X103" s="7">
        <f t="shared" si="232"/>
        <v>456180</v>
      </c>
      <c r="Y103" s="7">
        <f t="shared" si="232"/>
        <v>683631</v>
      </c>
      <c r="Z103" s="7">
        <f t="shared" si="232"/>
        <v>4752734</v>
      </c>
      <c r="AA103" s="7">
        <f t="shared" si="232"/>
        <v>234089</v>
      </c>
      <c r="AB103" s="7">
        <f t="shared" si="232"/>
        <v>525575</v>
      </c>
      <c r="AC103" s="7">
        <f t="shared" si="232"/>
        <v>852972</v>
      </c>
      <c r="AD103" s="7">
        <f t="shared" si="232"/>
        <v>3874352</v>
      </c>
      <c r="AE103" s="7">
        <f t="shared" si="232"/>
        <v>263864</v>
      </c>
      <c r="AF103" s="7">
        <f t="shared" si="232"/>
        <v>525185</v>
      </c>
      <c r="AG103" s="7">
        <f t="shared" si="232"/>
        <v>794710</v>
      </c>
      <c r="AH103" s="7">
        <f t="shared" ref="AH103:AI103" si="233">SUM(AH90:AH102)</f>
        <v>4232517</v>
      </c>
      <c r="AI103" s="7">
        <f t="shared" si="233"/>
        <v>282749</v>
      </c>
      <c r="AJ103" s="7">
        <f t="shared" ref="AJ103:AL103" si="234">SUM(AJ90:AJ102)</f>
        <v>577391</v>
      </c>
      <c r="AK103" s="7">
        <f t="shared" si="234"/>
        <v>873697</v>
      </c>
      <c r="AL103" s="7">
        <f t="shared" si="234"/>
        <v>4660308</v>
      </c>
      <c r="AM103" s="7">
        <f t="shared" ref="AM103:AN103" si="235">SUM(AM90:AM102)</f>
        <v>302232</v>
      </c>
      <c r="AN103" s="7">
        <f t="shared" si="235"/>
        <v>649011</v>
      </c>
      <c r="AO103" s="7">
        <f t="shared" ref="AO103:AP103" si="236">SUM(AO90:AO102)</f>
        <v>963860</v>
      </c>
      <c r="AP103" s="7">
        <f t="shared" si="236"/>
        <v>4378726</v>
      </c>
      <c r="AQ103" s="7">
        <f t="shared" ref="AQ103:AR103" si="237">SUM(AQ90:AQ102)</f>
        <v>317328</v>
      </c>
      <c r="AR103" s="7">
        <f t="shared" si="237"/>
        <v>678402</v>
      </c>
      <c r="AS103" s="7">
        <f t="shared" ref="AS103:AT103" si="238">SUM(AS90:AS102)</f>
        <v>1017082</v>
      </c>
      <c r="AT103" s="7">
        <f t="shared" si="238"/>
        <v>4753875</v>
      </c>
      <c r="AU103" s="7">
        <f t="shared" ref="AU103" si="239">SUM(AU90:AU102)</f>
        <v>332086</v>
      </c>
    </row>
    <row r="105" spans="1:47" x14ac:dyDescent="0.3">
      <c r="A105" s="6" t="s">
        <v>93</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row>
    <row r="106" spans="1:47" x14ac:dyDescent="0.3">
      <c r="A106" s="1" t="s">
        <v>94</v>
      </c>
      <c r="B106" s="3">
        <v>0</v>
      </c>
      <c r="C106" s="3">
        <v>0</v>
      </c>
      <c r="D106" s="3">
        <v>0</v>
      </c>
      <c r="E106" s="3">
        <v>0</v>
      </c>
      <c r="F106" s="3">
        <v>0</v>
      </c>
      <c r="G106" s="3">
        <v>0</v>
      </c>
      <c r="H106" s="3">
        <v>0</v>
      </c>
      <c r="I106" s="3">
        <v>0</v>
      </c>
      <c r="J106" s="3">
        <v>0</v>
      </c>
      <c r="K106" s="3">
        <v>0</v>
      </c>
      <c r="L106" s="3">
        <v>0</v>
      </c>
      <c r="M106" s="3">
        <v>0</v>
      </c>
      <c r="N106" s="3">
        <v>0</v>
      </c>
      <c r="O106" s="3">
        <v>0</v>
      </c>
      <c r="P106" s="3">
        <v>0</v>
      </c>
      <c r="Q106" s="3">
        <v>0</v>
      </c>
      <c r="R106" s="3">
        <v>0</v>
      </c>
      <c r="S106" s="3">
        <v>0</v>
      </c>
      <c r="T106" s="3">
        <v>0</v>
      </c>
      <c r="U106" s="3">
        <v>0</v>
      </c>
      <c r="V106" s="3">
        <v>0</v>
      </c>
      <c r="W106" s="3">
        <v>0</v>
      </c>
      <c r="X106" s="3">
        <v>0</v>
      </c>
      <c r="Y106" s="3">
        <v>0</v>
      </c>
      <c r="Z106" s="3">
        <v>0</v>
      </c>
      <c r="AA106" s="3">
        <v>0</v>
      </c>
      <c r="AB106" s="3">
        <v>0</v>
      </c>
      <c r="AC106" s="3">
        <v>0</v>
      </c>
      <c r="AD106" s="3">
        <v>0</v>
      </c>
      <c r="AE106" s="3">
        <v>0</v>
      </c>
      <c r="AF106" s="3">
        <v>0</v>
      </c>
      <c r="AG106" s="3">
        <v>0</v>
      </c>
      <c r="AH106" s="3">
        <v>0</v>
      </c>
      <c r="AI106" s="3">
        <v>0</v>
      </c>
      <c r="AJ106" s="3">
        <v>0</v>
      </c>
      <c r="AK106" s="3">
        <v>0</v>
      </c>
      <c r="AL106" s="3">
        <v>0</v>
      </c>
      <c r="AM106" s="3">
        <v>0</v>
      </c>
      <c r="AN106" s="3">
        <v>0</v>
      </c>
      <c r="AO106" s="3">
        <v>0</v>
      </c>
      <c r="AP106" s="3">
        <v>0</v>
      </c>
      <c r="AQ106" s="3">
        <v>0</v>
      </c>
      <c r="AR106" s="3">
        <v>0</v>
      </c>
      <c r="AS106" s="3">
        <v>0</v>
      </c>
      <c r="AT106" s="3">
        <v>0</v>
      </c>
      <c r="AU106" s="3">
        <v>0</v>
      </c>
    </row>
    <row r="107" spans="1:47" x14ac:dyDescent="0.3">
      <c r="A107" s="1" t="s">
        <v>95</v>
      </c>
      <c r="B107" s="3">
        <v>0</v>
      </c>
      <c r="C107" s="3">
        <v>0</v>
      </c>
      <c r="D107" s="3">
        <v>0</v>
      </c>
      <c r="E107" s="3">
        <v>0</v>
      </c>
      <c r="F107" s="3">
        <v>0</v>
      </c>
      <c r="G107" s="3">
        <v>0</v>
      </c>
      <c r="H107" s="3">
        <v>0</v>
      </c>
      <c r="I107" s="3">
        <v>0</v>
      </c>
      <c r="J107" s="3">
        <v>0</v>
      </c>
      <c r="K107" s="3">
        <v>0</v>
      </c>
      <c r="L107" s="3">
        <v>0</v>
      </c>
      <c r="M107" s="3">
        <v>0</v>
      </c>
      <c r="N107" s="3">
        <v>0</v>
      </c>
      <c r="O107" s="3">
        <v>0</v>
      </c>
      <c r="P107" s="3">
        <v>0</v>
      </c>
      <c r="Q107" s="3">
        <v>0</v>
      </c>
      <c r="R107" s="3">
        <v>0</v>
      </c>
      <c r="S107" s="3">
        <v>0</v>
      </c>
      <c r="T107" s="3">
        <v>0</v>
      </c>
      <c r="U107" s="3">
        <v>0</v>
      </c>
      <c r="V107" s="3">
        <v>0</v>
      </c>
      <c r="W107" s="3">
        <v>0</v>
      </c>
      <c r="X107" s="3">
        <v>0</v>
      </c>
      <c r="Y107" s="3">
        <v>0</v>
      </c>
      <c r="Z107" s="3">
        <v>0</v>
      </c>
      <c r="AA107" s="3">
        <v>0</v>
      </c>
      <c r="AB107" s="3">
        <v>0</v>
      </c>
      <c r="AC107" s="3">
        <v>0</v>
      </c>
      <c r="AD107" s="3">
        <v>0</v>
      </c>
      <c r="AE107" s="3">
        <v>0</v>
      </c>
      <c r="AF107" s="3">
        <v>0</v>
      </c>
      <c r="AG107" s="3">
        <v>0</v>
      </c>
      <c r="AH107" s="3">
        <v>0</v>
      </c>
      <c r="AI107" s="3">
        <v>0</v>
      </c>
      <c r="AJ107" s="3">
        <v>0</v>
      </c>
      <c r="AK107" s="3">
        <v>0</v>
      </c>
      <c r="AL107" s="3">
        <v>0</v>
      </c>
      <c r="AM107" s="3">
        <v>0</v>
      </c>
      <c r="AN107" s="3">
        <v>0</v>
      </c>
      <c r="AO107" s="3">
        <v>0</v>
      </c>
      <c r="AP107" s="3">
        <v>0</v>
      </c>
      <c r="AQ107" s="3">
        <v>0</v>
      </c>
      <c r="AR107" s="3">
        <v>0</v>
      </c>
      <c r="AS107" s="3">
        <v>0</v>
      </c>
      <c r="AT107" s="3">
        <v>0</v>
      </c>
      <c r="AU107" s="3">
        <v>0</v>
      </c>
    </row>
    <row r="108" spans="1:47" x14ac:dyDescent="0.3">
      <c r="A108" s="1" t="s">
        <v>96</v>
      </c>
      <c r="B108" s="3">
        <v>1886633</v>
      </c>
      <c r="C108" s="3">
        <v>731973</v>
      </c>
      <c r="D108" s="3">
        <v>1357448</v>
      </c>
      <c r="E108" s="3">
        <v>2121239</v>
      </c>
      <c r="F108" s="3">
        <v>2781198</v>
      </c>
      <c r="G108" s="3">
        <v>683296</v>
      </c>
      <c r="H108" s="3">
        <v>1429344</v>
      </c>
      <c r="I108" s="3">
        <v>2121668</v>
      </c>
      <c r="J108" s="3">
        <v>3542364</v>
      </c>
      <c r="K108" s="3">
        <v>946450</v>
      </c>
      <c r="L108" s="3">
        <v>1928686</v>
      </c>
      <c r="M108" s="3">
        <v>2937426</v>
      </c>
      <c r="N108" s="3">
        <v>3919367</v>
      </c>
      <c r="O108" s="3">
        <v>943102</v>
      </c>
      <c r="P108" s="3">
        <v>1921386</v>
      </c>
      <c r="Q108" s="3">
        <v>2971022</v>
      </c>
      <c r="R108" s="3">
        <v>4047887</v>
      </c>
      <c r="S108" s="3">
        <v>1096824</v>
      </c>
      <c r="T108" s="3">
        <v>2274494</v>
      </c>
      <c r="U108" s="3">
        <v>3461607</v>
      </c>
      <c r="V108" s="3">
        <v>4746691</v>
      </c>
      <c r="W108" s="3">
        <v>1179132</v>
      </c>
      <c r="X108" s="3">
        <v>2364674</v>
      </c>
      <c r="Y108" s="3">
        <v>2899538</v>
      </c>
      <c r="Z108" s="3">
        <v>3461998</v>
      </c>
      <c r="AA108" s="3">
        <v>655931</v>
      </c>
      <c r="AB108" s="3">
        <v>1650033</v>
      </c>
      <c r="AC108" s="3">
        <v>2308340</v>
      </c>
      <c r="AD108" s="3">
        <v>2859278</v>
      </c>
      <c r="AE108" s="3">
        <v>548741</v>
      </c>
      <c r="AF108" s="3">
        <v>1132285</v>
      </c>
      <c r="AG108" s="3">
        <v>1743550</v>
      </c>
      <c r="AH108" s="3">
        <f>-AH80</f>
        <v>2366016</v>
      </c>
      <c r="AI108" s="3">
        <f>-AI80</f>
        <v>615890</v>
      </c>
      <c r="AJ108" s="3">
        <f>-AJ80</f>
        <v>1251194</v>
      </c>
      <c r="AK108" s="3">
        <f>-AK80</f>
        <v>1893372</v>
      </c>
      <c r="AL108" s="3">
        <v>2543831</v>
      </c>
      <c r="AM108" s="3">
        <f>-AM80</f>
        <v>645614</v>
      </c>
      <c r="AN108" s="3">
        <f>-AN80</f>
        <v>1538024</v>
      </c>
      <c r="AO108" s="3">
        <f>-AO80</f>
        <v>3378556</v>
      </c>
      <c r="AP108" s="3">
        <f>-AP80</f>
        <v>4634406</v>
      </c>
      <c r="AQ108" s="3">
        <v>1420131</v>
      </c>
      <c r="AR108" s="3">
        <v>2861275</v>
      </c>
      <c r="AS108" s="3">
        <v>4322033</v>
      </c>
      <c r="AT108" s="3">
        <f>5796774</f>
        <v>5796774</v>
      </c>
      <c r="AU108" s="3">
        <v>2104424</v>
      </c>
    </row>
    <row r="109" spans="1:47" x14ac:dyDescent="0.3">
      <c r="A109" s="1" t="s">
        <v>97</v>
      </c>
      <c r="B109" s="3">
        <v>0</v>
      </c>
      <c r="C109" s="3">
        <v>0</v>
      </c>
      <c r="D109" s="3">
        <v>0</v>
      </c>
      <c r="E109" s="3">
        <v>0</v>
      </c>
      <c r="F109" s="3">
        <v>0</v>
      </c>
      <c r="G109" s="3">
        <v>0</v>
      </c>
      <c r="H109" s="3">
        <v>0</v>
      </c>
      <c r="I109" s="3">
        <v>0</v>
      </c>
      <c r="J109" s="3">
        <v>0</v>
      </c>
      <c r="K109" s="3">
        <v>0</v>
      </c>
      <c r="L109" s="3">
        <v>0</v>
      </c>
      <c r="M109" s="3">
        <v>0</v>
      </c>
      <c r="N109" s="3">
        <v>0</v>
      </c>
      <c r="O109" s="3">
        <v>0</v>
      </c>
      <c r="P109" s="3">
        <v>0</v>
      </c>
      <c r="Q109" s="3">
        <v>0</v>
      </c>
      <c r="R109" s="3">
        <v>0</v>
      </c>
      <c r="S109" s="3">
        <v>0</v>
      </c>
      <c r="T109" s="3">
        <v>0</v>
      </c>
      <c r="U109" s="3">
        <v>0</v>
      </c>
      <c r="V109" s="3">
        <v>0</v>
      </c>
      <c r="W109" s="3">
        <v>0</v>
      </c>
      <c r="X109" s="3">
        <v>0</v>
      </c>
      <c r="Y109" s="3">
        <v>0</v>
      </c>
      <c r="Z109" s="3">
        <v>0</v>
      </c>
      <c r="AA109" s="3">
        <v>0</v>
      </c>
      <c r="AB109" s="3">
        <v>0</v>
      </c>
      <c r="AC109" s="3">
        <v>0</v>
      </c>
      <c r="AD109" s="3">
        <v>0</v>
      </c>
      <c r="AE109" s="3">
        <v>0</v>
      </c>
      <c r="AF109" s="3">
        <v>0</v>
      </c>
      <c r="AG109" s="3">
        <v>0</v>
      </c>
      <c r="AH109" s="3">
        <v>0</v>
      </c>
      <c r="AI109" s="3">
        <v>0</v>
      </c>
      <c r="AJ109" s="3">
        <v>0</v>
      </c>
      <c r="AK109" s="3">
        <v>0</v>
      </c>
      <c r="AL109" s="3">
        <v>0</v>
      </c>
      <c r="AM109" s="3">
        <v>0</v>
      </c>
      <c r="AN109" s="3">
        <v>0</v>
      </c>
      <c r="AO109" s="3">
        <v>0</v>
      </c>
      <c r="AP109" s="3">
        <v>0</v>
      </c>
      <c r="AQ109" s="3">
        <v>4691</v>
      </c>
      <c r="AR109" s="3">
        <v>3955</v>
      </c>
      <c r="AS109" s="3">
        <v>18769</v>
      </c>
      <c r="AT109" s="3">
        <f>25711</f>
        <v>25711</v>
      </c>
      <c r="AU109" s="3">
        <v>95</v>
      </c>
    </row>
    <row r="110" spans="1:47" x14ac:dyDescent="0.3">
      <c r="A110" s="6" t="s">
        <v>92</v>
      </c>
      <c r="B110" s="7">
        <f>SUM(B106:B109)</f>
        <v>1886633</v>
      </c>
      <c r="C110" s="7">
        <f>SUM(C106:C109)</f>
        <v>731973</v>
      </c>
      <c r="D110" s="7">
        <f t="shared" ref="D110:AG110" si="240">SUM(D106:D109)</f>
        <v>1357448</v>
      </c>
      <c r="E110" s="7">
        <f t="shared" si="240"/>
        <v>2121239</v>
      </c>
      <c r="F110" s="7">
        <f t="shared" si="240"/>
        <v>2781198</v>
      </c>
      <c r="G110" s="7">
        <f t="shared" si="240"/>
        <v>683296</v>
      </c>
      <c r="H110" s="7">
        <f t="shared" si="240"/>
        <v>1429344</v>
      </c>
      <c r="I110" s="7">
        <f t="shared" si="240"/>
        <v>2121668</v>
      </c>
      <c r="J110" s="7">
        <f t="shared" si="240"/>
        <v>3542364</v>
      </c>
      <c r="K110" s="7">
        <f t="shared" si="240"/>
        <v>946450</v>
      </c>
      <c r="L110" s="7">
        <f t="shared" si="240"/>
        <v>1928686</v>
      </c>
      <c r="M110" s="7">
        <f t="shared" si="240"/>
        <v>2937426</v>
      </c>
      <c r="N110" s="7">
        <f t="shared" si="240"/>
        <v>3919367</v>
      </c>
      <c r="O110" s="7">
        <f t="shared" si="240"/>
        <v>943102</v>
      </c>
      <c r="P110" s="7">
        <f t="shared" si="240"/>
        <v>1921386</v>
      </c>
      <c r="Q110" s="7">
        <f t="shared" si="240"/>
        <v>2971022</v>
      </c>
      <c r="R110" s="7">
        <f t="shared" si="240"/>
        <v>4047887</v>
      </c>
      <c r="S110" s="7">
        <f t="shared" si="240"/>
        <v>1096824</v>
      </c>
      <c r="T110" s="7">
        <f t="shared" si="240"/>
        <v>2274494</v>
      </c>
      <c r="U110" s="7">
        <f t="shared" si="240"/>
        <v>3461607</v>
      </c>
      <c r="V110" s="7">
        <f t="shared" si="240"/>
        <v>4746691</v>
      </c>
      <c r="W110" s="7">
        <f t="shared" si="240"/>
        <v>1179132</v>
      </c>
      <c r="X110" s="7">
        <f t="shared" si="240"/>
        <v>2364674</v>
      </c>
      <c r="Y110" s="7">
        <f t="shared" si="240"/>
        <v>2899538</v>
      </c>
      <c r="Z110" s="7">
        <f t="shared" si="240"/>
        <v>3461998</v>
      </c>
      <c r="AA110" s="7">
        <f t="shared" si="240"/>
        <v>655931</v>
      </c>
      <c r="AB110" s="7">
        <f t="shared" si="240"/>
        <v>1650033</v>
      </c>
      <c r="AC110" s="7">
        <f t="shared" si="240"/>
        <v>2308340</v>
      </c>
      <c r="AD110" s="7">
        <f t="shared" si="240"/>
        <v>2859278</v>
      </c>
      <c r="AE110" s="7">
        <f t="shared" si="240"/>
        <v>548741</v>
      </c>
      <c r="AF110" s="7">
        <f t="shared" si="240"/>
        <v>1132285</v>
      </c>
      <c r="AG110" s="7">
        <f t="shared" si="240"/>
        <v>1743550</v>
      </c>
      <c r="AH110" s="7">
        <f t="shared" ref="AH110:AI110" si="241">SUM(AH106:AH109)</f>
        <v>2366016</v>
      </c>
      <c r="AI110" s="7">
        <f t="shared" si="241"/>
        <v>615890</v>
      </c>
      <c r="AJ110" s="7">
        <f t="shared" ref="AJ110:AL110" si="242">SUM(AJ106:AJ109)</f>
        <v>1251194</v>
      </c>
      <c r="AK110" s="7">
        <f t="shared" si="242"/>
        <v>1893372</v>
      </c>
      <c r="AL110" s="7">
        <f t="shared" si="242"/>
        <v>2543831</v>
      </c>
      <c r="AM110" s="7">
        <f t="shared" ref="AM110:AN110" si="243">SUM(AM106:AM109)</f>
        <v>645614</v>
      </c>
      <c r="AN110" s="7">
        <f t="shared" si="243"/>
        <v>1538024</v>
      </c>
      <c r="AO110" s="7">
        <f t="shared" ref="AO110:AP110" si="244">SUM(AO106:AO109)</f>
        <v>3378556</v>
      </c>
      <c r="AP110" s="7">
        <f t="shared" si="244"/>
        <v>4634406</v>
      </c>
      <c r="AQ110" s="7">
        <f t="shared" ref="AQ110:AR110" si="245">SUM(AQ106:AQ109)</f>
        <v>1424822</v>
      </c>
      <c r="AR110" s="7">
        <f t="shared" si="245"/>
        <v>2865230</v>
      </c>
      <c r="AS110" s="7">
        <f t="shared" ref="AS110:AT110" si="246">SUM(AS106:AS109)</f>
        <v>4340802</v>
      </c>
      <c r="AT110" s="7">
        <f t="shared" si="246"/>
        <v>5822485</v>
      </c>
      <c r="AU110" s="7">
        <f t="shared" ref="AU110" si="247">SUM(AU106:AU109)</f>
        <v>2104519</v>
      </c>
    </row>
    <row r="111" spans="1:47" x14ac:dyDescent="0.3">
      <c r="A111" s="6"/>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row>
    <row r="112" spans="1:47" x14ac:dyDescent="0.3">
      <c r="A112" s="1" t="s">
        <v>98</v>
      </c>
      <c r="B112" s="3">
        <f t="shared" ref="B112:AG112" si="248">+B110+B103+B83+B82+B81+B80</f>
        <v>0</v>
      </c>
      <c r="C112" s="3">
        <f t="shared" si="248"/>
        <v>0</v>
      </c>
      <c r="D112" s="3">
        <f t="shared" si="248"/>
        <v>0</v>
      </c>
      <c r="E112" s="3">
        <f t="shared" si="248"/>
        <v>0</v>
      </c>
      <c r="F112" s="3">
        <f t="shared" si="248"/>
        <v>0</v>
      </c>
      <c r="G112" s="3">
        <f t="shared" si="248"/>
        <v>0</v>
      </c>
      <c r="H112" s="3">
        <f t="shared" si="248"/>
        <v>0</v>
      </c>
      <c r="I112" s="3">
        <f t="shared" si="248"/>
        <v>0</v>
      </c>
      <c r="J112" s="3">
        <f t="shared" si="248"/>
        <v>0</v>
      </c>
      <c r="K112" s="3">
        <f t="shared" si="248"/>
        <v>0</v>
      </c>
      <c r="L112" s="3">
        <f t="shared" si="248"/>
        <v>0</v>
      </c>
      <c r="M112" s="3">
        <f t="shared" si="248"/>
        <v>0</v>
      </c>
      <c r="N112" s="3">
        <f t="shared" si="248"/>
        <v>0</v>
      </c>
      <c r="O112" s="3">
        <f t="shared" si="248"/>
        <v>0</v>
      </c>
      <c r="P112" s="3">
        <f t="shared" si="248"/>
        <v>0</v>
      </c>
      <c r="Q112" s="3">
        <f t="shared" si="248"/>
        <v>0</v>
      </c>
      <c r="R112" s="3">
        <f t="shared" si="248"/>
        <v>0</v>
      </c>
      <c r="S112" s="3">
        <f t="shared" si="248"/>
        <v>0</v>
      </c>
      <c r="T112" s="3">
        <f t="shared" si="248"/>
        <v>0</v>
      </c>
      <c r="U112" s="3">
        <f t="shared" si="248"/>
        <v>0</v>
      </c>
      <c r="V112" s="3">
        <f t="shared" si="248"/>
        <v>0</v>
      </c>
      <c r="W112" s="3">
        <f t="shared" si="248"/>
        <v>0</v>
      </c>
      <c r="X112" s="3">
        <f t="shared" si="248"/>
        <v>0</v>
      </c>
      <c r="Y112" s="3">
        <f t="shared" si="248"/>
        <v>0</v>
      </c>
      <c r="Z112" s="3">
        <f t="shared" si="248"/>
        <v>0</v>
      </c>
      <c r="AA112" s="3">
        <f t="shared" si="248"/>
        <v>0</v>
      </c>
      <c r="AB112" s="3">
        <f t="shared" si="248"/>
        <v>0</v>
      </c>
      <c r="AC112" s="3">
        <f t="shared" si="248"/>
        <v>0</v>
      </c>
      <c r="AD112" s="3">
        <f t="shared" si="248"/>
        <v>0</v>
      </c>
      <c r="AE112" s="3">
        <f t="shared" si="248"/>
        <v>0</v>
      </c>
      <c r="AF112" s="3">
        <f t="shared" si="248"/>
        <v>0</v>
      </c>
      <c r="AG112" s="3">
        <f t="shared" si="248"/>
        <v>0</v>
      </c>
      <c r="AH112" s="3">
        <f t="shared" ref="AH112:AI112" si="249">+AH110+AH103+AH83+AH82+AH81+AH80</f>
        <v>0</v>
      </c>
      <c r="AI112" s="3">
        <f t="shared" si="249"/>
        <v>0</v>
      </c>
      <c r="AJ112" s="3">
        <f t="shared" ref="AJ112:AL112" si="250">+AJ110+AJ103+AJ83+AJ82+AJ81+AJ80</f>
        <v>0</v>
      </c>
      <c r="AK112" s="3">
        <f t="shared" si="250"/>
        <v>0</v>
      </c>
      <c r="AL112" s="3">
        <f t="shared" si="250"/>
        <v>0</v>
      </c>
      <c r="AM112" s="3">
        <f t="shared" ref="AM112:AN112" si="251">+AM110+AM103+AM83+AM82+AM81+AM80</f>
        <v>0</v>
      </c>
      <c r="AN112" s="3">
        <f t="shared" si="251"/>
        <v>0</v>
      </c>
      <c r="AO112" s="3">
        <f t="shared" ref="AO112:AP112" si="252">+AO110+AO103+AO83+AO82+AO81+AO80</f>
        <v>0</v>
      </c>
      <c r="AP112" s="3">
        <f t="shared" si="252"/>
        <v>0</v>
      </c>
      <c r="AQ112" s="3">
        <f t="shared" ref="AQ112:AR112" si="253">+AQ110+AQ103+AQ83+AQ82+AQ81+AQ80</f>
        <v>0</v>
      </c>
      <c r="AR112" s="3">
        <f t="shared" si="253"/>
        <v>0</v>
      </c>
      <c r="AS112" s="3">
        <f t="shared" ref="AS112:AT112" si="254">+AS110+AS103+AS83+AS82+AS81+AS80</f>
        <v>0</v>
      </c>
      <c r="AT112" s="3">
        <f t="shared" si="254"/>
        <v>0</v>
      </c>
      <c r="AU112" s="3">
        <f t="shared" ref="AU112" si="255">+AU110+AU103+AU83+AU82+AU81+AU80</f>
        <v>0</v>
      </c>
    </row>
    <row r="113" spans="1:47" x14ac:dyDescent="0.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row>
    <row r="114" spans="1:47" x14ac:dyDescent="0.3">
      <c r="A114" s="1" t="s">
        <v>99</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row>
    <row r="115" spans="1:47" ht="28.8" x14ac:dyDescent="0.3">
      <c r="A115" s="13" t="s">
        <v>100</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row>
    <row r="116" spans="1:47" x14ac:dyDescent="0.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row>
    <row r="117" spans="1:47" x14ac:dyDescent="0.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row>
    <row r="118" spans="1:47" x14ac:dyDescent="0.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row>
    <row r="119" spans="1:47" x14ac:dyDescent="0.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row>
    <row r="120" spans="1:47" x14ac:dyDescent="0.3">
      <c r="A120" s="6"/>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row>
    <row r="121" spans="1:47" x14ac:dyDescent="0.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x14ac:dyDescent="0.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row>
    <row r="123" spans="1:47" x14ac:dyDescent="0.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row>
    <row r="124" spans="1:47" x14ac:dyDescent="0.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row>
    <row r="125" spans="1:47" x14ac:dyDescent="0.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row>
    <row r="126" spans="1:47" x14ac:dyDescent="0.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row>
    <row r="127" spans="1:47" x14ac:dyDescent="0.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47" x14ac:dyDescent="0.3">
      <c r="A128" s="6"/>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row>
    <row r="129" spans="1:47" x14ac:dyDescent="0.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row>
    <row r="130" spans="1:47" x14ac:dyDescent="0.3">
      <c r="A130" s="6"/>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row>
    <row r="131" spans="1:47" x14ac:dyDescent="0.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row>
    <row r="132" spans="1:47" x14ac:dyDescent="0.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row>
    <row r="133" spans="1:47" x14ac:dyDescent="0.3">
      <c r="A133" s="6"/>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row>
    <row r="134" spans="1:47" x14ac:dyDescent="0.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row>
    <row r="135" spans="1:47" x14ac:dyDescent="0.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row>
    <row r="136" spans="1:47" x14ac:dyDescent="0.3">
      <c r="A136" s="6"/>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row>
    <row r="137" spans="1:47" x14ac:dyDescent="0.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row>
    <row r="138" spans="1:47" x14ac:dyDescent="0.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row>
    <row r="139" spans="1:47" x14ac:dyDescent="0.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row>
    <row r="140" spans="1:47" x14ac:dyDescent="0.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row>
    <row r="141" spans="1:47" x14ac:dyDescent="0.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row>
    <row r="142" spans="1:47" x14ac:dyDescent="0.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row>
    <row r="143" spans="1:47" x14ac:dyDescent="0.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row>
    <row r="144" spans="1:47" x14ac:dyDescent="0.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row>
    <row r="145" spans="2:47" x14ac:dyDescent="0.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row>
    <row r="146" spans="2:47" x14ac:dyDescent="0.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row>
    <row r="147" spans="2:47" x14ac:dyDescent="0.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row>
    <row r="148" spans="2:47" x14ac:dyDescent="0.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row>
    <row r="149" spans="2:47" x14ac:dyDescent="0.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row>
    <row r="150" spans="2:47" x14ac:dyDescent="0.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row>
    <row r="151" spans="2:47" x14ac:dyDescent="0.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row>
    <row r="152" spans="2:47" x14ac:dyDescent="0.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row>
    <row r="153" spans="2:47" x14ac:dyDescent="0.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row>
    <row r="154" spans="2:47" x14ac:dyDescent="0.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row>
    <row r="155" spans="2:47" x14ac:dyDescent="0.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row>
    <row r="156" spans="2:47" x14ac:dyDescent="0.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row>
    <row r="157" spans="2:47" x14ac:dyDescent="0.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row>
    <row r="158" spans="2:47" x14ac:dyDescent="0.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row>
    <row r="159" spans="2:47" x14ac:dyDescent="0.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row>
    <row r="160" spans="2:47" x14ac:dyDescent="0.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row>
    <row r="161" spans="2:47" x14ac:dyDescent="0.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row>
    <row r="162" spans="2:47" x14ac:dyDescent="0.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row>
    <row r="163" spans="2:47" x14ac:dyDescent="0.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row>
    <row r="164" spans="2:47" x14ac:dyDescent="0.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row>
    <row r="165" spans="2:47" x14ac:dyDescent="0.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row>
    <row r="166" spans="2:47" x14ac:dyDescent="0.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row>
    <row r="167" spans="2:47" x14ac:dyDescent="0.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row>
    <row r="168" spans="2:47" x14ac:dyDescent="0.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row>
    <row r="169" spans="2:47" x14ac:dyDescent="0.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row>
    <row r="170" spans="2:47" x14ac:dyDescent="0.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row>
    <row r="171" spans="2:47" x14ac:dyDescent="0.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row>
    <row r="172" spans="2:47" x14ac:dyDescent="0.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row>
    <row r="173" spans="2:47" x14ac:dyDescent="0.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row>
    <row r="174" spans="2:47" x14ac:dyDescent="0.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row>
    <row r="175" spans="2:47" x14ac:dyDescent="0.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row>
    <row r="176" spans="2:47" x14ac:dyDescent="0.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row>
    <row r="177" spans="2:47" x14ac:dyDescent="0.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row>
    <row r="178" spans="2:47" x14ac:dyDescent="0.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row>
    <row r="179" spans="2:47" x14ac:dyDescent="0.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row>
    <row r="180" spans="2:47" x14ac:dyDescent="0.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row>
    <row r="181" spans="2:47" x14ac:dyDescent="0.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row>
    <row r="182" spans="2:47" x14ac:dyDescent="0.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row>
    <row r="183" spans="2:47" x14ac:dyDescent="0.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row>
    <row r="184" spans="2:47" x14ac:dyDescent="0.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row>
    <row r="185" spans="2:47" x14ac:dyDescent="0.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row>
    <row r="186" spans="2:47" x14ac:dyDescent="0.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row>
    <row r="187" spans="2:47" x14ac:dyDescent="0.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row>
    <row r="188" spans="2:47" x14ac:dyDescent="0.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row>
    <row r="189" spans="2:47" x14ac:dyDescent="0.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row>
    <row r="190" spans="2:47" x14ac:dyDescent="0.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row>
    <row r="191" spans="2:47" x14ac:dyDescent="0.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row>
    <row r="192" spans="2:47" x14ac:dyDescent="0.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row>
    <row r="193" spans="2:47" x14ac:dyDescent="0.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row>
    <row r="194" spans="2:47" x14ac:dyDescent="0.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row>
    <row r="195" spans="2:47" x14ac:dyDescent="0.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row>
    <row r="196" spans="2:47" x14ac:dyDescent="0.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row>
    <row r="197" spans="2:47" x14ac:dyDescent="0.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row>
    <row r="198" spans="2:47" x14ac:dyDescent="0.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row>
    <row r="199" spans="2:47" x14ac:dyDescent="0.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row>
    <row r="200" spans="2:47" x14ac:dyDescent="0.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row>
    <row r="201" spans="2:47" x14ac:dyDescent="0.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row>
    <row r="202" spans="2:47" x14ac:dyDescent="0.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row>
    <row r="203" spans="2:47" x14ac:dyDescent="0.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row>
    <row r="204" spans="2:47" x14ac:dyDescent="0.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row>
    <row r="205" spans="2:47" x14ac:dyDescent="0.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row>
    <row r="206" spans="2:47" x14ac:dyDescent="0.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row>
    <row r="207" spans="2:47" x14ac:dyDescent="0.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row>
    <row r="208" spans="2:47" x14ac:dyDescent="0.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row>
    <row r="209" spans="2:47" x14ac:dyDescent="0.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row>
    <row r="210" spans="2:47" x14ac:dyDescent="0.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row>
    <row r="211" spans="2:47" x14ac:dyDescent="0.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row>
    <row r="212" spans="2:47" x14ac:dyDescent="0.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row>
    <row r="213" spans="2:47" x14ac:dyDescent="0.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row>
    <row r="214" spans="2:47" x14ac:dyDescent="0.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row>
    <row r="215" spans="2:47" x14ac:dyDescent="0.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row>
    <row r="216" spans="2:47" x14ac:dyDescent="0.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row>
    <row r="217" spans="2:47" x14ac:dyDescent="0.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row>
    <row r="218" spans="2:47" x14ac:dyDescent="0.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row>
    <row r="219" spans="2:47" x14ac:dyDescent="0.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row>
    <row r="220" spans="2:47" x14ac:dyDescent="0.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row>
    <row r="221" spans="2:47" x14ac:dyDescent="0.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row>
    <row r="222" spans="2:47" x14ac:dyDescent="0.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row>
    <row r="223" spans="2:47" x14ac:dyDescent="0.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row>
    <row r="224" spans="2:47" x14ac:dyDescent="0.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row>
    <row r="225" spans="2:47" x14ac:dyDescent="0.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row>
    <row r="226" spans="2:47" x14ac:dyDescent="0.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row>
    <row r="227" spans="2:47" x14ac:dyDescent="0.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row>
    <row r="228" spans="2:47" x14ac:dyDescent="0.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row>
    <row r="229" spans="2:47" x14ac:dyDescent="0.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row>
    <row r="230" spans="2:47" x14ac:dyDescent="0.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row>
    <row r="231" spans="2:47" x14ac:dyDescent="0.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row>
    <row r="232" spans="2:47" x14ac:dyDescent="0.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row>
    <row r="233" spans="2:47" x14ac:dyDescent="0.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row>
    <row r="234" spans="2:47" x14ac:dyDescent="0.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row>
    <row r="235" spans="2:47" x14ac:dyDescent="0.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row>
    <row r="236" spans="2:47" x14ac:dyDescent="0.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row>
    <row r="237" spans="2:47" x14ac:dyDescent="0.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row>
    <row r="238" spans="2:47" x14ac:dyDescent="0.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row>
    <row r="239" spans="2:47" x14ac:dyDescent="0.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row>
    <row r="240" spans="2:47" x14ac:dyDescent="0.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row>
    <row r="241" spans="2:47" x14ac:dyDescent="0.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row>
    <row r="242" spans="2:47" x14ac:dyDescent="0.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row>
    <row r="243" spans="2:47" x14ac:dyDescent="0.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row>
    <row r="244" spans="2:47" x14ac:dyDescent="0.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row>
    <row r="245" spans="2:47" x14ac:dyDescent="0.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row>
    <row r="246" spans="2:47" x14ac:dyDescent="0.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row>
    <row r="247" spans="2:47" x14ac:dyDescent="0.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row>
    <row r="248" spans="2:47" x14ac:dyDescent="0.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row>
    <row r="249" spans="2:47" x14ac:dyDescent="0.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row>
    <row r="250" spans="2:47" x14ac:dyDescent="0.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row>
    <row r="251" spans="2:47" x14ac:dyDescent="0.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row>
    <row r="252" spans="2:47" x14ac:dyDescent="0.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row>
    <row r="253" spans="2:47" x14ac:dyDescent="0.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row>
    <row r="254" spans="2:47" x14ac:dyDescent="0.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row>
    <row r="255" spans="2:47" x14ac:dyDescent="0.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row>
    <row r="256" spans="2:47" x14ac:dyDescent="0.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row>
    <row r="257" spans="2:47" x14ac:dyDescent="0.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row>
    <row r="258" spans="2:47" x14ac:dyDescent="0.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row>
    <row r="259" spans="2:47" x14ac:dyDescent="0.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row>
    <row r="260" spans="2:47" x14ac:dyDescent="0.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row>
    <row r="261" spans="2:47" x14ac:dyDescent="0.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row>
    <row r="262" spans="2:47" x14ac:dyDescent="0.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row>
    <row r="263" spans="2:47" x14ac:dyDescent="0.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row>
    <row r="264" spans="2:47" x14ac:dyDescent="0.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row>
    <row r="265" spans="2:47" x14ac:dyDescent="0.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row>
    <row r="266" spans="2:47" x14ac:dyDescent="0.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row>
    <row r="267" spans="2:47" x14ac:dyDescent="0.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row>
    <row r="268" spans="2:47" x14ac:dyDescent="0.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row>
    <row r="269" spans="2:47" x14ac:dyDescent="0.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row>
    <row r="270" spans="2:47" x14ac:dyDescent="0.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row>
    <row r="271" spans="2:47" x14ac:dyDescent="0.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row>
    <row r="272" spans="2:47" x14ac:dyDescent="0.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row>
    <row r="273" spans="2:47" x14ac:dyDescent="0.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row>
    <row r="274" spans="2:47" x14ac:dyDescent="0.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row>
    <row r="275" spans="2:47" x14ac:dyDescent="0.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row>
    <row r="276" spans="2:47" x14ac:dyDescent="0.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row>
    <row r="277" spans="2:47" x14ac:dyDescent="0.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row>
    <row r="278" spans="2:47" x14ac:dyDescent="0.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row>
    <row r="279" spans="2:47" x14ac:dyDescent="0.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row>
    <row r="280" spans="2:47" x14ac:dyDescent="0.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row>
    <row r="281" spans="2:47" x14ac:dyDescent="0.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row>
    <row r="282" spans="2:47" x14ac:dyDescent="0.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row>
    <row r="283" spans="2:47" x14ac:dyDescent="0.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row>
    <row r="284" spans="2:47" x14ac:dyDescent="0.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row>
    <row r="285" spans="2:47" x14ac:dyDescent="0.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row>
    <row r="286" spans="2:47" x14ac:dyDescent="0.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row>
    <row r="287" spans="2:47" x14ac:dyDescent="0.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row>
    <row r="288" spans="2:47" x14ac:dyDescent="0.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row>
    <row r="289" spans="2:47" x14ac:dyDescent="0.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row>
    <row r="290" spans="2:47" x14ac:dyDescent="0.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row>
    <row r="291" spans="2:47" x14ac:dyDescent="0.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row>
    <row r="292" spans="2:47" x14ac:dyDescent="0.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row>
    <row r="293" spans="2:47" x14ac:dyDescent="0.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row>
    <row r="294" spans="2:47" x14ac:dyDescent="0.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row>
    <row r="295" spans="2:47" x14ac:dyDescent="0.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row>
    <row r="296" spans="2:47" x14ac:dyDescent="0.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row>
    <row r="297" spans="2:47" x14ac:dyDescent="0.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row>
    <row r="298" spans="2:47" x14ac:dyDescent="0.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row>
    <row r="299" spans="2:47" x14ac:dyDescent="0.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row>
    <row r="300" spans="2:47" x14ac:dyDescent="0.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row>
    <row r="301" spans="2:47" x14ac:dyDescent="0.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row>
    <row r="302" spans="2:47" x14ac:dyDescent="0.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row>
    <row r="303" spans="2:47" x14ac:dyDescent="0.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row>
    <row r="304" spans="2:47" x14ac:dyDescent="0.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row>
    <row r="305" spans="2:47" x14ac:dyDescent="0.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row>
    <row r="306" spans="2:47" x14ac:dyDescent="0.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row>
    <row r="307" spans="2:47" x14ac:dyDescent="0.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row>
    <row r="308" spans="2:47" x14ac:dyDescent="0.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row>
    <row r="309" spans="2:47" x14ac:dyDescent="0.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row>
    <row r="310" spans="2:47" x14ac:dyDescent="0.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row>
    <row r="311" spans="2:47" x14ac:dyDescent="0.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row>
    <row r="312" spans="2:47" x14ac:dyDescent="0.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row>
    <row r="313" spans="2:47" x14ac:dyDescent="0.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row>
    <row r="314" spans="2:47" x14ac:dyDescent="0.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row>
    <row r="315" spans="2:47" x14ac:dyDescent="0.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row>
    <row r="316" spans="2:47" x14ac:dyDescent="0.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row>
    <row r="317" spans="2:47" x14ac:dyDescent="0.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row>
    <row r="318" spans="2:47" x14ac:dyDescent="0.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row>
    <row r="319" spans="2:47" x14ac:dyDescent="0.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row>
    <row r="320" spans="2:47" x14ac:dyDescent="0.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row>
    <row r="321" spans="2:47" x14ac:dyDescent="0.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row>
    <row r="322" spans="2:47" x14ac:dyDescent="0.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row>
    <row r="323" spans="2:47" x14ac:dyDescent="0.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row>
    <row r="324" spans="2:47" x14ac:dyDescent="0.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row>
    <row r="325" spans="2:47" x14ac:dyDescent="0.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row>
    <row r="326" spans="2:47" x14ac:dyDescent="0.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row>
    <row r="327" spans="2:47" x14ac:dyDescent="0.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row>
    <row r="328" spans="2:47" x14ac:dyDescent="0.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row>
    <row r="329" spans="2:47" x14ac:dyDescent="0.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row>
    <row r="330" spans="2:47" x14ac:dyDescent="0.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row>
    <row r="331" spans="2:47" x14ac:dyDescent="0.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row>
    <row r="332" spans="2:47" x14ac:dyDescent="0.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row>
    <row r="333" spans="2:47" x14ac:dyDescent="0.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row>
    <row r="334" spans="2:47" x14ac:dyDescent="0.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row>
    <row r="335" spans="2:47" x14ac:dyDescent="0.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row>
    <row r="336" spans="2:47" x14ac:dyDescent="0.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row>
    <row r="337" spans="2:47" x14ac:dyDescent="0.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row>
    <row r="338" spans="2:47" x14ac:dyDescent="0.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row>
    <row r="339" spans="2:47" x14ac:dyDescent="0.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row>
    <row r="340" spans="2:47" x14ac:dyDescent="0.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row>
    <row r="341" spans="2:47" x14ac:dyDescent="0.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row>
    <row r="342" spans="2:47" x14ac:dyDescent="0.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row>
    <row r="343" spans="2:47" x14ac:dyDescent="0.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row>
    <row r="344" spans="2:47" x14ac:dyDescent="0.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row>
    <row r="345" spans="2:47" x14ac:dyDescent="0.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row>
    <row r="346" spans="2:47" x14ac:dyDescent="0.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row>
    <row r="347" spans="2:47" x14ac:dyDescent="0.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row>
    <row r="348" spans="2:47" x14ac:dyDescent="0.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row>
    <row r="349" spans="2:47" x14ac:dyDescent="0.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row>
    <row r="350" spans="2:47" x14ac:dyDescent="0.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row>
    <row r="351" spans="2:47" x14ac:dyDescent="0.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row>
    <row r="352" spans="2:47" x14ac:dyDescent="0.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row>
    <row r="353" spans="2:47" x14ac:dyDescent="0.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row>
    <row r="354" spans="2:47" x14ac:dyDescent="0.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row>
    <row r="355" spans="2:47" x14ac:dyDescent="0.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row>
    <row r="356" spans="2:47" x14ac:dyDescent="0.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row>
    <row r="357" spans="2:47" x14ac:dyDescent="0.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row>
    <row r="358" spans="2:47" x14ac:dyDescent="0.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row>
    <row r="359" spans="2:47" x14ac:dyDescent="0.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row>
    <row r="360" spans="2:47" x14ac:dyDescent="0.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row>
    <row r="361" spans="2:47" x14ac:dyDescent="0.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row>
    <row r="362" spans="2:47" x14ac:dyDescent="0.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row>
    <row r="363" spans="2:47" x14ac:dyDescent="0.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row>
    <row r="364" spans="2:47" x14ac:dyDescent="0.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row>
    <row r="365" spans="2:47" x14ac:dyDescent="0.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row>
    <row r="366" spans="2:47" x14ac:dyDescent="0.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row>
    <row r="367" spans="2:47" x14ac:dyDescent="0.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row>
    <row r="368" spans="2:47" x14ac:dyDescent="0.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row>
    <row r="369" spans="2:47" x14ac:dyDescent="0.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row>
    <row r="370" spans="2:47" x14ac:dyDescent="0.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row>
    <row r="371" spans="2:47" x14ac:dyDescent="0.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row>
    <row r="372" spans="2:47" x14ac:dyDescent="0.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row>
    <row r="373" spans="2:47" x14ac:dyDescent="0.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row>
    <row r="374" spans="2:47" x14ac:dyDescent="0.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row>
    <row r="375" spans="2:47" x14ac:dyDescent="0.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row>
    <row r="376" spans="2:47" x14ac:dyDescent="0.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row>
    <row r="377" spans="2:47" x14ac:dyDescent="0.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row>
    <row r="378" spans="2:47" x14ac:dyDescent="0.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row>
    <row r="379" spans="2:47" x14ac:dyDescent="0.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row>
    <row r="380" spans="2:47" x14ac:dyDescent="0.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row>
    <row r="381" spans="2:47" x14ac:dyDescent="0.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row>
  </sheetData>
  <pageMargins left="0.7" right="0.7" top="0.75" bottom="0.75" header="0.3" footer="0.3"/>
  <pageSetup scale="21"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664E7-D393-4EA2-8E02-4894482FA4EA}">
  <sheetPr>
    <pageSetUpPr fitToPage="1"/>
  </sheetPr>
  <dimension ref="A1:AI108"/>
  <sheetViews>
    <sheetView workbookViewId="0">
      <pane xSplit="1" ySplit="1" topLeftCell="AE27" activePane="bottomRight" state="frozen"/>
      <selection pane="topRight" activeCell="B1" sqref="B1"/>
      <selection pane="bottomLeft" activeCell="A2" sqref="A2"/>
      <selection pane="bottomRight" activeCell="AI31" sqref="AI31"/>
    </sheetView>
  </sheetViews>
  <sheetFormatPr baseColWidth="10" defaultColWidth="11.44140625" defaultRowHeight="14.4" x14ac:dyDescent="0.3"/>
  <cols>
    <col min="1" max="1" width="67.88671875" style="1" bestFit="1" customWidth="1"/>
    <col min="2" max="22" width="12.88671875" style="1" customWidth="1"/>
    <col min="23" max="35" width="12.44140625" style="1" bestFit="1" customWidth="1"/>
    <col min="36" max="16384" width="11.44140625" style="1"/>
  </cols>
  <sheetData>
    <row r="1" spans="1:35"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v>45565</v>
      </c>
      <c r="AD1" s="2">
        <v>45657</v>
      </c>
      <c r="AE1" s="2">
        <v>45747</v>
      </c>
      <c r="AF1" s="2">
        <v>45838</v>
      </c>
      <c r="AG1" s="2">
        <v>45930</v>
      </c>
      <c r="AH1" s="2">
        <v>46022</v>
      </c>
      <c r="AI1" s="2">
        <v>46112</v>
      </c>
    </row>
    <row r="2" spans="1:35" s="6" customFormat="1" x14ac:dyDescent="0.3">
      <c r="A2" s="6" t="s">
        <v>269</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c r="AH2" s="10"/>
      <c r="AI2" s="10"/>
    </row>
    <row r="3" spans="1:35"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x14ac:dyDescent="0.3">
      <c r="A5" s="1" t="s">
        <v>11</v>
      </c>
      <c r="B5" s="3">
        <v>122206</v>
      </c>
      <c r="C5" s="3">
        <v>3729314</v>
      </c>
      <c r="D5" s="3">
        <v>5414108</v>
      </c>
      <c r="E5" s="3">
        <v>794924</v>
      </c>
      <c r="F5" s="3">
        <v>193098</v>
      </c>
      <c r="G5" s="3">
        <v>979315</v>
      </c>
      <c r="H5" s="3">
        <v>523132</v>
      </c>
      <c r="I5" s="3">
        <v>703055</v>
      </c>
      <c r="J5" s="3">
        <v>378758</v>
      </c>
      <c r="K5" s="3">
        <v>192673</v>
      </c>
      <c r="L5" s="3">
        <v>856630</v>
      </c>
      <c r="M5" s="3">
        <v>2582282</v>
      </c>
      <c r="N5" s="3">
        <v>2858386</v>
      </c>
      <c r="O5" s="3">
        <v>3210911</v>
      </c>
      <c r="P5" s="3">
        <v>2847838</v>
      </c>
      <c r="Q5" s="3">
        <v>4175730</v>
      </c>
      <c r="R5" s="3">
        <v>4581789</v>
      </c>
      <c r="S5" s="3">
        <v>1231462</v>
      </c>
      <c r="T5" s="3">
        <v>570190</v>
      </c>
      <c r="U5" s="3">
        <v>1839012</v>
      </c>
      <c r="V5" s="3">
        <v>1778190</v>
      </c>
      <c r="W5" s="3">
        <v>17020909</v>
      </c>
      <c r="X5" s="3">
        <v>262440</v>
      </c>
      <c r="Y5" s="3">
        <v>319106</v>
      </c>
      <c r="Z5" s="3">
        <v>631990</v>
      </c>
      <c r="AA5" s="3">
        <v>416650</v>
      </c>
      <c r="AB5" s="3">
        <v>599455</v>
      </c>
      <c r="AC5" s="3">
        <v>280227</v>
      </c>
      <c r="AD5" s="3">
        <v>1237162</v>
      </c>
      <c r="AE5" s="3">
        <v>797342</v>
      </c>
      <c r="AF5" s="3">
        <v>409858</v>
      </c>
      <c r="AG5" s="3">
        <v>694801</v>
      </c>
      <c r="AH5" s="3">
        <v>1751760</v>
      </c>
      <c r="AI5" s="3">
        <v>1010560</v>
      </c>
    </row>
    <row r="6" spans="1:35" x14ac:dyDescent="0.3">
      <c r="A6" s="1" t="s">
        <v>101</v>
      </c>
      <c r="B6" s="3">
        <v>0</v>
      </c>
      <c r="C6" s="3">
        <v>0</v>
      </c>
      <c r="D6" s="3">
        <v>0</v>
      </c>
      <c r="E6" s="3">
        <v>53880</v>
      </c>
      <c r="F6" s="3">
        <v>6</v>
      </c>
      <c r="G6" s="3">
        <v>0</v>
      </c>
      <c r="H6" s="3">
        <v>0</v>
      </c>
      <c r="I6" s="3">
        <v>0</v>
      </c>
      <c r="J6" s="3">
        <v>7</v>
      </c>
      <c r="K6" s="3">
        <v>0</v>
      </c>
      <c r="L6" s="3">
        <v>0</v>
      </c>
      <c r="M6" s="3"/>
      <c r="N6" s="3">
        <v>6</v>
      </c>
      <c r="O6" s="3">
        <v>0</v>
      </c>
      <c r="P6" s="3"/>
      <c r="Q6" s="3"/>
      <c r="R6" s="3">
        <v>8</v>
      </c>
      <c r="S6" s="3"/>
      <c r="T6" s="3">
        <v>0</v>
      </c>
      <c r="U6" s="3">
        <v>0</v>
      </c>
      <c r="V6" s="3">
        <v>8</v>
      </c>
      <c r="W6" s="3">
        <v>0</v>
      </c>
      <c r="X6" s="3">
        <v>0</v>
      </c>
      <c r="Y6" s="3">
        <v>0</v>
      </c>
      <c r="Z6" s="3">
        <v>8</v>
      </c>
      <c r="AA6" s="3">
        <v>0</v>
      </c>
      <c r="AB6" s="3">
        <v>0</v>
      </c>
      <c r="AC6" s="3">
        <v>0</v>
      </c>
      <c r="AD6" s="3">
        <v>9</v>
      </c>
      <c r="AE6" s="3">
        <v>0</v>
      </c>
      <c r="AF6" s="3">
        <v>0</v>
      </c>
      <c r="AG6" s="3">
        <v>0</v>
      </c>
      <c r="AH6" s="3">
        <v>8</v>
      </c>
      <c r="AI6" s="3">
        <v>0</v>
      </c>
    </row>
    <row r="7" spans="1:35" x14ac:dyDescent="0.3">
      <c r="A7" s="1" t="s">
        <v>102</v>
      </c>
      <c r="B7" s="3">
        <v>799632</v>
      </c>
      <c r="C7" s="3">
        <v>412637</v>
      </c>
      <c r="D7" s="3">
        <v>402040</v>
      </c>
      <c r="E7" s="3">
        <v>275234</v>
      </c>
      <c r="F7" s="3">
        <v>242889</v>
      </c>
      <c r="G7" s="3">
        <v>217852</v>
      </c>
      <c r="H7" s="3">
        <v>180955</v>
      </c>
      <c r="I7" s="3">
        <v>154278</v>
      </c>
      <c r="J7" s="3">
        <v>264571</v>
      </c>
      <c r="K7" s="3">
        <v>227221</v>
      </c>
      <c r="L7" s="3">
        <v>174343</v>
      </c>
      <c r="M7" s="3">
        <v>123614</v>
      </c>
      <c r="N7" s="3">
        <v>177585</v>
      </c>
      <c r="O7" s="3">
        <v>147120</v>
      </c>
      <c r="P7" s="3">
        <v>109822</v>
      </c>
      <c r="Q7" s="3">
        <v>312817</v>
      </c>
      <c r="R7" s="3">
        <v>262466</v>
      </c>
      <c r="S7" s="3">
        <v>197431</v>
      </c>
      <c r="T7" s="3">
        <v>131518</v>
      </c>
      <c r="U7" s="3">
        <v>75372</v>
      </c>
      <c r="V7" s="3">
        <v>33259</v>
      </c>
      <c r="W7" s="3">
        <v>393985</v>
      </c>
      <c r="X7" s="3">
        <v>322217</v>
      </c>
      <c r="Y7" s="3">
        <v>162204</v>
      </c>
      <c r="Z7" s="3">
        <v>109250</v>
      </c>
      <c r="AA7" s="3">
        <v>58277</v>
      </c>
      <c r="AB7" s="3">
        <v>9493</v>
      </c>
      <c r="AC7" s="3">
        <v>212436</v>
      </c>
      <c r="AD7" s="3">
        <v>173068</v>
      </c>
      <c r="AE7" s="3">
        <v>134616</v>
      </c>
      <c r="AF7" s="3">
        <v>92693</v>
      </c>
      <c r="AG7" s="3">
        <v>52323</v>
      </c>
      <c r="AH7" s="3">
        <f>26154</f>
        <v>26154</v>
      </c>
      <c r="AI7" s="3">
        <v>131139</v>
      </c>
    </row>
    <row r="8" spans="1:35" x14ac:dyDescent="0.3">
      <c r="A8" s="1" t="s">
        <v>103</v>
      </c>
      <c r="B8" s="3">
        <v>8796880</v>
      </c>
      <c r="C8" s="3">
        <v>11340148</v>
      </c>
      <c r="D8" s="3">
        <v>3643545</v>
      </c>
      <c r="E8" s="3">
        <v>2297570</v>
      </c>
      <c r="F8" s="3">
        <v>166674</v>
      </c>
      <c r="G8" s="3">
        <v>269044</v>
      </c>
      <c r="H8" s="3">
        <v>128264</v>
      </c>
      <c r="I8" s="3">
        <v>118913</v>
      </c>
      <c r="J8" s="3">
        <v>113333</v>
      </c>
      <c r="K8" s="3">
        <v>217236</v>
      </c>
      <c r="L8" s="3">
        <v>640189</v>
      </c>
      <c r="M8" s="3">
        <v>267182</v>
      </c>
      <c r="N8" s="3">
        <v>118480</v>
      </c>
      <c r="O8" s="3">
        <v>116720</v>
      </c>
      <c r="P8" s="3">
        <v>462809</v>
      </c>
      <c r="Q8" s="3">
        <v>104724</v>
      </c>
      <c r="R8" s="3">
        <v>87602</v>
      </c>
      <c r="S8" s="3">
        <v>91886</v>
      </c>
      <c r="T8" s="3">
        <v>406010</v>
      </c>
      <c r="U8" s="3">
        <v>188377</v>
      </c>
      <c r="V8" s="3">
        <v>189427</v>
      </c>
      <c r="W8" s="3">
        <v>34911444</v>
      </c>
      <c r="X8" s="3">
        <v>413891</v>
      </c>
      <c r="Y8" s="3">
        <v>151529</v>
      </c>
      <c r="Z8" s="3">
        <v>145371</v>
      </c>
      <c r="AA8" s="3">
        <v>221130</v>
      </c>
      <c r="AB8" s="3">
        <v>169515</v>
      </c>
      <c r="AC8" s="3">
        <v>203172</v>
      </c>
      <c r="AD8" s="3">
        <v>160651</v>
      </c>
      <c r="AE8" s="3">
        <v>159442</v>
      </c>
      <c r="AF8" s="3">
        <v>157307</v>
      </c>
      <c r="AG8" s="3">
        <v>116318</v>
      </c>
      <c r="AH8" s="3">
        <f>261251</f>
        <v>261251</v>
      </c>
      <c r="AI8" s="3">
        <v>113932</v>
      </c>
    </row>
    <row r="9" spans="1:35" x14ac:dyDescent="0.3">
      <c r="A9" s="1" t="s">
        <v>104</v>
      </c>
      <c r="B9" s="3">
        <v>0</v>
      </c>
      <c r="C9" s="3">
        <v>0</v>
      </c>
      <c r="D9" s="3">
        <v>0</v>
      </c>
      <c r="E9" s="3">
        <v>0</v>
      </c>
      <c r="F9" s="3">
        <v>879848</v>
      </c>
      <c r="G9" s="3">
        <v>0</v>
      </c>
      <c r="H9" s="3">
        <v>0</v>
      </c>
      <c r="I9" s="3">
        <v>0</v>
      </c>
      <c r="J9" s="3">
        <v>0</v>
      </c>
      <c r="K9" s="3">
        <v>0</v>
      </c>
      <c r="L9" s="3">
        <v>0</v>
      </c>
      <c r="M9" s="3"/>
      <c r="N9" s="3">
        <v>0</v>
      </c>
      <c r="O9" s="3">
        <v>5817</v>
      </c>
      <c r="P9" s="3">
        <v>292000</v>
      </c>
      <c r="Q9" s="3"/>
      <c r="R9" s="3">
        <v>0</v>
      </c>
      <c r="S9" s="3"/>
      <c r="T9" s="3">
        <v>0</v>
      </c>
      <c r="U9" s="3">
        <v>0</v>
      </c>
      <c r="V9" s="3">
        <v>0</v>
      </c>
      <c r="W9" s="3">
        <v>0</v>
      </c>
      <c r="X9" s="3">
        <v>0</v>
      </c>
      <c r="Y9" s="3">
        <v>0</v>
      </c>
      <c r="Z9" s="3">
        <v>0</v>
      </c>
      <c r="AA9" s="3">
        <v>0</v>
      </c>
      <c r="AB9" s="3">
        <v>0</v>
      </c>
      <c r="AC9" s="3">
        <v>680000</v>
      </c>
      <c r="AD9" s="3">
        <v>21063</v>
      </c>
      <c r="AE9" s="3">
        <v>74324</v>
      </c>
      <c r="AF9" s="3">
        <v>318000</v>
      </c>
      <c r="AG9" s="3">
        <v>598000</v>
      </c>
      <c r="AH9" s="3">
        <v>0</v>
      </c>
      <c r="AI9" s="3">
        <v>0</v>
      </c>
    </row>
    <row r="10" spans="1:35" x14ac:dyDescent="0.3">
      <c r="A10" s="1" t="s">
        <v>105</v>
      </c>
      <c r="B10" s="3">
        <v>5126560</v>
      </c>
      <c r="C10" s="3">
        <v>5620506</v>
      </c>
      <c r="D10" s="3">
        <v>6652664</v>
      </c>
      <c r="E10" s="3">
        <v>8034980</v>
      </c>
      <c r="F10" s="3">
        <v>268154</v>
      </c>
      <c r="G10" s="3">
        <v>268154</v>
      </c>
      <c r="H10" s="3">
        <v>3613</v>
      </c>
      <c r="I10" s="3">
        <v>170705</v>
      </c>
      <c r="J10" s="3">
        <v>228226</v>
      </c>
      <c r="K10" s="3">
        <v>294659</v>
      </c>
      <c r="L10" s="3">
        <v>55639</v>
      </c>
      <c r="M10" s="3">
        <v>79747</v>
      </c>
      <c r="N10" s="3">
        <v>104812</v>
      </c>
      <c r="O10" s="3">
        <v>130110</v>
      </c>
      <c r="P10" s="3">
        <v>28911</v>
      </c>
      <c r="Q10" s="3">
        <v>28911</v>
      </c>
      <c r="R10" s="3">
        <v>29045</v>
      </c>
      <c r="S10" s="3">
        <v>29045</v>
      </c>
      <c r="T10" s="3">
        <v>3613</v>
      </c>
      <c r="U10" s="3">
        <v>3613</v>
      </c>
      <c r="V10" s="3">
        <v>0</v>
      </c>
      <c r="W10" s="3">
        <v>0</v>
      </c>
      <c r="X10" s="3">
        <v>123939</v>
      </c>
      <c r="Y10" s="3">
        <v>123640</v>
      </c>
      <c r="Z10" s="3">
        <v>135784</v>
      </c>
      <c r="AA10" s="3">
        <v>135626</v>
      </c>
      <c r="AB10" s="3">
        <v>24822</v>
      </c>
      <c r="AC10" s="3">
        <v>22913</v>
      </c>
      <c r="AD10" s="3">
        <v>62464</v>
      </c>
      <c r="AE10" s="3">
        <v>27442</v>
      </c>
      <c r="AF10" s="3">
        <v>780</v>
      </c>
      <c r="AG10" s="3">
        <v>330</v>
      </c>
      <c r="AH10" s="3">
        <v>3193</v>
      </c>
      <c r="AI10" s="3">
        <v>1998</v>
      </c>
    </row>
    <row r="11" spans="1:35" x14ac:dyDescent="0.3">
      <c r="A11" s="1" t="s">
        <v>106</v>
      </c>
      <c r="B11" s="3">
        <v>0</v>
      </c>
      <c r="C11" s="3">
        <v>0</v>
      </c>
      <c r="D11" s="3">
        <v>2396129</v>
      </c>
      <c r="E11" s="3">
        <v>0</v>
      </c>
      <c r="F11" s="3">
        <v>0</v>
      </c>
      <c r="G11" s="3">
        <v>0</v>
      </c>
      <c r="H11" s="3">
        <v>0</v>
      </c>
      <c r="I11" s="3">
        <v>0</v>
      </c>
      <c r="J11" s="3">
        <v>0</v>
      </c>
      <c r="K11" s="3">
        <v>0</v>
      </c>
      <c r="L11" s="3">
        <v>0</v>
      </c>
      <c r="M11" s="3"/>
      <c r="N11" s="3">
        <v>0</v>
      </c>
      <c r="O11" s="3">
        <v>0</v>
      </c>
      <c r="P11" s="3"/>
      <c r="Q11" s="3"/>
      <c r="R11" s="3">
        <v>0</v>
      </c>
      <c r="S11" s="3"/>
      <c r="T11" s="3"/>
      <c r="U11" s="3"/>
      <c r="V11" s="3">
        <v>39918270</v>
      </c>
      <c r="W11" s="3">
        <v>0</v>
      </c>
      <c r="X11" s="3">
        <v>0</v>
      </c>
      <c r="Y11" s="3">
        <v>0</v>
      </c>
      <c r="Z11" s="3">
        <v>0</v>
      </c>
      <c r="AA11" s="3">
        <v>0</v>
      </c>
      <c r="AB11" s="3">
        <v>0</v>
      </c>
      <c r="AC11" s="3">
        <v>0</v>
      </c>
      <c r="AD11" s="3">
        <v>0</v>
      </c>
      <c r="AE11" s="3">
        <v>0</v>
      </c>
      <c r="AF11" s="3">
        <v>0</v>
      </c>
      <c r="AG11" s="3">
        <v>0</v>
      </c>
      <c r="AH11" s="3">
        <v>0</v>
      </c>
      <c r="AI11" s="3">
        <v>0</v>
      </c>
    </row>
    <row r="12" spans="1:35" s="6" customFormat="1" x14ac:dyDescent="0.3">
      <c r="A12" s="6" t="s">
        <v>15</v>
      </c>
      <c r="B12" s="7">
        <f>+SUM(B2:B11)</f>
        <v>14845278</v>
      </c>
      <c r="C12" s="7">
        <f t="shared" ref="C12:U12" si="0">+SUM(C2:C11)</f>
        <v>21102605</v>
      </c>
      <c r="D12" s="7">
        <f t="shared" si="0"/>
        <v>18508486</v>
      </c>
      <c r="E12" s="7">
        <f t="shared" si="0"/>
        <v>11456588</v>
      </c>
      <c r="F12" s="7">
        <f t="shared" si="0"/>
        <v>1750669</v>
      </c>
      <c r="G12" s="7">
        <f t="shared" si="0"/>
        <v>1734365</v>
      </c>
      <c r="H12" s="7">
        <f t="shared" si="0"/>
        <v>835964</v>
      </c>
      <c r="I12" s="7">
        <f t="shared" si="0"/>
        <v>1146951</v>
      </c>
      <c r="J12" s="7">
        <f t="shared" si="0"/>
        <v>984895</v>
      </c>
      <c r="K12" s="7">
        <f t="shared" si="0"/>
        <v>931789</v>
      </c>
      <c r="L12" s="7">
        <f t="shared" si="0"/>
        <v>1726801</v>
      </c>
      <c r="M12" s="7">
        <f t="shared" si="0"/>
        <v>3052825</v>
      </c>
      <c r="N12" s="7">
        <f t="shared" si="0"/>
        <v>3259269</v>
      </c>
      <c r="O12" s="7">
        <f t="shared" si="0"/>
        <v>3610678</v>
      </c>
      <c r="P12" s="7">
        <f t="shared" si="0"/>
        <v>3741380</v>
      </c>
      <c r="Q12" s="7">
        <f t="shared" si="0"/>
        <v>4622182</v>
      </c>
      <c r="R12" s="7">
        <f t="shared" si="0"/>
        <v>4960910</v>
      </c>
      <c r="S12" s="7">
        <f t="shared" si="0"/>
        <v>1549824</v>
      </c>
      <c r="T12" s="7">
        <f t="shared" si="0"/>
        <v>1111331</v>
      </c>
      <c r="U12" s="7">
        <f t="shared" si="0"/>
        <v>2106374</v>
      </c>
      <c r="V12" s="7">
        <f t="shared" ref="V12:Z12" si="1">+SUM(V2:V11)</f>
        <v>41919154</v>
      </c>
      <c r="W12" s="7">
        <f t="shared" si="1"/>
        <v>52326338</v>
      </c>
      <c r="X12" s="7">
        <f t="shared" si="1"/>
        <v>1122487</v>
      </c>
      <c r="Y12" s="7">
        <f t="shared" si="1"/>
        <v>756479</v>
      </c>
      <c r="Z12" s="7">
        <f t="shared" si="1"/>
        <v>1022403</v>
      </c>
      <c r="AA12" s="7">
        <f t="shared" ref="AA12:AB12" si="2">+SUM(AA2:AA11)</f>
        <v>831683</v>
      </c>
      <c r="AB12" s="7">
        <f t="shared" si="2"/>
        <v>803285</v>
      </c>
      <c r="AC12" s="7">
        <f t="shared" ref="AC12:AD12" si="3">+SUM(AC2:AC11)</f>
        <v>1398748</v>
      </c>
      <c r="AD12" s="7">
        <f t="shared" si="3"/>
        <v>1654417</v>
      </c>
      <c r="AE12" s="7">
        <f t="shared" ref="AE12:AF12" si="4">+SUM(AE2:AE11)</f>
        <v>1193166</v>
      </c>
      <c r="AF12" s="7">
        <f t="shared" si="4"/>
        <v>978638</v>
      </c>
      <c r="AG12" s="7">
        <f t="shared" ref="AG12:AH12" si="5">+SUM(AG2:AG11)</f>
        <v>1461772</v>
      </c>
      <c r="AH12" s="7">
        <f t="shared" si="5"/>
        <v>2042366</v>
      </c>
      <c r="AI12" s="7">
        <f t="shared" ref="AI12" si="6">+SUM(AI2:AI11)</f>
        <v>1257629</v>
      </c>
    </row>
    <row r="13" spans="1:35" x14ac:dyDescent="0.3">
      <c r="A13" s="1" t="s">
        <v>16</v>
      </c>
      <c r="B13" s="3"/>
      <c r="C13" s="3"/>
      <c r="D13" s="3"/>
      <c r="E13" s="3"/>
      <c r="F13" s="3"/>
      <c r="G13" s="3"/>
      <c r="H13" s="3"/>
      <c r="I13" s="3"/>
      <c r="J13" s="3"/>
      <c r="K13" s="3"/>
      <c r="L13" s="3"/>
      <c r="M13" s="3"/>
      <c r="N13" s="3"/>
      <c r="O13" s="3"/>
      <c r="P13" s="3"/>
      <c r="Q13" s="3"/>
      <c r="R13" s="3"/>
      <c r="S13" s="3"/>
      <c r="T13" s="3"/>
      <c r="U13" s="3"/>
      <c r="V13" s="3"/>
    </row>
    <row r="14" spans="1:35" x14ac:dyDescent="0.3">
      <c r="A14" s="1" t="s">
        <v>107</v>
      </c>
      <c r="B14" s="3">
        <v>64539</v>
      </c>
      <c r="C14" s="3">
        <v>168711</v>
      </c>
      <c r="D14" s="3">
        <v>450186</v>
      </c>
      <c r="E14" s="3">
        <v>378874</v>
      </c>
      <c r="F14" s="3">
        <v>0</v>
      </c>
      <c r="G14" s="3">
        <v>0</v>
      </c>
      <c r="H14" s="3">
        <v>0</v>
      </c>
      <c r="I14" s="3"/>
      <c r="J14" s="3">
        <v>0</v>
      </c>
      <c r="K14" s="3">
        <v>0</v>
      </c>
      <c r="L14" s="3">
        <v>0</v>
      </c>
      <c r="M14" s="3"/>
      <c r="N14" s="3">
        <v>0</v>
      </c>
      <c r="O14" s="3"/>
      <c r="P14" s="3"/>
      <c r="Q14" s="3"/>
      <c r="R14" s="3">
        <v>0</v>
      </c>
      <c r="S14" s="3"/>
      <c r="T14" s="3">
        <v>0</v>
      </c>
      <c r="U14" s="3">
        <v>0</v>
      </c>
      <c r="V14" s="3">
        <v>0</v>
      </c>
      <c r="W14" s="3">
        <v>0</v>
      </c>
      <c r="X14" s="3">
        <v>0</v>
      </c>
      <c r="Y14" s="3">
        <v>0</v>
      </c>
      <c r="Z14" s="3">
        <v>0</v>
      </c>
      <c r="AA14" s="3">
        <v>0</v>
      </c>
      <c r="AB14" s="3">
        <v>0</v>
      </c>
      <c r="AC14" s="3">
        <v>0</v>
      </c>
      <c r="AD14" s="3">
        <v>0</v>
      </c>
      <c r="AE14" s="3">
        <v>0</v>
      </c>
      <c r="AF14" s="3">
        <v>0</v>
      </c>
      <c r="AG14" s="3">
        <v>0</v>
      </c>
      <c r="AH14" s="3">
        <v>0</v>
      </c>
      <c r="AI14" s="3">
        <v>0</v>
      </c>
    </row>
    <row r="15" spans="1:35" x14ac:dyDescent="0.3">
      <c r="A15" s="1" t="s">
        <v>108</v>
      </c>
      <c r="B15" s="3">
        <v>499552</v>
      </c>
      <c r="C15" s="3">
        <v>51377</v>
      </c>
      <c r="D15" s="3">
        <v>0</v>
      </c>
      <c r="E15" s="3">
        <v>0</v>
      </c>
      <c r="F15" s="3">
        <v>0</v>
      </c>
      <c r="G15" s="3">
        <v>0</v>
      </c>
      <c r="H15" s="3">
        <v>0</v>
      </c>
      <c r="I15" s="3"/>
      <c r="J15" s="3">
        <v>0</v>
      </c>
      <c r="K15" s="3">
        <v>0</v>
      </c>
      <c r="L15" s="3">
        <v>0</v>
      </c>
      <c r="M15" s="3"/>
      <c r="N15" s="3">
        <v>0</v>
      </c>
      <c r="O15" s="3"/>
      <c r="P15" s="3"/>
      <c r="Q15" s="3"/>
      <c r="R15" s="3">
        <v>0</v>
      </c>
      <c r="S15" s="3"/>
      <c r="T15" s="3">
        <v>0</v>
      </c>
      <c r="U15" s="3">
        <v>46733</v>
      </c>
      <c r="V15" s="3">
        <v>47897</v>
      </c>
      <c r="W15" s="3">
        <v>48530</v>
      </c>
      <c r="X15" s="3">
        <v>49232</v>
      </c>
      <c r="Y15" s="3">
        <v>49379</v>
      </c>
      <c r="Z15" s="3">
        <v>50186</v>
      </c>
      <c r="AA15" s="3">
        <v>50601</v>
      </c>
      <c r="AB15" s="3">
        <f>14929+51254</f>
        <v>66183</v>
      </c>
      <c r="AC15" s="3">
        <v>61758</v>
      </c>
      <c r="AD15" s="3">
        <f>8480+52406</f>
        <v>60886</v>
      </c>
      <c r="AE15" s="3">
        <v>53058</v>
      </c>
      <c r="AF15" s="3">
        <v>53566</v>
      </c>
      <c r="AG15" s="3">
        <v>53864</v>
      </c>
      <c r="AH15" s="3">
        <v>54195</v>
      </c>
      <c r="AI15" s="3">
        <v>54350</v>
      </c>
    </row>
    <row r="16" spans="1:35" x14ac:dyDescent="0.3">
      <c r="A16" s="1" t="s">
        <v>109</v>
      </c>
      <c r="B16" s="3">
        <v>13938344</v>
      </c>
      <c r="C16" s="3">
        <v>14480436</v>
      </c>
      <c r="D16" s="3">
        <v>14886609</v>
      </c>
      <c r="E16" s="3">
        <v>21143733</v>
      </c>
      <c r="F16" s="3">
        <v>0</v>
      </c>
      <c r="G16" s="3">
        <v>361004</v>
      </c>
      <c r="H16" s="3">
        <v>361333</v>
      </c>
      <c r="I16" s="3">
        <v>6484259</v>
      </c>
      <c r="J16" s="3">
        <v>0</v>
      </c>
      <c r="K16" s="3">
        <v>453312</v>
      </c>
      <c r="L16" s="3">
        <v>436926</v>
      </c>
      <c r="M16" s="3">
        <v>419325</v>
      </c>
      <c r="N16" s="3">
        <v>0</v>
      </c>
      <c r="O16" s="3">
        <v>384035</v>
      </c>
      <c r="P16" s="3">
        <v>387196</v>
      </c>
      <c r="Q16" s="3">
        <v>431961</v>
      </c>
      <c r="R16" s="3">
        <v>0</v>
      </c>
      <c r="S16" s="3">
        <v>419235</v>
      </c>
      <c r="T16" s="3">
        <v>495902</v>
      </c>
      <c r="U16" s="3">
        <v>510884</v>
      </c>
      <c r="V16" s="3">
        <v>0</v>
      </c>
      <c r="W16" s="3">
        <v>420528</v>
      </c>
      <c r="X16" s="3">
        <v>426513</v>
      </c>
      <c r="Y16" s="3">
        <v>476493</v>
      </c>
      <c r="Z16" s="3">
        <v>0</v>
      </c>
      <c r="AA16" s="3">
        <v>880635</v>
      </c>
      <c r="AB16" s="3">
        <v>826378</v>
      </c>
      <c r="AC16" s="3">
        <v>806158</v>
      </c>
      <c r="AD16" s="3">
        <v>0</v>
      </c>
      <c r="AE16" s="3">
        <v>844131</v>
      </c>
      <c r="AF16" s="3">
        <v>1170667</v>
      </c>
      <c r="AG16" s="3">
        <v>1224744</v>
      </c>
      <c r="AH16" s="3">
        <v>0</v>
      </c>
      <c r="AI16" s="3">
        <v>1794276</v>
      </c>
    </row>
    <row r="17" spans="1:35" x14ac:dyDescent="0.3">
      <c r="A17" s="13" t="s">
        <v>110</v>
      </c>
      <c r="B17" s="3">
        <v>10009292</v>
      </c>
      <c r="C17" s="3">
        <v>22434686</v>
      </c>
      <c r="D17" s="3">
        <v>28552231</v>
      </c>
      <c r="E17" s="3">
        <v>33160492</v>
      </c>
      <c r="F17" s="3">
        <v>0</v>
      </c>
      <c r="G17" s="3">
        <v>0</v>
      </c>
      <c r="H17" s="3">
        <v>0</v>
      </c>
      <c r="I17" s="3"/>
      <c r="J17" s="3">
        <v>0</v>
      </c>
      <c r="K17" s="3">
        <v>1</v>
      </c>
      <c r="L17" s="3">
        <v>1</v>
      </c>
      <c r="M17" s="3">
        <v>1</v>
      </c>
      <c r="N17" s="3">
        <v>0</v>
      </c>
      <c r="O17" s="3">
        <v>1</v>
      </c>
      <c r="P17" s="3">
        <v>1</v>
      </c>
      <c r="Q17" s="3">
        <v>1</v>
      </c>
      <c r="R17" s="3">
        <v>0</v>
      </c>
      <c r="S17" s="3"/>
      <c r="T17" s="3">
        <v>0</v>
      </c>
      <c r="U17" s="3">
        <v>0</v>
      </c>
      <c r="V17" s="3">
        <v>0</v>
      </c>
      <c r="W17" s="3">
        <v>0</v>
      </c>
      <c r="X17" s="3">
        <v>0</v>
      </c>
      <c r="Y17" s="3">
        <v>0</v>
      </c>
      <c r="Z17" s="3">
        <v>0</v>
      </c>
      <c r="AA17" s="3">
        <v>17054353</v>
      </c>
      <c r="AB17" s="3">
        <v>15199360</v>
      </c>
      <c r="AC17" s="3">
        <v>15264870</v>
      </c>
      <c r="AD17" s="3">
        <v>0</v>
      </c>
      <c r="AE17" s="3">
        <v>12344045</v>
      </c>
      <c r="AF17" s="3">
        <v>11674521</v>
      </c>
      <c r="AG17" s="3">
        <v>11628537</v>
      </c>
      <c r="AH17" s="3">
        <v>0</v>
      </c>
      <c r="AI17" s="3">
        <v>11662640</v>
      </c>
    </row>
    <row r="18" spans="1:35" x14ac:dyDescent="0.3">
      <c r="A18" s="13" t="s">
        <v>111</v>
      </c>
      <c r="B18" s="3">
        <v>0</v>
      </c>
      <c r="C18" s="3">
        <v>3231953</v>
      </c>
      <c r="D18" s="3">
        <v>3231953</v>
      </c>
      <c r="E18" s="3">
        <v>3231953</v>
      </c>
      <c r="F18" s="3">
        <v>0</v>
      </c>
      <c r="G18" s="3">
        <v>0</v>
      </c>
      <c r="H18" s="3">
        <v>0</v>
      </c>
      <c r="I18" s="3"/>
      <c r="J18" s="3">
        <v>0</v>
      </c>
      <c r="K18" s="3">
        <v>0</v>
      </c>
      <c r="L18" s="3">
        <v>0</v>
      </c>
      <c r="M18" s="3"/>
      <c r="N18" s="3">
        <v>0</v>
      </c>
      <c r="O18" s="3"/>
      <c r="P18" s="3"/>
      <c r="Q18" s="3"/>
      <c r="R18" s="3">
        <v>0</v>
      </c>
      <c r="S18" s="3"/>
      <c r="T18" s="3">
        <v>0</v>
      </c>
      <c r="U18" s="3">
        <v>0</v>
      </c>
      <c r="V18" s="3">
        <v>0</v>
      </c>
      <c r="W18" s="3">
        <v>0</v>
      </c>
      <c r="X18" s="3">
        <v>0</v>
      </c>
      <c r="Y18" s="3">
        <v>0</v>
      </c>
      <c r="Z18" s="3">
        <v>0</v>
      </c>
      <c r="AA18" s="3">
        <v>0</v>
      </c>
      <c r="AB18" s="3">
        <v>0</v>
      </c>
      <c r="AC18" s="3">
        <v>0</v>
      </c>
      <c r="AD18" s="3">
        <v>0</v>
      </c>
      <c r="AE18" s="3">
        <v>0</v>
      </c>
      <c r="AF18" s="3">
        <v>0</v>
      </c>
      <c r="AG18" s="3">
        <v>0</v>
      </c>
      <c r="AH18" s="3">
        <v>0</v>
      </c>
      <c r="AI18" s="3">
        <v>0</v>
      </c>
    </row>
    <row r="19" spans="1:35" x14ac:dyDescent="0.3">
      <c r="A19" s="1" t="s">
        <v>112</v>
      </c>
      <c r="B19" s="3">
        <v>178160878</v>
      </c>
      <c r="C19" s="3">
        <v>186870806</v>
      </c>
      <c r="D19" s="3">
        <v>209974702</v>
      </c>
      <c r="E19" s="3">
        <v>229842549</v>
      </c>
      <c r="F19" s="3">
        <v>144036498</v>
      </c>
      <c r="G19" s="3">
        <v>144226453</v>
      </c>
      <c r="H19" s="3">
        <v>146241182</v>
      </c>
      <c r="I19" s="3">
        <v>149140730</v>
      </c>
      <c r="J19" s="3">
        <v>149658782</v>
      </c>
      <c r="K19" s="3">
        <v>151361852</v>
      </c>
      <c r="L19" s="3">
        <v>150399443</v>
      </c>
      <c r="M19" s="3">
        <v>150576905</v>
      </c>
      <c r="N19" s="3">
        <v>152642479</v>
      </c>
      <c r="O19" s="3">
        <v>154387206</v>
      </c>
      <c r="P19" s="3">
        <v>157296650</v>
      </c>
      <c r="Q19" s="3">
        <v>159401078</v>
      </c>
      <c r="R19" s="3">
        <v>164275740</v>
      </c>
      <c r="S19" s="3">
        <v>168159777</v>
      </c>
      <c r="T19" s="3">
        <v>173241215</v>
      </c>
      <c r="U19" s="3">
        <v>179381423</v>
      </c>
      <c r="V19" s="3">
        <v>143949643</v>
      </c>
      <c r="W19" s="3">
        <v>145730552</v>
      </c>
      <c r="X19" s="3">
        <v>147834475</v>
      </c>
      <c r="Y19" s="3">
        <v>143780947</v>
      </c>
      <c r="Z19" s="3">
        <v>151746352</v>
      </c>
      <c r="AA19" s="3">
        <v>132365309</v>
      </c>
      <c r="AB19" s="3">
        <v>133200011</v>
      </c>
      <c r="AC19" s="3">
        <v>134429368</v>
      </c>
      <c r="AD19" s="3">
        <v>154092660</v>
      </c>
      <c r="AE19" s="3">
        <v>140327085</v>
      </c>
      <c r="AF19" s="3">
        <v>133742872</v>
      </c>
      <c r="AG19" s="3">
        <v>134383643</v>
      </c>
      <c r="AH19" s="3">
        <v>150494918</v>
      </c>
      <c r="AI19" s="3">
        <v>135621002</v>
      </c>
    </row>
    <row r="20" spans="1:35" x14ac:dyDescent="0.3">
      <c r="A20" s="1" t="s">
        <v>113</v>
      </c>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row>
    <row r="21" spans="1:35" s="6" customFormat="1" x14ac:dyDescent="0.3">
      <c r="A21" s="6" t="s">
        <v>18</v>
      </c>
      <c r="B21" s="7">
        <f t="shared" ref="B21:V21" si="7">+SUM(B13:B20)</f>
        <v>202672605</v>
      </c>
      <c r="C21" s="7">
        <f t="shared" si="7"/>
        <v>227237969</v>
      </c>
      <c r="D21" s="7">
        <f t="shared" si="7"/>
        <v>257095681</v>
      </c>
      <c r="E21" s="7">
        <f t="shared" si="7"/>
        <v>287757601</v>
      </c>
      <c r="F21" s="7">
        <f t="shared" si="7"/>
        <v>144036498</v>
      </c>
      <c r="G21" s="7">
        <f t="shared" ref="G21:I21" si="8">+SUM(G13:G20)</f>
        <v>144587457</v>
      </c>
      <c r="H21" s="7">
        <f t="shared" si="8"/>
        <v>146602515</v>
      </c>
      <c r="I21" s="7">
        <f t="shared" si="8"/>
        <v>155624989</v>
      </c>
      <c r="J21" s="7">
        <f t="shared" si="7"/>
        <v>149658782</v>
      </c>
      <c r="K21" s="7">
        <f t="shared" ref="K21:M21" si="9">+SUM(K13:K20)</f>
        <v>151815165</v>
      </c>
      <c r="L21" s="7">
        <f t="shared" si="9"/>
        <v>150836370</v>
      </c>
      <c r="M21" s="7">
        <f t="shared" si="9"/>
        <v>150996231</v>
      </c>
      <c r="N21" s="7">
        <f t="shared" si="7"/>
        <v>152642479</v>
      </c>
      <c r="O21" s="7">
        <f t="shared" ref="O21:Q21" si="10">+SUM(O13:O20)</f>
        <v>154771242</v>
      </c>
      <c r="P21" s="7">
        <f t="shared" si="10"/>
        <v>157683847</v>
      </c>
      <c r="Q21" s="7">
        <f t="shared" si="10"/>
        <v>159833040</v>
      </c>
      <c r="R21" s="7">
        <f t="shared" si="7"/>
        <v>164275740</v>
      </c>
      <c r="S21" s="7">
        <f t="shared" ref="S21:U21" si="11">+SUM(S13:S20)</f>
        <v>168579012</v>
      </c>
      <c r="T21" s="7">
        <f t="shared" si="11"/>
        <v>173737117</v>
      </c>
      <c r="U21" s="7">
        <f t="shared" si="11"/>
        <v>179939040</v>
      </c>
      <c r="V21" s="7">
        <f t="shared" si="7"/>
        <v>143997540</v>
      </c>
      <c r="W21" s="7">
        <f t="shared" ref="W21:Z21" si="12">+SUM(W13:W20)</f>
        <v>146199610</v>
      </c>
      <c r="X21" s="7">
        <f t="shared" si="12"/>
        <v>148310220</v>
      </c>
      <c r="Y21" s="7">
        <f t="shared" si="12"/>
        <v>144306819</v>
      </c>
      <c r="Z21" s="7">
        <f t="shared" si="12"/>
        <v>151796538</v>
      </c>
      <c r="AA21" s="7">
        <f t="shared" ref="AA21:AB21" si="13">+SUM(AA13:AA20)</f>
        <v>150350898</v>
      </c>
      <c r="AB21" s="7">
        <f t="shared" si="13"/>
        <v>149291932</v>
      </c>
      <c r="AC21" s="7">
        <f t="shared" ref="AC21:AD21" si="14">+SUM(AC13:AC20)</f>
        <v>150562154</v>
      </c>
      <c r="AD21" s="7">
        <f t="shared" si="14"/>
        <v>154153546</v>
      </c>
      <c r="AE21" s="7">
        <f t="shared" ref="AE21:AF21" si="15">+SUM(AE13:AE20)</f>
        <v>153568319</v>
      </c>
      <c r="AF21" s="7">
        <f t="shared" si="15"/>
        <v>146641626</v>
      </c>
      <c r="AG21" s="7">
        <f t="shared" ref="AG21:AH21" si="16">+SUM(AG13:AG20)</f>
        <v>147290788</v>
      </c>
      <c r="AH21" s="7">
        <f t="shared" si="16"/>
        <v>150549113</v>
      </c>
      <c r="AI21" s="7">
        <f t="shared" ref="AI21" si="17">+SUM(AI13:AI20)</f>
        <v>149132268</v>
      </c>
    </row>
    <row r="22" spans="1:35" s="6" customFormat="1" x14ac:dyDescent="0.3">
      <c r="A22" s="6" t="s">
        <v>19</v>
      </c>
      <c r="B22" s="7">
        <f t="shared" ref="B22:V22" si="18">+B21+B12</f>
        <v>217517883</v>
      </c>
      <c r="C22" s="7">
        <f t="shared" si="18"/>
        <v>248340574</v>
      </c>
      <c r="D22" s="7">
        <f t="shared" si="18"/>
        <v>275604167</v>
      </c>
      <c r="E22" s="7">
        <f t="shared" si="18"/>
        <v>299214189</v>
      </c>
      <c r="F22" s="7">
        <f t="shared" si="18"/>
        <v>145787167</v>
      </c>
      <c r="G22" s="7">
        <f t="shared" ref="G22:I22" si="19">+G21+G12</f>
        <v>146321822</v>
      </c>
      <c r="H22" s="7">
        <f t="shared" si="19"/>
        <v>147438479</v>
      </c>
      <c r="I22" s="7">
        <f t="shared" si="19"/>
        <v>156771940</v>
      </c>
      <c r="J22" s="7">
        <f t="shared" si="18"/>
        <v>150643677</v>
      </c>
      <c r="K22" s="7">
        <f t="shared" ref="K22:M22" si="20">+K21+K12</f>
        <v>152746954</v>
      </c>
      <c r="L22" s="7">
        <f t="shared" si="20"/>
        <v>152563171</v>
      </c>
      <c r="M22" s="7">
        <f t="shared" si="20"/>
        <v>154049056</v>
      </c>
      <c r="N22" s="7">
        <f t="shared" si="18"/>
        <v>155901748</v>
      </c>
      <c r="O22" s="7">
        <f t="shared" ref="O22:Q22" si="21">+O21+O12</f>
        <v>158381920</v>
      </c>
      <c r="P22" s="7">
        <f t="shared" si="21"/>
        <v>161425227</v>
      </c>
      <c r="Q22" s="7">
        <f t="shared" si="21"/>
        <v>164455222</v>
      </c>
      <c r="R22" s="7">
        <f t="shared" si="18"/>
        <v>169236650</v>
      </c>
      <c r="S22" s="7">
        <f t="shared" ref="S22:U22" si="22">+S21+S12</f>
        <v>170128836</v>
      </c>
      <c r="T22" s="7">
        <f t="shared" si="22"/>
        <v>174848448</v>
      </c>
      <c r="U22" s="7">
        <f t="shared" si="22"/>
        <v>182045414</v>
      </c>
      <c r="V22" s="7">
        <f t="shared" si="18"/>
        <v>185916694</v>
      </c>
      <c r="W22" s="7">
        <f t="shared" ref="W22:Z22" si="23">+W21+W12</f>
        <v>198525948</v>
      </c>
      <c r="X22" s="7">
        <f t="shared" si="23"/>
        <v>149432707</v>
      </c>
      <c r="Y22" s="7">
        <f t="shared" si="23"/>
        <v>145063298</v>
      </c>
      <c r="Z22" s="7">
        <f t="shared" si="23"/>
        <v>152818941</v>
      </c>
      <c r="AA22" s="7">
        <f t="shared" ref="AA22:AB22" si="24">+AA21+AA12</f>
        <v>151182581</v>
      </c>
      <c r="AB22" s="7">
        <f t="shared" si="24"/>
        <v>150095217</v>
      </c>
      <c r="AC22" s="7">
        <f t="shared" ref="AC22:AD22" si="25">+AC21+AC12</f>
        <v>151960902</v>
      </c>
      <c r="AD22" s="7">
        <f t="shared" si="25"/>
        <v>155807963</v>
      </c>
      <c r="AE22" s="7">
        <f t="shared" ref="AE22:AF22" si="26">+AE21+AE12</f>
        <v>154761485</v>
      </c>
      <c r="AF22" s="7">
        <f t="shared" si="26"/>
        <v>147620264</v>
      </c>
      <c r="AG22" s="7">
        <f t="shared" ref="AG22:AH22" si="27">+AG21+AG12</f>
        <v>148752560</v>
      </c>
      <c r="AH22" s="7">
        <f t="shared" si="27"/>
        <v>152591479</v>
      </c>
      <c r="AI22" s="7">
        <f t="shared" ref="AI22" si="28">+AI21+AI12</f>
        <v>150389897</v>
      </c>
    </row>
    <row r="23" spans="1:35" x14ac:dyDescent="0.3">
      <c r="A23" s="1" t="s">
        <v>114</v>
      </c>
      <c r="B23" s="3"/>
      <c r="C23" s="3"/>
      <c r="D23" s="3"/>
      <c r="E23" s="3"/>
      <c r="F23" s="3"/>
      <c r="G23" s="3"/>
      <c r="H23" s="3"/>
      <c r="I23" s="3"/>
      <c r="J23" s="3"/>
      <c r="K23" s="3"/>
      <c r="L23" s="3"/>
      <c r="M23" s="3"/>
      <c r="N23" s="3"/>
      <c r="O23" s="3"/>
      <c r="P23" s="3"/>
      <c r="Q23" s="3"/>
      <c r="R23" s="3"/>
      <c r="S23" s="3"/>
      <c r="T23" s="3"/>
      <c r="U23" s="3"/>
      <c r="V23" s="3"/>
    </row>
    <row r="24" spans="1:35" x14ac:dyDescent="0.3">
      <c r="A24" s="1" t="s">
        <v>21</v>
      </c>
      <c r="B24" s="3"/>
      <c r="C24" s="3"/>
      <c r="D24" s="3"/>
      <c r="E24" s="3"/>
      <c r="F24" s="3"/>
      <c r="G24" s="3"/>
      <c r="H24" s="3"/>
      <c r="I24" s="3"/>
      <c r="J24" s="3"/>
      <c r="K24" s="3"/>
      <c r="L24" s="3"/>
      <c r="M24" s="3"/>
      <c r="N24" s="3"/>
      <c r="O24" s="3"/>
      <c r="P24" s="3"/>
      <c r="Q24" s="3"/>
      <c r="R24" s="3"/>
      <c r="S24" s="3"/>
      <c r="T24" s="3"/>
      <c r="U24" s="3"/>
      <c r="V24" s="3"/>
    </row>
    <row r="25" spans="1:35" x14ac:dyDescent="0.3">
      <c r="A25" s="1" t="s">
        <v>115</v>
      </c>
      <c r="B25" s="3">
        <v>1443328</v>
      </c>
      <c r="C25" s="3">
        <v>1559020</v>
      </c>
      <c r="D25" s="3">
        <v>91057</v>
      </c>
      <c r="E25" s="3">
        <v>97290</v>
      </c>
      <c r="F25" s="3">
        <v>105136</v>
      </c>
      <c r="G25" s="3">
        <v>106198</v>
      </c>
      <c r="H25" s="3">
        <v>108843</v>
      </c>
      <c r="I25" s="3">
        <v>110777</v>
      </c>
      <c r="J25" s="3">
        <v>113192</v>
      </c>
      <c r="K25" s="3">
        <v>115972</v>
      </c>
      <c r="L25" s="3">
        <v>1280760</v>
      </c>
      <c r="M25" s="3">
        <v>1923657</v>
      </c>
      <c r="N25" s="3">
        <v>5214775</v>
      </c>
      <c r="O25" s="3">
        <v>642577</v>
      </c>
      <c r="P25" s="3">
        <v>1285494</v>
      </c>
      <c r="Q25" s="3">
        <v>1953079</v>
      </c>
      <c r="R25" s="3">
        <v>5471740</v>
      </c>
      <c r="S25" s="3">
        <v>724342</v>
      </c>
      <c r="T25" s="3">
        <v>1840814</v>
      </c>
      <c r="U25" s="3">
        <v>3042212</v>
      </c>
      <c r="V25" s="3">
        <v>6784107</v>
      </c>
      <c r="W25" s="3">
        <v>805379</v>
      </c>
      <c r="X25" s="3">
        <v>796253</v>
      </c>
      <c r="Y25" s="3">
        <v>1572698</v>
      </c>
      <c r="Z25" s="3">
        <v>2384615</v>
      </c>
      <c r="AA25" s="3">
        <v>3175473</v>
      </c>
      <c r="AB25" s="3">
        <v>3984670</v>
      </c>
      <c r="AC25" s="3">
        <v>4814800</v>
      </c>
      <c r="AD25" s="3">
        <v>5673200</v>
      </c>
      <c r="AE25" s="3">
        <v>6493390</v>
      </c>
      <c r="AF25" s="3">
        <v>7341650</v>
      </c>
      <c r="AG25" s="3">
        <v>8206015</v>
      </c>
      <c r="AH25" s="3">
        <v>4019468</v>
      </c>
      <c r="AI25" s="3">
        <v>1735081</v>
      </c>
    </row>
    <row r="26" spans="1:35" x14ac:dyDescent="0.3">
      <c r="A26" s="1" t="s">
        <v>116</v>
      </c>
      <c r="B26" s="3">
        <v>667789</v>
      </c>
      <c r="C26" s="3">
        <v>1121980</v>
      </c>
      <c r="D26" s="3">
        <v>3082142</v>
      </c>
      <c r="E26" s="3">
        <v>602721</v>
      </c>
      <c r="F26" s="3">
        <v>389066</v>
      </c>
      <c r="G26" s="3">
        <v>238447</v>
      </c>
      <c r="H26" s="3">
        <v>220061</v>
      </c>
      <c r="I26" s="3">
        <v>665185</v>
      </c>
      <c r="J26" s="3">
        <v>440222</v>
      </c>
      <c r="K26" s="3">
        <v>213583</v>
      </c>
      <c r="L26" s="3">
        <v>387447</v>
      </c>
      <c r="M26" s="3">
        <v>168947</v>
      </c>
      <c r="N26" s="3">
        <v>153423</v>
      </c>
      <c r="O26" s="3">
        <v>167609</v>
      </c>
      <c r="P26" s="3">
        <v>125044</v>
      </c>
      <c r="Q26" s="3">
        <v>407049</v>
      </c>
      <c r="R26" s="3">
        <v>361040</v>
      </c>
      <c r="S26" s="3">
        <v>211242</v>
      </c>
      <c r="T26" s="3">
        <v>209446</v>
      </c>
      <c r="U26" s="3">
        <v>194690</v>
      </c>
      <c r="V26" s="3">
        <v>303033</v>
      </c>
      <c r="W26" s="3">
        <v>615854</v>
      </c>
      <c r="X26" s="3">
        <v>338986</v>
      </c>
      <c r="Y26" s="3">
        <v>260160</v>
      </c>
      <c r="Z26" s="3">
        <v>387384</v>
      </c>
      <c r="AA26" s="3">
        <v>128141</v>
      </c>
      <c r="AB26" s="3">
        <f>84223</f>
        <v>84223</v>
      </c>
      <c r="AC26" s="3">
        <v>456236</v>
      </c>
      <c r="AD26" s="3">
        <v>234410</v>
      </c>
      <c r="AE26" s="3">
        <v>163108</v>
      </c>
      <c r="AF26" s="3">
        <v>187993</v>
      </c>
      <c r="AG26" s="3">
        <v>166786</v>
      </c>
      <c r="AH26" s="3">
        <v>251871</v>
      </c>
      <c r="AI26" s="3">
        <v>445561</v>
      </c>
    </row>
    <row r="27" spans="1:35" x14ac:dyDescent="0.3">
      <c r="A27" s="1" t="s">
        <v>117</v>
      </c>
      <c r="B27" s="3">
        <v>1613984</v>
      </c>
      <c r="C27" s="3">
        <v>2692610</v>
      </c>
      <c r="D27" s="3">
        <v>5391437</v>
      </c>
      <c r="E27" s="3">
        <v>6394537</v>
      </c>
      <c r="F27" s="3">
        <v>0</v>
      </c>
      <c r="G27" s="3">
        <v>0</v>
      </c>
      <c r="H27" s="3">
        <v>0</v>
      </c>
      <c r="I27" s="3">
        <v>0</v>
      </c>
      <c r="J27" s="3">
        <v>0</v>
      </c>
      <c r="K27" s="3"/>
      <c r="L27" s="3">
        <v>52000</v>
      </c>
      <c r="M27" s="3"/>
      <c r="N27" s="3">
        <v>0</v>
      </c>
      <c r="O27" s="3"/>
      <c r="P27" s="3"/>
      <c r="Q27" s="3"/>
      <c r="R27" s="3">
        <v>0</v>
      </c>
      <c r="S27" s="3"/>
      <c r="T27" s="3">
        <v>0</v>
      </c>
      <c r="U27" s="3">
        <v>0</v>
      </c>
      <c r="V27" s="3">
        <v>0</v>
      </c>
      <c r="W27" s="3">
        <v>3356860</v>
      </c>
      <c r="X27" s="3">
        <v>1860</v>
      </c>
      <c r="Y27" s="3">
        <v>0</v>
      </c>
      <c r="Z27" s="3">
        <v>0</v>
      </c>
      <c r="AA27" s="3">
        <v>0</v>
      </c>
      <c r="AB27" s="3">
        <v>0</v>
      </c>
      <c r="AC27" s="3">
        <v>0</v>
      </c>
      <c r="AD27" s="3">
        <v>0</v>
      </c>
      <c r="AE27" s="3">
        <v>0</v>
      </c>
      <c r="AF27" s="3">
        <v>0</v>
      </c>
      <c r="AG27" s="3">
        <v>0</v>
      </c>
      <c r="AH27" s="3">
        <v>224</v>
      </c>
      <c r="AI27" s="3">
        <v>224</v>
      </c>
    </row>
    <row r="28" spans="1:35" x14ac:dyDescent="0.3">
      <c r="A28" s="1" t="s">
        <v>118</v>
      </c>
      <c r="B28" s="3">
        <v>51083</v>
      </c>
      <c r="C28" s="3">
        <v>10743</v>
      </c>
      <c r="D28" s="3">
        <v>1729</v>
      </c>
      <c r="E28" s="3">
        <v>0</v>
      </c>
      <c r="F28" s="3">
        <v>210002</v>
      </c>
      <c r="G28" s="3">
        <v>205365</v>
      </c>
      <c r="H28" s="3">
        <v>0</v>
      </c>
      <c r="I28" s="3">
        <v>66920</v>
      </c>
      <c r="J28" s="3">
        <v>44900</v>
      </c>
      <c r="K28" s="3">
        <v>108732</v>
      </c>
      <c r="L28" s="3">
        <v>58231</v>
      </c>
      <c r="M28" s="3">
        <v>54342</v>
      </c>
      <c r="N28" s="3">
        <v>48231</v>
      </c>
      <c r="O28" s="3">
        <v>60626</v>
      </c>
      <c r="P28" s="3">
        <v>65289</v>
      </c>
      <c r="Q28" s="3">
        <v>67013</v>
      </c>
      <c r="R28" s="3">
        <v>0</v>
      </c>
      <c r="S28" s="3">
        <v>68160</v>
      </c>
      <c r="T28" s="3">
        <v>61936</v>
      </c>
      <c r="U28" s="3">
        <v>68405</v>
      </c>
      <c r="V28" s="3">
        <v>0</v>
      </c>
      <c r="W28" s="3">
        <v>10169930</v>
      </c>
      <c r="X28" s="3">
        <v>3286281</v>
      </c>
      <c r="Y28" s="3">
        <v>2972506</v>
      </c>
      <c r="Z28" s="3">
        <v>0</v>
      </c>
      <c r="AA28" s="3">
        <v>15503</v>
      </c>
      <c r="AB28" s="3">
        <f>16259</f>
        <v>16259</v>
      </c>
      <c r="AC28" s="3">
        <v>10426</v>
      </c>
      <c r="AD28" s="3">
        <v>0</v>
      </c>
      <c r="AE28" s="3">
        <v>19023</v>
      </c>
      <c r="AF28" s="3">
        <v>19705</v>
      </c>
      <c r="AG28" s="3">
        <v>17214</v>
      </c>
      <c r="AH28" s="3">
        <v>0</v>
      </c>
      <c r="AI28" s="3">
        <v>15339</v>
      </c>
    </row>
    <row r="29" spans="1:35" x14ac:dyDescent="0.3">
      <c r="A29" s="1" t="s">
        <v>119</v>
      </c>
      <c r="B29" s="3">
        <v>599190</v>
      </c>
      <c r="C29" s="3">
        <v>205300</v>
      </c>
      <c r="D29" s="3">
        <v>83626</v>
      </c>
      <c r="E29" s="3">
        <v>258348</v>
      </c>
      <c r="F29" s="3">
        <v>69527</v>
      </c>
      <c r="G29" s="3">
        <v>259118</v>
      </c>
      <c r="H29" s="3">
        <v>21642</v>
      </c>
      <c r="I29" s="3">
        <v>9204</v>
      </c>
      <c r="J29" s="3">
        <v>25044</v>
      </c>
      <c r="K29" s="3">
        <v>275308</v>
      </c>
      <c r="L29" s="3">
        <v>12116</v>
      </c>
      <c r="M29" s="3">
        <v>9573</v>
      </c>
      <c r="N29" s="3">
        <v>72842</v>
      </c>
      <c r="O29" s="3">
        <v>341978</v>
      </c>
      <c r="P29" s="3">
        <v>13477</v>
      </c>
      <c r="Q29" s="3">
        <v>15441</v>
      </c>
      <c r="R29" s="3">
        <v>41121</v>
      </c>
      <c r="S29" s="3">
        <v>359588</v>
      </c>
      <c r="T29" s="3">
        <v>23546</v>
      </c>
      <c r="U29" s="3">
        <v>16744</v>
      </c>
      <c r="V29" s="3">
        <v>48247</v>
      </c>
      <c r="W29" s="3">
        <v>500633</v>
      </c>
      <c r="X29" s="3">
        <v>28987</v>
      </c>
      <c r="Y29" s="3">
        <v>18781</v>
      </c>
      <c r="Z29" s="3">
        <v>70652</v>
      </c>
      <c r="AA29" s="3">
        <v>476866</v>
      </c>
      <c r="AB29" s="3">
        <f>196946</f>
        <v>196946</v>
      </c>
      <c r="AC29" s="3">
        <v>59066</v>
      </c>
      <c r="AD29" s="3">
        <v>30740</v>
      </c>
      <c r="AE29" s="3">
        <v>377918</v>
      </c>
      <c r="AF29" s="3">
        <v>27313</v>
      </c>
      <c r="AG29" s="3">
        <v>20057</v>
      </c>
      <c r="AH29" s="3">
        <v>38619</v>
      </c>
      <c r="AI29" s="3">
        <v>337787</v>
      </c>
    </row>
    <row r="30" spans="1:35" x14ac:dyDescent="0.3">
      <c r="A30" s="1" t="s">
        <v>120</v>
      </c>
      <c r="B30" s="3">
        <v>23248</v>
      </c>
      <c r="C30" s="3">
        <v>23108</v>
      </c>
      <c r="D30" s="3">
        <v>41671</v>
      </c>
      <c r="E30" s="3">
        <v>127957</v>
      </c>
      <c r="F30" s="3">
        <v>26944</v>
      </c>
      <c r="G30" s="3">
        <v>25493</v>
      </c>
      <c r="H30" s="3">
        <v>21931</v>
      </c>
      <c r="I30" s="3">
        <v>20022</v>
      </c>
      <c r="J30" s="3">
        <v>158482</v>
      </c>
      <c r="K30" s="3">
        <v>157596</v>
      </c>
      <c r="L30" s="3">
        <v>156252</v>
      </c>
      <c r="M30" s="3">
        <v>149659</v>
      </c>
      <c r="N30" s="3">
        <v>174753</v>
      </c>
      <c r="O30" s="3">
        <v>180797</v>
      </c>
      <c r="P30" s="3">
        <v>180235</v>
      </c>
      <c r="Q30" s="3">
        <v>179958</v>
      </c>
      <c r="R30" s="3">
        <v>174850</v>
      </c>
      <c r="S30" s="3">
        <v>147865</v>
      </c>
      <c r="T30" s="3">
        <v>126054</v>
      </c>
      <c r="U30" s="3">
        <v>128701</v>
      </c>
      <c r="V30" s="3">
        <v>243175</v>
      </c>
      <c r="W30" s="3">
        <v>1569457</v>
      </c>
      <c r="X30" s="3">
        <v>1070449</v>
      </c>
      <c r="Y30" s="3">
        <v>695165</v>
      </c>
      <c r="Z30" s="3">
        <v>221451</v>
      </c>
      <c r="AA30" s="3">
        <v>183145</v>
      </c>
      <c r="AB30" s="3">
        <v>230100</v>
      </c>
      <c r="AC30" s="3">
        <v>210076</v>
      </c>
      <c r="AD30" s="3">
        <v>240237</v>
      </c>
      <c r="AE30" s="3">
        <v>213934</v>
      </c>
      <c r="AF30" s="3">
        <v>216205</v>
      </c>
      <c r="AG30" s="3">
        <v>217644</v>
      </c>
      <c r="AH30" s="3">
        <v>471933</v>
      </c>
      <c r="AI30" s="3">
        <v>258438</v>
      </c>
    </row>
    <row r="31" spans="1:35" x14ac:dyDescent="0.3">
      <c r="A31" s="1" t="s">
        <v>121</v>
      </c>
      <c r="B31" s="3">
        <v>0</v>
      </c>
      <c r="C31" s="3">
        <v>0</v>
      </c>
      <c r="D31" s="3">
        <v>2396129</v>
      </c>
      <c r="E31" s="3">
        <v>0</v>
      </c>
      <c r="F31" s="3">
        <v>0</v>
      </c>
      <c r="G31" s="3">
        <v>0</v>
      </c>
      <c r="H31" s="3"/>
      <c r="I31" s="3"/>
      <c r="J31" s="3">
        <v>0</v>
      </c>
      <c r="K31" s="3">
        <v>0</v>
      </c>
      <c r="L31" s="3">
        <v>0</v>
      </c>
      <c r="M31" s="3"/>
      <c r="N31" s="3">
        <v>0</v>
      </c>
      <c r="O31" s="3"/>
      <c r="P31" s="3"/>
      <c r="Q31" s="3"/>
      <c r="R31" s="3">
        <v>0</v>
      </c>
      <c r="S31" s="3"/>
      <c r="T31" s="3"/>
      <c r="U31" s="3"/>
      <c r="V31" s="3">
        <v>0</v>
      </c>
      <c r="W31" s="3">
        <v>0</v>
      </c>
      <c r="X31" s="3">
        <v>0</v>
      </c>
      <c r="Y31" s="3">
        <v>0</v>
      </c>
      <c r="Z31" s="3">
        <v>0</v>
      </c>
      <c r="AA31" s="3">
        <v>0</v>
      </c>
      <c r="AB31" s="3">
        <v>0</v>
      </c>
      <c r="AC31" s="3">
        <v>0</v>
      </c>
      <c r="AD31" s="3">
        <v>0</v>
      </c>
      <c r="AE31" s="3">
        <v>0</v>
      </c>
      <c r="AF31" s="3">
        <v>0</v>
      </c>
      <c r="AG31" s="3">
        <v>0</v>
      </c>
      <c r="AH31" s="3">
        <v>0</v>
      </c>
      <c r="AI31" s="3">
        <v>0</v>
      </c>
    </row>
    <row r="32" spans="1:35" s="6" customFormat="1" x14ac:dyDescent="0.3">
      <c r="A32" s="6" t="s">
        <v>122</v>
      </c>
      <c r="B32" s="7">
        <f t="shared" ref="B32:C32" si="29">+SUM(B23:B31)</f>
        <v>4398622</v>
      </c>
      <c r="C32" s="7">
        <f t="shared" si="29"/>
        <v>5612761</v>
      </c>
      <c r="D32" s="7">
        <f>+SUM(D23:D31)</f>
        <v>11087791</v>
      </c>
      <c r="E32" s="7">
        <f t="shared" ref="E32:U32" si="30">+SUM(E23:E31)</f>
        <v>7480853</v>
      </c>
      <c r="F32" s="7">
        <f t="shared" si="30"/>
        <v>800675</v>
      </c>
      <c r="G32" s="7">
        <f t="shared" si="30"/>
        <v>834621</v>
      </c>
      <c r="H32" s="7">
        <f t="shared" si="30"/>
        <v>372477</v>
      </c>
      <c r="I32" s="7">
        <f t="shared" si="30"/>
        <v>872108</v>
      </c>
      <c r="J32" s="7">
        <f t="shared" si="30"/>
        <v>781840</v>
      </c>
      <c r="K32" s="7">
        <f t="shared" si="30"/>
        <v>871191</v>
      </c>
      <c r="L32" s="7">
        <f t="shared" si="30"/>
        <v>1946806</v>
      </c>
      <c r="M32" s="7">
        <f t="shared" si="30"/>
        <v>2306178</v>
      </c>
      <c r="N32" s="7">
        <f t="shared" si="30"/>
        <v>5664024</v>
      </c>
      <c r="O32" s="7">
        <f t="shared" si="30"/>
        <v>1393587</v>
      </c>
      <c r="P32" s="7">
        <f t="shared" si="30"/>
        <v>1669539</v>
      </c>
      <c r="Q32" s="7">
        <f t="shared" si="30"/>
        <v>2622540</v>
      </c>
      <c r="R32" s="7">
        <f t="shared" si="30"/>
        <v>6048751</v>
      </c>
      <c r="S32" s="7">
        <f t="shared" si="30"/>
        <v>1511197</v>
      </c>
      <c r="T32" s="7">
        <f t="shared" si="30"/>
        <v>2261796</v>
      </c>
      <c r="U32" s="7">
        <f t="shared" si="30"/>
        <v>3450752</v>
      </c>
      <c r="V32" s="7">
        <f t="shared" ref="V32:Z32" si="31">+SUM(V23:V31)</f>
        <v>7378562</v>
      </c>
      <c r="W32" s="7">
        <f t="shared" si="31"/>
        <v>17018113</v>
      </c>
      <c r="X32" s="7">
        <f t="shared" si="31"/>
        <v>5522816</v>
      </c>
      <c r="Y32" s="7">
        <f t="shared" si="31"/>
        <v>5519310</v>
      </c>
      <c r="Z32" s="7">
        <f t="shared" si="31"/>
        <v>3064102</v>
      </c>
      <c r="AA32" s="7">
        <f t="shared" ref="AA32:AB32" si="32">+SUM(AA23:AA31)</f>
        <v>3979128</v>
      </c>
      <c r="AB32" s="7">
        <f t="shared" si="32"/>
        <v>4512198</v>
      </c>
      <c r="AC32" s="7">
        <f t="shared" ref="AC32:AD32" si="33">+SUM(AC23:AC31)</f>
        <v>5550604</v>
      </c>
      <c r="AD32" s="7">
        <f t="shared" si="33"/>
        <v>6178587</v>
      </c>
      <c r="AE32" s="7">
        <f t="shared" ref="AE32:AF32" si="34">+SUM(AE23:AE31)</f>
        <v>7267373</v>
      </c>
      <c r="AF32" s="7">
        <f t="shared" si="34"/>
        <v>7792866</v>
      </c>
      <c r="AG32" s="7">
        <f t="shared" ref="AG32:AH32" si="35">+SUM(AG23:AG31)</f>
        <v>8627716</v>
      </c>
      <c r="AH32" s="7">
        <f t="shared" si="35"/>
        <v>4782115</v>
      </c>
      <c r="AI32" s="7">
        <f t="shared" ref="AI32" si="36">+SUM(AI23:AI31)</f>
        <v>2792430</v>
      </c>
    </row>
    <row r="33" spans="1:35" x14ac:dyDescent="0.3">
      <c r="A33" s="1" t="s">
        <v>27</v>
      </c>
      <c r="B33" s="3"/>
      <c r="C33" s="3"/>
      <c r="D33" s="3"/>
      <c r="E33" s="3"/>
      <c r="F33" s="3"/>
      <c r="G33" s="3"/>
      <c r="H33" s="3"/>
      <c r="I33" s="3"/>
      <c r="J33" s="3"/>
      <c r="K33" s="3"/>
      <c r="L33" s="3"/>
      <c r="M33" s="3"/>
      <c r="N33" s="3"/>
      <c r="O33" s="3"/>
      <c r="P33" s="3"/>
      <c r="Q33" s="3"/>
      <c r="R33" s="3"/>
      <c r="S33" s="3"/>
      <c r="T33" s="3"/>
      <c r="U33" s="3"/>
      <c r="V33" s="3"/>
    </row>
    <row r="34" spans="1:35" x14ac:dyDescent="0.3">
      <c r="A34" s="1" t="s">
        <v>123</v>
      </c>
      <c r="B34" s="3">
        <v>7258648</v>
      </c>
      <c r="C34" s="3">
        <v>7627275</v>
      </c>
      <c r="D34" s="3">
        <v>1789122</v>
      </c>
      <c r="E34" s="3">
        <v>1722398</v>
      </c>
      <c r="F34" s="3">
        <v>1666601</v>
      </c>
      <c r="G34" s="3">
        <v>1639444</v>
      </c>
      <c r="H34" s="3">
        <v>1631912</v>
      </c>
      <c r="I34" s="3">
        <v>1612307</v>
      </c>
      <c r="J34" s="3">
        <v>1598399</v>
      </c>
      <c r="K34" s="3">
        <v>1584831</v>
      </c>
      <c r="L34" s="3">
        <v>79901696</v>
      </c>
      <c r="M34" s="3">
        <v>79903287</v>
      </c>
      <c r="N34" s="3">
        <v>78264651</v>
      </c>
      <c r="O34" s="3">
        <v>79105981</v>
      </c>
      <c r="P34" s="3">
        <v>79921374</v>
      </c>
      <c r="Q34" s="3">
        <v>80906361</v>
      </c>
      <c r="R34" s="3">
        <v>80511285</v>
      </c>
      <c r="S34" s="3">
        <v>90549916</v>
      </c>
      <c r="T34" s="3">
        <v>94390687</v>
      </c>
      <c r="U34" s="3">
        <v>97692610</v>
      </c>
      <c r="V34" s="3">
        <v>97581122</v>
      </c>
      <c r="W34" s="3">
        <v>99123403</v>
      </c>
      <c r="X34" s="3">
        <v>66698497</v>
      </c>
      <c r="Y34" s="3">
        <v>66854029</v>
      </c>
      <c r="Z34" s="3">
        <v>67901974</v>
      </c>
      <c r="AA34" s="3">
        <v>66078986</v>
      </c>
      <c r="AB34" s="3">
        <v>66916177</v>
      </c>
      <c r="AC34" s="3">
        <v>67493319</v>
      </c>
      <c r="AD34" s="3">
        <v>68378407</v>
      </c>
      <c r="AE34" s="3">
        <v>66134171</v>
      </c>
      <c r="AF34" s="3">
        <v>66771969</v>
      </c>
      <c r="AG34" s="3">
        <v>67122824</v>
      </c>
      <c r="AH34" s="3">
        <v>72578411</v>
      </c>
      <c r="AI34" s="3">
        <v>72730754</v>
      </c>
    </row>
    <row r="35" spans="1:35" x14ac:dyDescent="0.3">
      <c r="A35" s="1" t="s">
        <v>124</v>
      </c>
      <c r="B35" s="3">
        <v>161895571</v>
      </c>
      <c r="C35" s="3">
        <v>190900588</v>
      </c>
      <c r="D35" s="3">
        <v>206739305</v>
      </c>
      <c r="E35" s="3">
        <v>224484410</v>
      </c>
      <c r="F35" s="3">
        <v>106677612</v>
      </c>
      <c r="G35" s="3">
        <v>106677215</v>
      </c>
      <c r="H35" s="3">
        <v>107983466</v>
      </c>
      <c r="I35" s="3">
        <v>114642319</v>
      </c>
      <c r="J35" s="3">
        <v>109557129</v>
      </c>
      <c r="K35" s="3">
        <v>110669809</v>
      </c>
      <c r="L35" s="3">
        <v>35233746</v>
      </c>
      <c r="M35" s="3">
        <v>36411174</v>
      </c>
      <c r="N35" s="3">
        <v>36870920</v>
      </c>
      <c r="O35" s="3">
        <v>42066603</v>
      </c>
      <c r="P35" s="3">
        <v>42517482</v>
      </c>
      <c r="Q35" s="3">
        <v>43059208</v>
      </c>
      <c r="R35" s="3">
        <v>44352013</v>
      </c>
      <c r="S35" s="3">
        <v>47074175</v>
      </c>
      <c r="T35" s="3">
        <v>49090645</v>
      </c>
      <c r="U35" s="3">
        <v>50828641</v>
      </c>
      <c r="V35" s="3">
        <v>52093859</v>
      </c>
      <c r="W35" s="3">
        <v>52783034</v>
      </c>
      <c r="X35" s="3">
        <v>53545651</v>
      </c>
      <c r="Y35" s="3">
        <v>53705964</v>
      </c>
      <c r="Z35" s="3">
        <v>54935566</v>
      </c>
      <c r="AA35" s="3">
        <v>57613326</v>
      </c>
      <c r="AB35" s="3">
        <v>58356279</v>
      </c>
      <c r="AC35" s="3">
        <v>58882128</v>
      </c>
      <c r="AD35" s="3">
        <v>63358165</v>
      </c>
      <c r="AE35" s="3">
        <v>65952397</v>
      </c>
      <c r="AF35" s="3">
        <v>66584821</v>
      </c>
      <c r="AG35" s="3">
        <v>66955466</v>
      </c>
      <c r="AH35" s="3">
        <v>64984669</v>
      </c>
      <c r="AI35" s="3">
        <v>67162837</v>
      </c>
    </row>
    <row r="36" spans="1:35" x14ac:dyDescent="0.3">
      <c r="A36" s="1" t="s">
        <v>125</v>
      </c>
      <c r="B36" s="3">
        <v>4738897</v>
      </c>
      <c r="C36" s="3">
        <v>5601202</v>
      </c>
      <c r="D36" s="3">
        <v>8430722</v>
      </c>
      <c r="E36" s="3">
        <v>10205179</v>
      </c>
      <c r="F36" s="3">
        <v>7420766</v>
      </c>
      <c r="G36" s="3">
        <v>7565817</v>
      </c>
      <c r="H36" s="3">
        <v>7723419</v>
      </c>
      <c r="I36" s="3">
        <v>8392366</v>
      </c>
      <c r="J36" s="3">
        <v>8375360</v>
      </c>
      <c r="K36" s="3">
        <v>8626498</v>
      </c>
      <c r="L36" s="3">
        <v>7775254</v>
      </c>
      <c r="M36" s="3">
        <v>7809455</v>
      </c>
      <c r="N36" s="3">
        <v>324163</v>
      </c>
      <c r="O36" s="3">
        <v>8166927</v>
      </c>
      <c r="P36" s="3">
        <v>8716338</v>
      </c>
      <c r="Q36" s="3">
        <v>8997015</v>
      </c>
      <c r="R36" s="3">
        <v>9409153</v>
      </c>
      <c r="S36" s="3">
        <v>9616574</v>
      </c>
      <c r="T36" s="3">
        <v>9446067</v>
      </c>
      <c r="U36" s="3">
        <v>9762265</v>
      </c>
      <c r="V36" s="3">
        <v>294285</v>
      </c>
      <c r="W36" s="3">
        <v>7367345</v>
      </c>
      <c r="X36" s="3">
        <v>7710199</v>
      </c>
      <c r="Y36" s="3">
        <v>6670564</v>
      </c>
      <c r="Z36" s="3">
        <v>10001785</v>
      </c>
      <c r="AA36" s="3">
        <v>9983762</v>
      </c>
      <c r="AB36" s="3">
        <f>9652973</f>
        <v>9652973</v>
      </c>
      <c r="AC36" s="3">
        <v>9579405</v>
      </c>
      <c r="AD36" s="3">
        <v>9208817</v>
      </c>
      <c r="AE36" s="3">
        <v>9160105</v>
      </c>
      <c r="AF36" s="3">
        <v>6945303</v>
      </c>
      <c r="AG36" s="3">
        <f>6851097</f>
        <v>6851097</v>
      </c>
      <c r="AH36" s="3">
        <v>6734126</v>
      </c>
      <c r="AI36" s="3">
        <v>6671330</v>
      </c>
    </row>
    <row r="37" spans="1:35" x14ac:dyDescent="0.3">
      <c r="A37" s="1" t="s">
        <v>126</v>
      </c>
      <c r="B37" s="3">
        <v>678186</v>
      </c>
      <c r="C37" s="3">
        <v>646390</v>
      </c>
      <c r="D37" s="3">
        <v>668847</v>
      </c>
      <c r="E37" s="3">
        <v>624288</v>
      </c>
      <c r="F37" s="3">
        <v>503867</v>
      </c>
      <c r="G37" s="3">
        <v>863286</v>
      </c>
      <c r="H37" s="3">
        <v>925647</v>
      </c>
      <c r="I37" s="3">
        <v>966212</v>
      </c>
      <c r="J37" s="3">
        <v>437419</v>
      </c>
      <c r="K37" s="3">
        <v>785675</v>
      </c>
      <c r="L37" s="3">
        <v>770440</v>
      </c>
      <c r="M37" s="3">
        <v>753836</v>
      </c>
      <c r="N37" s="3">
        <v>7947365</v>
      </c>
      <c r="O37" s="3">
        <v>712802</v>
      </c>
      <c r="P37" s="3">
        <v>719485</v>
      </c>
      <c r="Q37" s="3">
        <v>768601</v>
      </c>
      <c r="R37" s="3">
        <v>346797</v>
      </c>
      <c r="S37" s="3">
        <v>774891</v>
      </c>
      <c r="T37" s="3">
        <v>872609</v>
      </c>
      <c r="U37" s="3">
        <v>901714</v>
      </c>
      <c r="V37" s="3">
        <v>9959349</v>
      </c>
      <c r="W37" s="3">
        <v>623826</v>
      </c>
      <c r="X37" s="3">
        <v>486937</v>
      </c>
      <c r="Y37" s="3">
        <v>543854</v>
      </c>
      <c r="Z37" s="3">
        <v>181162</v>
      </c>
      <c r="AA37" s="3">
        <v>704906</v>
      </c>
      <c r="AB37" s="3">
        <f>178348+502366</f>
        <v>680714</v>
      </c>
      <c r="AC37" s="3">
        <v>673992</v>
      </c>
      <c r="AD37" s="3">
        <v>232786</v>
      </c>
      <c r="AE37" s="3">
        <f>253314+507010</f>
        <v>760324</v>
      </c>
      <c r="AF37" s="3">
        <v>736582</v>
      </c>
      <c r="AG37" s="3">
        <f>241361+511968</f>
        <v>753329</v>
      </c>
      <c r="AH37" s="3">
        <v>200127</v>
      </c>
      <c r="AI37" s="3">
        <f>196921+493386</f>
        <v>690307</v>
      </c>
    </row>
    <row r="38" spans="1:35" s="6" customFormat="1" x14ac:dyDescent="0.3">
      <c r="A38" s="6" t="s">
        <v>28</v>
      </c>
      <c r="B38" s="7">
        <f>+SUM(B33:B37)</f>
        <v>174571302</v>
      </c>
      <c r="C38" s="7">
        <f t="shared" ref="C38:R38" si="37">+SUM(C33:C37)</f>
        <v>204775455</v>
      </c>
      <c r="D38" s="7">
        <f t="shared" si="37"/>
        <v>217627996</v>
      </c>
      <c r="E38" s="7">
        <f t="shared" si="37"/>
        <v>237036275</v>
      </c>
      <c r="F38" s="7">
        <f t="shared" si="37"/>
        <v>116268846</v>
      </c>
      <c r="G38" s="7">
        <f t="shared" ref="G38:I38" si="38">+SUM(G33:G37)</f>
        <v>116745762</v>
      </c>
      <c r="H38" s="7">
        <f t="shared" si="38"/>
        <v>118264444</v>
      </c>
      <c r="I38" s="7">
        <f t="shared" si="38"/>
        <v>125613204</v>
      </c>
      <c r="J38" s="7">
        <f t="shared" si="37"/>
        <v>119968307</v>
      </c>
      <c r="K38" s="7">
        <f t="shared" ref="K38:M38" si="39">+SUM(K33:K37)</f>
        <v>121666813</v>
      </c>
      <c r="L38" s="7">
        <f t="shared" si="39"/>
        <v>123681136</v>
      </c>
      <c r="M38" s="7">
        <f t="shared" si="39"/>
        <v>124877752</v>
      </c>
      <c r="N38" s="7">
        <f t="shared" si="37"/>
        <v>123407099</v>
      </c>
      <c r="O38" s="7">
        <f t="shared" ref="O38:Q38" si="40">+SUM(O33:O37)</f>
        <v>130052313</v>
      </c>
      <c r="P38" s="7">
        <f t="shared" si="40"/>
        <v>131874679</v>
      </c>
      <c r="Q38" s="7">
        <f t="shared" si="40"/>
        <v>133731185</v>
      </c>
      <c r="R38" s="7">
        <f t="shared" si="37"/>
        <v>134619248</v>
      </c>
      <c r="S38" s="7">
        <f t="shared" ref="S38:U38" si="41">+SUM(S33:S37)</f>
        <v>148015556</v>
      </c>
      <c r="T38" s="7">
        <f t="shared" si="41"/>
        <v>153800008</v>
      </c>
      <c r="U38" s="7">
        <f t="shared" si="41"/>
        <v>159185230</v>
      </c>
      <c r="V38" s="7">
        <f t="shared" ref="V38:Z38" si="42">+SUM(V33:V37)</f>
        <v>159928615</v>
      </c>
      <c r="W38" s="7">
        <f t="shared" si="42"/>
        <v>159897608</v>
      </c>
      <c r="X38" s="7">
        <f t="shared" si="42"/>
        <v>128441284</v>
      </c>
      <c r="Y38" s="7">
        <f t="shared" si="42"/>
        <v>127774411</v>
      </c>
      <c r="Z38" s="7">
        <f t="shared" si="42"/>
        <v>133020487</v>
      </c>
      <c r="AA38" s="7">
        <f t="shared" ref="AA38:AB38" si="43">+SUM(AA33:AA37)</f>
        <v>134380980</v>
      </c>
      <c r="AB38" s="7">
        <f t="shared" si="43"/>
        <v>135606143</v>
      </c>
      <c r="AC38" s="7">
        <f t="shared" ref="AC38:AD38" si="44">+SUM(AC33:AC37)</f>
        <v>136628844</v>
      </c>
      <c r="AD38" s="7">
        <f t="shared" si="44"/>
        <v>141178175</v>
      </c>
      <c r="AE38" s="7">
        <f t="shared" ref="AE38:AF38" si="45">+SUM(AE33:AE37)</f>
        <v>142006997</v>
      </c>
      <c r="AF38" s="7">
        <f t="shared" si="45"/>
        <v>141038675</v>
      </c>
      <c r="AG38" s="7">
        <f t="shared" ref="AG38:AH38" si="46">+SUM(AG33:AG37)</f>
        <v>141682716</v>
      </c>
      <c r="AH38" s="7">
        <f t="shared" si="46"/>
        <v>144497333</v>
      </c>
      <c r="AI38" s="7">
        <f t="shared" ref="AI38" si="47">+SUM(AI33:AI37)</f>
        <v>147255228</v>
      </c>
    </row>
    <row r="39" spans="1:35" x14ac:dyDescent="0.3">
      <c r="A39" s="6" t="s">
        <v>29</v>
      </c>
      <c r="B39" s="7">
        <f>+B38+B32</f>
        <v>178969924</v>
      </c>
      <c r="C39" s="7">
        <f t="shared" ref="C39:R39" si="48">+C38+C32</f>
        <v>210388216</v>
      </c>
      <c r="D39" s="7">
        <f t="shared" si="48"/>
        <v>228715787</v>
      </c>
      <c r="E39" s="7">
        <f t="shared" si="48"/>
        <v>244517128</v>
      </c>
      <c r="F39" s="7">
        <f t="shared" si="48"/>
        <v>117069521</v>
      </c>
      <c r="G39" s="7">
        <f t="shared" ref="G39:I39" si="49">+G38+G32</f>
        <v>117580383</v>
      </c>
      <c r="H39" s="7">
        <f t="shared" si="49"/>
        <v>118636921</v>
      </c>
      <c r="I39" s="7">
        <f t="shared" si="49"/>
        <v>126485312</v>
      </c>
      <c r="J39" s="7">
        <f t="shared" si="48"/>
        <v>120750147</v>
      </c>
      <c r="K39" s="7">
        <f t="shared" ref="K39:M39" si="50">+K38+K32</f>
        <v>122538004</v>
      </c>
      <c r="L39" s="7">
        <f t="shared" si="50"/>
        <v>125627942</v>
      </c>
      <c r="M39" s="7">
        <f t="shared" si="50"/>
        <v>127183930</v>
      </c>
      <c r="N39" s="7">
        <f t="shared" si="48"/>
        <v>129071123</v>
      </c>
      <c r="O39" s="7">
        <f t="shared" ref="O39:Q39" si="51">+O38+O32</f>
        <v>131445900</v>
      </c>
      <c r="P39" s="7">
        <f t="shared" si="51"/>
        <v>133544218</v>
      </c>
      <c r="Q39" s="7">
        <f t="shared" si="51"/>
        <v>136353725</v>
      </c>
      <c r="R39" s="7">
        <f t="shared" si="48"/>
        <v>140667999</v>
      </c>
      <c r="S39" s="7">
        <f t="shared" ref="S39:U39" si="52">+S38+S32</f>
        <v>149526753</v>
      </c>
      <c r="T39" s="7">
        <f t="shared" si="52"/>
        <v>156061804</v>
      </c>
      <c r="U39" s="7">
        <f t="shared" si="52"/>
        <v>162635982</v>
      </c>
      <c r="V39" s="7">
        <f t="shared" ref="V39:Z39" si="53">+V38+V32</f>
        <v>167307177</v>
      </c>
      <c r="W39" s="7">
        <f t="shared" si="53"/>
        <v>176915721</v>
      </c>
      <c r="X39" s="7">
        <f t="shared" si="53"/>
        <v>133964100</v>
      </c>
      <c r="Y39" s="7">
        <f t="shared" si="53"/>
        <v>133293721</v>
      </c>
      <c r="Z39" s="7">
        <f t="shared" si="53"/>
        <v>136084589</v>
      </c>
      <c r="AA39" s="7">
        <f t="shared" ref="AA39:AB39" si="54">+AA38+AA32</f>
        <v>138360108</v>
      </c>
      <c r="AB39" s="7">
        <f t="shared" si="54"/>
        <v>140118341</v>
      </c>
      <c r="AC39" s="7">
        <f t="shared" ref="AC39:AD39" si="55">+AC38+AC32</f>
        <v>142179448</v>
      </c>
      <c r="AD39" s="7">
        <f t="shared" si="55"/>
        <v>147356762</v>
      </c>
      <c r="AE39" s="7">
        <f t="shared" ref="AE39:AF39" si="56">+AE38+AE32</f>
        <v>149274370</v>
      </c>
      <c r="AF39" s="7">
        <f t="shared" si="56"/>
        <v>148831541</v>
      </c>
      <c r="AG39" s="7">
        <f t="shared" ref="AG39:AH39" si="57">+AG38+AG32</f>
        <v>150310432</v>
      </c>
      <c r="AH39" s="7">
        <f t="shared" si="57"/>
        <v>149279448</v>
      </c>
      <c r="AI39" s="7">
        <f t="shared" ref="AI39" si="58">+AI38+AI32</f>
        <v>150047658</v>
      </c>
    </row>
    <row r="40" spans="1:35" x14ac:dyDescent="0.3">
      <c r="A40" s="6" t="s">
        <v>127</v>
      </c>
      <c r="B40" s="3"/>
      <c r="C40" s="3"/>
      <c r="D40" s="3"/>
      <c r="E40" s="3"/>
      <c r="F40" s="3"/>
      <c r="G40" s="3"/>
      <c r="H40" s="3"/>
      <c r="I40" s="3"/>
      <c r="J40" s="3"/>
      <c r="K40" s="3"/>
      <c r="L40" s="3"/>
      <c r="M40" s="3"/>
      <c r="N40" s="3"/>
      <c r="O40" s="3"/>
      <c r="P40" s="3"/>
      <c r="Q40" s="3"/>
      <c r="R40" s="3"/>
      <c r="S40" s="3"/>
      <c r="T40" s="3"/>
      <c r="U40" s="3"/>
      <c r="V40" s="3"/>
    </row>
    <row r="41" spans="1:35" x14ac:dyDescent="0.3">
      <c r="A41" s="1" t="s">
        <v>128</v>
      </c>
      <c r="B41" s="3">
        <v>21967789</v>
      </c>
      <c r="C41" s="3">
        <v>21967789</v>
      </c>
      <c r="D41" s="3">
        <v>21967789</v>
      </c>
      <c r="E41" s="3">
        <v>21967789</v>
      </c>
      <c r="F41" s="3">
        <v>11114584</v>
      </c>
      <c r="G41" s="3">
        <v>11114584</v>
      </c>
      <c r="H41" s="3">
        <v>11114584</v>
      </c>
      <c r="I41" s="3">
        <v>11114584</v>
      </c>
      <c r="J41" s="3">
        <v>11114584</v>
      </c>
      <c r="K41" s="3">
        <v>11114584</v>
      </c>
      <c r="L41" s="3">
        <v>11114584</v>
      </c>
      <c r="M41" s="3">
        <v>11114584</v>
      </c>
      <c r="N41" s="3">
        <v>11114584</v>
      </c>
      <c r="O41" s="3">
        <v>11114584</v>
      </c>
      <c r="P41" s="3">
        <v>11114584</v>
      </c>
      <c r="Q41" s="3">
        <v>11114584</v>
      </c>
      <c r="R41" s="3">
        <v>11114584</v>
      </c>
      <c r="S41" s="3">
        <v>11114584</v>
      </c>
      <c r="T41" s="3">
        <v>11114584</v>
      </c>
      <c r="U41" s="3">
        <v>11114584</v>
      </c>
      <c r="V41" s="3">
        <v>11114584</v>
      </c>
      <c r="W41" s="3">
        <v>11114584</v>
      </c>
      <c r="X41" s="3">
        <v>11114584</v>
      </c>
      <c r="Y41" s="3">
        <v>11114584</v>
      </c>
      <c r="Z41" s="3">
        <v>11114584</v>
      </c>
      <c r="AA41" s="3">
        <v>11114584</v>
      </c>
      <c r="AB41" s="3">
        <v>11114584</v>
      </c>
      <c r="AC41" s="3">
        <v>11114584</v>
      </c>
      <c r="AD41" s="3">
        <v>11114584</v>
      </c>
      <c r="AE41" s="3">
        <v>11114584</v>
      </c>
      <c r="AF41" s="3">
        <v>11114584</v>
      </c>
      <c r="AG41" s="3">
        <v>11114584</v>
      </c>
      <c r="AH41" s="3">
        <v>13496264</v>
      </c>
      <c r="AI41" s="3">
        <v>13496264</v>
      </c>
    </row>
    <row r="42" spans="1:35" x14ac:dyDescent="0.3">
      <c r="A42" s="1" t="s">
        <v>32</v>
      </c>
      <c r="B42" s="3">
        <v>-604735</v>
      </c>
      <c r="C42" s="3">
        <v>-648581</v>
      </c>
      <c r="D42" s="3">
        <v>-629103</v>
      </c>
      <c r="E42" s="3">
        <v>-602784</v>
      </c>
      <c r="F42" s="3">
        <v>-348538</v>
      </c>
      <c r="G42" s="3">
        <v>17626855</v>
      </c>
      <c r="H42" s="3">
        <v>-340228</v>
      </c>
      <c r="I42" s="3">
        <v>-366327</v>
      </c>
      <c r="J42" s="3">
        <v>-377249</v>
      </c>
      <c r="K42" s="3">
        <v>-432197</v>
      </c>
      <c r="L42" s="3">
        <v>-415812</v>
      </c>
      <c r="M42" s="3">
        <v>-398213</v>
      </c>
      <c r="N42" s="3">
        <v>-357146</v>
      </c>
      <c r="O42" s="3">
        <v>-362929</v>
      </c>
      <c r="P42" s="3">
        <v>-366088</v>
      </c>
      <c r="Q42" s="3">
        <v>-410849</v>
      </c>
      <c r="R42" s="3">
        <v>-428292</v>
      </c>
      <c r="S42" s="3">
        <v>-398124</v>
      </c>
      <c r="T42" s="3">
        <v>-474782</v>
      </c>
      <c r="U42" s="3">
        <v>-489762</v>
      </c>
      <c r="V42" s="3">
        <v>-434235</v>
      </c>
      <c r="W42" s="3">
        <v>-399417</v>
      </c>
      <c r="X42" s="3">
        <v>-405400</v>
      </c>
      <c r="Y42" s="3">
        <v>-455374</v>
      </c>
      <c r="Z42" s="3">
        <v>-445543</v>
      </c>
      <c r="AA42" s="3">
        <v>-501183</v>
      </c>
      <c r="AB42" s="3">
        <v>-656405</v>
      </c>
      <c r="AC42" s="3">
        <v>-876649</v>
      </c>
      <c r="AD42" s="3">
        <v>-509029</v>
      </c>
      <c r="AE42" s="3">
        <v>-485947</v>
      </c>
      <c r="AF42" s="3">
        <v>-475494</v>
      </c>
      <c r="AG42" s="3">
        <v>-490905</v>
      </c>
      <c r="AH42" s="3">
        <v>-461508</v>
      </c>
      <c r="AI42" s="3">
        <v>-472323</v>
      </c>
    </row>
    <row r="43" spans="1:35" x14ac:dyDescent="0.3">
      <c r="A43" s="1" t="s">
        <v>33</v>
      </c>
      <c r="B43" s="3">
        <v>17184081</v>
      </c>
      <c r="C43" s="3">
        <v>16632311</v>
      </c>
      <c r="D43" s="3">
        <v>25549724</v>
      </c>
      <c r="E43" s="3">
        <v>33332086</v>
      </c>
      <c r="F43" s="3">
        <v>17951636</v>
      </c>
      <c r="G43" s="3">
        <v>0</v>
      </c>
      <c r="H43" s="3">
        <v>18027202</v>
      </c>
      <c r="I43" s="3">
        <v>19538371</v>
      </c>
      <c r="J43" s="3">
        <v>19156235</v>
      </c>
      <c r="K43" s="3">
        <v>19526563</v>
      </c>
      <c r="L43" s="3">
        <v>16236457</v>
      </c>
      <c r="M43" s="3">
        <v>16148755</v>
      </c>
      <c r="N43" s="3">
        <v>16073225</v>
      </c>
      <c r="O43" s="3">
        <v>16184365</v>
      </c>
      <c r="P43" s="3">
        <v>17132513</v>
      </c>
      <c r="Q43" s="3">
        <v>17397762</v>
      </c>
      <c r="R43" s="3">
        <v>17882404</v>
      </c>
      <c r="S43" s="3">
        <v>9885623</v>
      </c>
      <c r="T43" s="3">
        <v>8146842</v>
      </c>
      <c r="U43" s="3">
        <v>8784610</v>
      </c>
      <c r="V43" s="3">
        <v>7929214</v>
      </c>
      <c r="W43" s="3">
        <v>10895060</v>
      </c>
      <c r="X43" s="3">
        <v>4759423</v>
      </c>
      <c r="Y43" s="3">
        <v>1110367</v>
      </c>
      <c r="Z43" s="3">
        <v>2193006</v>
      </c>
      <c r="AA43" s="3">
        <v>2209072</v>
      </c>
      <c r="AB43" s="3">
        <v>-481303</v>
      </c>
      <c r="AC43" s="3">
        <v>-456481</v>
      </c>
      <c r="AD43" s="3">
        <v>-4967585</v>
      </c>
      <c r="AE43" s="3">
        <v>-5141522</v>
      </c>
      <c r="AF43" s="3">
        <v>-11850367</v>
      </c>
      <c r="AG43" s="3">
        <v>-12181551</v>
      </c>
      <c r="AH43" s="3">
        <v>-12411458</v>
      </c>
      <c r="AI43" s="3">
        <v>-12681702</v>
      </c>
    </row>
    <row r="44" spans="1:35" s="6" customFormat="1" x14ac:dyDescent="0.3">
      <c r="A44" s="6" t="s">
        <v>129</v>
      </c>
      <c r="B44" s="7">
        <f t="shared" ref="B44:U44" si="59">+SUM(B40:B43)</f>
        <v>38547135</v>
      </c>
      <c r="C44" s="7">
        <f t="shared" si="59"/>
        <v>37951519</v>
      </c>
      <c r="D44" s="7">
        <f t="shared" si="59"/>
        <v>46888410</v>
      </c>
      <c r="E44" s="7">
        <f t="shared" si="59"/>
        <v>54697091</v>
      </c>
      <c r="F44" s="7">
        <f t="shared" si="59"/>
        <v>28717682</v>
      </c>
      <c r="G44" s="7">
        <f t="shared" si="59"/>
        <v>28741439</v>
      </c>
      <c r="H44" s="7">
        <f t="shared" si="59"/>
        <v>28801558</v>
      </c>
      <c r="I44" s="7">
        <f t="shared" si="59"/>
        <v>30286628</v>
      </c>
      <c r="J44" s="7">
        <f t="shared" si="59"/>
        <v>29893570</v>
      </c>
      <c r="K44" s="7">
        <f t="shared" si="59"/>
        <v>30208950</v>
      </c>
      <c r="L44" s="7">
        <f t="shared" si="59"/>
        <v>26935229</v>
      </c>
      <c r="M44" s="7">
        <f t="shared" si="59"/>
        <v>26865126</v>
      </c>
      <c r="N44" s="7">
        <f t="shared" si="59"/>
        <v>26830663</v>
      </c>
      <c r="O44" s="7">
        <f t="shared" si="59"/>
        <v>26936020</v>
      </c>
      <c r="P44" s="7">
        <f t="shared" si="59"/>
        <v>27881009</v>
      </c>
      <c r="Q44" s="7">
        <f t="shared" si="59"/>
        <v>28101497</v>
      </c>
      <c r="R44" s="7">
        <f t="shared" si="59"/>
        <v>28568696</v>
      </c>
      <c r="S44" s="7">
        <f t="shared" si="59"/>
        <v>20602083</v>
      </c>
      <c r="T44" s="7">
        <f t="shared" si="59"/>
        <v>18786644</v>
      </c>
      <c r="U44" s="7">
        <f t="shared" si="59"/>
        <v>19409432</v>
      </c>
      <c r="V44" s="7">
        <f t="shared" ref="V44:Z44" si="60">+SUM(V40:V43)</f>
        <v>18609563</v>
      </c>
      <c r="W44" s="7">
        <f t="shared" si="60"/>
        <v>21610227</v>
      </c>
      <c r="X44" s="7">
        <f t="shared" si="60"/>
        <v>15468607</v>
      </c>
      <c r="Y44" s="7">
        <f t="shared" si="60"/>
        <v>11769577</v>
      </c>
      <c r="Z44" s="7">
        <f t="shared" si="60"/>
        <v>12862047</v>
      </c>
      <c r="AA44" s="7">
        <f t="shared" ref="AA44:AB44" si="61">+SUM(AA40:AA43)</f>
        <v>12822473</v>
      </c>
      <c r="AB44" s="7">
        <f t="shared" si="61"/>
        <v>9976876</v>
      </c>
      <c r="AC44" s="7">
        <f t="shared" ref="AC44:AD44" si="62">+SUM(AC40:AC43)</f>
        <v>9781454</v>
      </c>
      <c r="AD44" s="7">
        <f t="shared" si="62"/>
        <v>5637970</v>
      </c>
      <c r="AE44" s="7">
        <f t="shared" ref="AE44:AF44" si="63">+SUM(AE40:AE43)</f>
        <v>5487115</v>
      </c>
      <c r="AF44" s="7">
        <f t="shared" si="63"/>
        <v>-1211277</v>
      </c>
      <c r="AG44" s="7">
        <f t="shared" ref="AG44:AH44" si="64">+SUM(AG40:AG43)</f>
        <v>-1557872</v>
      </c>
      <c r="AH44" s="7">
        <f t="shared" si="64"/>
        <v>623298</v>
      </c>
      <c r="AI44" s="7">
        <f t="shared" ref="AI44" si="65">+SUM(AI40:AI43)</f>
        <v>342239</v>
      </c>
    </row>
    <row r="45" spans="1:35" s="8" customFormat="1" x14ac:dyDescent="0.3">
      <c r="A45" s="8" t="s">
        <v>130</v>
      </c>
      <c r="B45" s="9">
        <v>824</v>
      </c>
      <c r="C45" s="9">
        <v>839</v>
      </c>
      <c r="D45" s="9">
        <v>-30</v>
      </c>
      <c r="E45" s="9">
        <v>-30</v>
      </c>
      <c r="F45" s="9">
        <v>-36</v>
      </c>
      <c r="G45" s="9">
        <v>0</v>
      </c>
      <c r="H45" s="9">
        <v>0</v>
      </c>
      <c r="I45" s="9">
        <v>0</v>
      </c>
      <c r="J45" s="9">
        <v>-40</v>
      </c>
      <c r="K45" s="9">
        <v>0</v>
      </c>
      <c r="L45" s="9">
        <v>0</v>
      </c>
      <c r="M45" s="9">
        <v>0</v>
      </c>
      <c r="N45" s="9">
        <v>-38</v>
      </c>
      <c r="O45" s="9"/>
      <c r="P45" s="9"/>
      <c r="Q45" s="9"/>
      <c r="R45" s="9">
        <v>-45</v>
      </c>
      <c r="S45" s="9"/>
      <c r="T45" s="9"/>
      <c r="U45" s="9"/>
      <c r="V45" s="9">
        <v>-46</v>
      </c>
      <c r="W45" s="9"/>
      <c r="X45" s="9"/>
      <c r="Y45" s="9"/>
      <c r="Z45" s="9">
        <v>3872305</v>
      </c>
      <c r="AA45" s="9"/>
      <c r="AB45" s="9"/>
      <c r="AC45" s="9"/>
      <c r="AD45" s="9">
        <v>2813231</v>
      </c>
      <c r="AE45" s="9">
        <v>0</v>
      </c>
      <c r="AF45" s="9">
        <v>0</v>
      </c>
      <c r="AG45" s="9">
        <v>0</v>
      </c>
      <c r="AH45" s="9">
        <v>2688733</v>
      </c>
      <c r="AI45" s="9">
        <v>0</v>
      </c>
    </row>
    <row r="46" spans="1:35" x14ac:dyDescent="0.3">
      <c r="A46" s="6" t="s">
        <v>131</v>
      </c>
      <c r="B46" s="7">
        <f>+B44+B39+B45</f>
        <v>217517883</v>
      </c>
      <c r="C46" s="7">
        <f t="shared" ref="C46:R46" si="66">+C44+C39+C45</f>
        <v>248340574</v>
      </c>
      <c r="D46" s="7">
        <f t="shared" si="66"/>
        <v>275604167</v>
      </c>
      <c r="E46" s="7">
        <f t="shared" si="66"/>
        <v>299214189</v>
      </c>
      <c r="F46" s="7">
        <f t="shared" si="66"/>
        <v>145787167</v>
      </c>
      <c r="G46" s="7">
        <f t="shared" ref="G46:I46" si="67">+G44+G39+G45</f>
        <v>146321822</v>
      </c>
      <c r="H46" s="7">
        <f t="shared" si="67"/>
        <v>147438479</v>
      </c>
      <c r="I46" s="7">
        <f t="shared" si="67"/>
        <v>156771940</v>
      </c>
      <c r="J46" s="7">
        <f t="shared" si="66"/>
        <v>150643677</v>
      </c>
      <c r="K46" s="7">
        <f t="shared" ref="K46:M46" si="68">+K44+K39+K45</f>
        <v>152746954</v>
      </c>
      <c r="L46" s="7">
        <f t="shared" si="68"/>
        <v>152563171</v>
      </c>
      <c r="M46" s="7">
        <f t="shared" si="68"/>
        <v>154049056</v>
      </c>
      <c r="N46" s="7">
        <f t="shared" si="66"/>
        <v>155901748</v>
      </c>
      <c r="O46" s="7">
        <f t="shared" ref="O46:Q46" si="69">+O44+O39+O45</f>
        <v>158381920</v>
      </c>
      <c r="P46" s="7">
        <f t="shared" si="69"/>
        <v>161425227</v>
      </c>
      <c r="Q46" s="7">
        <f t="shared" si="69"/>
        <v>164455222</v>
      </c>
      <c r="R46" s="7">
        <f t="shared" si="66"/>
        <v>169236650</v>
      </c>
      <c r="S46" s="7">
        <f t="shared" ref="S46:U46" si="70">+S44+S39+S45</f>
        <v>170128836</v>
      </c>
      <c r="T46" s="7">
        <f t="shared" si="70"/>
        <v>174848448</v>
      </c>
      <c r="U46" s="7">
        <f t="shared" si="70"/>
        <v>182045414</v>
      </c>
      <c r="V46" s="7">
        <f t="shared" ref="V46:Z46" si="71">+V44+V39+V45</f>
        <v>185916694</v>
      </c>
      <c r="W46" s="7">
        <f t="shared" si="71"/>
        <v>198525948</v>
      </c>
      <c r="X46" s="7">
        <f t="shared" si="71"/>
        <v>149432707</v>
      </c>
      <c r="Y46" s="7">
        <f t="shared" si="71"/>
        <v>145063298</v>
      </c>
      <c r="Z46" s="7">
        <f t="shared" si="71"/>
        <v>152818941</v>
      </c>
      <c r="AA46" s="7">
        <f t="shared" ref="AA46:AB46" si="72">+AA44+AA39+AA45</f>
        <v>151182581</v>
      </c>
      <c r="AB46" s="7">
        <f t="shared" si="72"/>
        <v>150095217</v>
      </c>
      <c r="AC46" s="7">
        <f t="shared" ref="AC46:AD46" si="73">+AC44+AC39+AC45</f>
        <v>151960902</v>
      </c>
      <c r="AD46" s="7">
        <f t="shared" si="73"/>
        <v>155807963</v>
      </c>
      <c r="AE46" s="7">
        <f t="shared" ref="AE46:AF46" si="74">+AE44+AE39+AE45</f>
        <v>154761485</v>
      </c>
      <c r="AF46" s="7">
        <f t="shared" si="74"/>
        <v>147620264</v>
      </c>
      <c r="AG46" s="7">
        <f t="shared" ref="AG46:AH46" si="75">+AG44+AG39+AG45</f>
        <v>148752560</v>
      </c>
      <c r="AH46" s="7">
        <f t="shared" si="75"/>
        <v>152591479</v>
      </c>
      <c r="AI46" s="7">
        <f t="shared" ref="AI46" si="76">+AI44+AI39+AI45</f>
        <v>150389897</v>
      </c>
    </row>
    <row r="47" spans="1:35" x14ac:dyDescent="0.3">
      <c r="A47" s="1" t="s">
        <v>38</v>
      </c>
      <c r="B47" s="4" t="str">
        <f>IF((+B46-B22)=0,"ok","error")</f>
        <v>ok</v>
      </c>
      <c r="C47" s="4" t="str">
        <f t="shared" ref="C47:R47" si="77">IF((+C46-C22)=0,"ok","error")</f>
        <v>ok</v>
      </c>
      <c r="D47" s="4" t="str">
        <f t="shared" si="77"/>
        <v>ok</v>
      </c>
      <c r="E47" s="4" t="str">
        <f t="shared" si="77"/>
        <v>ok</v>
      </c>
      <c r="F47" s="4" t="str">
        <f t="shared" si="77"/>
        <v>ok</v>
      </c>
      <c r="G47" s="4" t="str">
        <f t="shared" ref="G47:I47" si="78">IF((+G46-G22)=0,"ok","error")</f>
        <v>ok</v>
      </c>
      <c r="H47" s="4" t="str">
        <f t="shared" si="78"/>
        <v>ok</v>
      </c>
      <c r="I47" s="4" t="str">
        <f t="shared" si="78"/>
        <v>ok</v>
      </c>
      <c r="J47" s="4" t="str">
        <f t="shared" si="77"/>
        <v>ok</v>
      </c>
      <c r="K47" s="4" t="str">
        <f t="shared" ref="K47:M47" si="79">IF((+K46-K22)=0,"ok","error")</f>
        <v>ok</v>
      </c>
      <c r="L47" s="4" t="str">
        <f t="shared" si="79"/>
        <v>ok</v>
      </c>
      <c r="M47" s="4" t="str">
        <f t="shared" si="79"/>
        <v>ok</v>
      </c>
      <c r="N47" s="4" t="str">
        <f t="shared" si="77"/>
        <v>ok</v>
      </c>
      <c r="O47" s="4" t="str">
        <f t="shared" ref="O47:Q47" si="80">IF((+O46-O22)=0,"ok","error")</f>
        <v>ok</v>
      </c>
      <c r="P47" s="4" t="str">
        <f t="shared" si="80"/>
        <v>ok</v>
      </c>
      <c r="Q47" s="4" t="str">
        <f t="shared" si="80"/>
        <v>ok</v>
      </c>
      <c r="R47" s="4" t="str">
        <f t="shared" si="77"/>
        <v>ok</v>
      </c>
      <c r="S47" s="4" t="str">
        <f t="shared" ref="S47:U47" si="81">IF((+S46-S22)=0,"ok","error")</f>
        <v>ok</v>
      </c>
      <c r="T47" s="4" t="str">
        <f t="shared" si="81"/>
        <v>ok</v>
      </c>
      <c r="U47" s="4" t="str">
        <f t="shared" si="81"/>
        <v>ok</v>
      </c>
      <c r="V47" s="4" t="str">
        <f t="shared" ref="V47:Z47" si="82">IF((+V46-V22)=0,"ok","error")</f>
        <v>ok</v>
      </c>
      <c r="W47" s="4" t="str">
        <f t="shared" si="82"/>
        <v>ok</v>
      </c>
      <c r="X47" s="4" t="str">
        <f t="shared" si="82"/>
        <v>ok</v>
      </c>
      <c r="Y47" s="4" t="str">
        <f t="shared" si="82"/>
        <v>ok</v>
      </c>
      <c r="Z47" s="4" t="str">
        <f t="shared" si="82"/>
        <v>ok</v>
      </c>
      <c r="AA47" s="4" t="str">
        <f t="shared" ref="AA47:AB47" si="83">IF((+AA46-AA22)=0,"ok","error")</f>
        <v>ok</v>
      </c>
      <c r="AB47" s="4" t="str">
        <f t="shared" si="83"/>
        <v>ok</v>
      </c>
      <c r="AC47" s="4" t="str">
        <f t="shared" ref="AC47:AD47" si="84">IF((+AC46-AC22)=0,"ok","error")</f>
        <v>ok</v>
      </c>
      <c r="AD47" s="4" t="str">
        <f t="shared" si="84"/>
        <v>ok</v>
      </c>
      <c r="AE47" s="4" t="str">
        <f t="shared" ref="AE47:AF47" si="85">IF((+AE46-AE22)=0,"ok","error")</f>
        <v>ok</v>
      </c>
      <c r="AF47" s="4" t="str">
        <f t="shared" si="85"/>
        <v>ok</v>
      </c>
      <c r="AG47" s="4" t="str">
        <f t="shared" ref="AG47:AH47" si="86">IF((+AG46-AG22)=0,"ok","error")</f>
        <v>ok</v>
      </c>
      <c r="AH47" s="4" t="str">
        <f t="shared" si="86"/>
        <v>ok</v>
      </c>
      <c r="AI47" s="4" t="str">
        <f t="shared" ref="AI47" si="87">IF((+AI46-AI22)=0,"ok","error")</f>
        <v>ok</v>
      </c>
    </row>
    <row r="48" spans="1:35"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5" x14ac:dyDescent="0.3">
      <c r="A49" s="1" t="s">
        <v>133</v>
      </c>
      <c r="B49" s="3"/>
      <c r="C49" s="3"/>
      <c r="D49" s="3"/>
      <c r="E49" s="3"/>
      <c r="F49" s="3"/>
      <c r="G49" s="3"/>
      <c r="H49" s="3"/>
      <c r="I49" s="3"/>
      <c r="J49" s="3"/>
      <c r="K49" s="3"/>
      <c r="L49" s="3"/>
      <c r="M49" s="3"/>
      <c r="N49" s="3"/>
      <c r="O49" s="3"/>
      <c r="P49" s="3"/>
      <c r="Q49" s="3"/>
      <c r="R49" s="3"/>
      <c r="S49" s="3"/>
      <c r="T49" s="3"/>
      <c r="U49" s="3"/>
      <c r="V49" s="3"/>
    </row>
    <row r="50" spans="1:35" x14ac:dyDescent="0.3">
      <c r="A50" s="1" t="s">
        <v>134</v>
      </c>
      <c r="B50" s="3">
        <v>11911646</v>
      </c>
      <c r="C50" s="3">
        <v>12815501</v>
      </c>
      <c r="D50" s="3">
        <v>13098142</v>
      </c>
      <c r="E50" s="3">
        <v>13150158</v>
      </c>
      <c r="F50" s="3">
        <v>12555925</v>
      </c>
      <c r="G50" s="3">
        <v>2470603</v>
      </c>
      <c r="H50" s="3">
        <v>4878838</v>
      </c>
      <c r="I50" s="3">
        <v>7314043</v>
      </c>
      <c r="J50" s="3">
        <v>10071084</v>
      </c>
      <c r="K50" s="3">
        <v>2539526</v>
      </c>
      <c r="L50" s="3">
        <v>5023426</v>
      </c>
      <c r="M50" s="3">
        <v>7424238</v>
      </c>
      <c r="N50" s="3">
        <v>9767470</v>
      </c>
      <c r="O50" s="3">
        <v>2522747</v>
      </c>
      <c r="P50" s="3">
        <v>4829416</v>
      </c>
      <c r="Q50" s="3">
        <v>7417238</v>
      </c>
      <c r="R50" s="3">
        <v>10113689</v>
      </c>
      <c r="S50" s="3">
        <v>2705385</v>
      </c>
      <c r="T50" s="3">
        <v>5455942</v>
      </c>
      <c r="U50" s="3">
        <v>8258350</v>
      </c>
      <c r="V50" s="3">
        <v>11134618</v>
      </c>
      <c r="W50" s="3">
        <v>2946164</v>
      </c>
      <c r="X50" s="3">
        <v>5222817</v>
      </c>
      <c r="Y50" s="3">
        <v>7426761</v>
      </c>
      <c r="Z50" s="3">
        <v>9655952</v>
      </c>
      <c r="AA50" s="3">
        <v>2290245</v>
      </c>
      <c r="AB50" s="3">
        <v>4517417</v>
      </c>
      <c r="AC50" s="3">
        <v>6739146</v>
      </c>
      <c r="AD50" s="3">
        <v>9068789</v>
      </c>
      <c r="AE50" s="3">
        <v>2331237</v>
      </c>
      <c r="AF50" s="3">
        <v>4649138</v>
      </c>
      <c r="AG50" s="3">
        <v>7000069</v>
      </c>
      <c r="AH50" s="3">
        <v>9412961</v>
      </c>
      <c r="AI50" s="3">
        <v>2373835</v>
      </c>
    </row>
    <row r="51" spans="1:35" x14ac:dyDescent="0.3">
      <c r="A51" s="1" t="s">
        <v>135</v>
      </c>
      <c r="B51" s="3">
        <v>-1667329</v>
      </c>
      <c r="C51" s="3">
        <v>-3211190</v>
      </c>
      <c r="D51" s="3">
        <v>-3715458</v>
      </c>
      <c r="E51" s="3">
        <v>-4041053</v>
      </c>
      <c r="F51" s="3">
        <v>-3139744</v>
      </c>
      <c r="G51" s="3">
        <v>-596939</v>
      </c>
      <c r="H51" s="3">
        <v>-1222850</v>
      </c>
      <c r="I51" s="3">
        <v>-1889314</v>
      </c>
      <c r="J51" s="3">
        <v>-2528931</v>
      </c>
      <c r="K51" s="3">
        <v>-662813</v>
      </c>
      <c r="L51" s="3">
        <v>-1476475</v>
      </c>
      <c r="M51" s="3">
        <v>-2165583</v>
      </c>
      <c r="N51" s="3">
        <v>-2864263</v>
      </c>
      <c r="O51" s="3">
        <v>-691055</v>
      </c>
      <c r="P51" s="3">
        <v>-1438045</v>
      </c>
      <c r="Q51" s="3">
        <v>-2151141</v>
      </c>
      <c r="R51" s="3">
        <v>-2885627</v>
      </c>
      <c r="S51" s="3">
        <v>-792060</v>
      </c>
      <c r="T51" s="3">
        <v>-1610816</v>
      </c>
      <c r="U51" s="3">
        <v>-2459234</v>
      </c>
      <c r="V51" s="3">
        <v>-3352559</v>
      </c>
      <c r="W51" s="3">
        <v>-954905</v>
      </c>
      <c r="X51" s="3">
        <v>-1733568</v>
      </c>
      <c r="Y51" s="3">
        <v>-2552878</v>
      </c>
      <c r="Z51" s="3">
        <v>-3471100</v>
      </c>
      <c r="AA51" s="3">
        <v>-832234</v>
      </c>
      <c r="AB51" s="3">
        <v>-1555500</v>
      </c>
      <c r="AC51" s="3">
        <v>-2356332</v>
      </c>
      <c r="AD51" s="3">
        <v>-3432595</v>
      </c>
      <c r="AE51" s="3">
        <v>-791598</v>
      </c>
      <c r="AF51" s="3">
        <v>-1573508</v>
      </c>
      <c r="AG51" s="3">
        <v>-2325619</v>
      </c>
      <c r="AH51" s="3">
        <v>-3463011</v>
      </c>
      <c r="AI51" s="3">
        <v>-750146</v>
      </c>
    </row>
    <row r="52" spans="1:35" s="6" customFormat="1" x14ac:dyDescent="0.3">
      <c r="A52" s="6" t="s">
        <v>136</v>
      </c>
      <c r="B52" s="7">
        <f>+SUM(B50:B51)</f>
        <v>10244317</v>
      </c>
      <c r="C52" s="7">
        <f t="shared" ref="C52:U52" si="88">+SUM(C50:C51)</f>
        <v>9604311</v>
      </c>
      <c r="D52" s="7">
        <f t="shared" si="88"/>
        <v>9382684</v>
      </c>
      <c r="E52" s="7">
        <f t="shared" si="88"/>
        <v>9109105</v>
      </c>
      <c r="F52" s="7">
        <f t="shared" si="88"/>
        <v>9416181</v>
      </c>
      <c r="G52" s="7">
        <f t="shared" si="88"/>
        <v>1873664</v>
      </c>
      <c r="H52" s="7">
        <f t="shared" si="88"/>
        <v>3655988</v>
      </c>
      <c r="I52" s="7">
        <f t="shared" si="88"/>
        <v>5424729</v>
      </c>
      <c r="J52" s="7">
        <f t="shared" si="88"/>
        <v>7542153</v>
      </c>
      <c r="K52" s="7">
        <f t="shared" si="88"/>
        <v>1876713</v>
      </c>
      <c r="L52" s="7">
        <f t="shared" si="88"/>
        <v>3546951</v>
      </c>
      <c r="M52" s="7">
        <f t="shared" si="88"/>
        <v>5258655</v>
      </c>
      <c r="N52" s="7">
        <f t="shared" si="88"/>
        <v>6903207</v>
      </c>
      <c r="O52" s="7">
        <f t="shared" si="88"/>
        <v>1831692</v>
      </c>
      <c r="P52" s="7">
        <f t="shared" si="88"/>
        <v>3391371</v>
      </c>
      <c r="Q52" s="7">
        <f t="shared" si="88"/>
        <v>5266097</v>
      </c>
      <c r="R52" s="7">
        <f t="shared" si="88"/>
        <v>7228062</v>
      </c>
      <c r="S52" s="7">
        <f t="shared" si="88"/>
        <v>1913325</v>
      </c>
      <c r="T52" s="7">
        <f t="shared" si="88"/>
        <v>3845126</v>
      </c>
      <c r="U52" s="7">
        <f t="shared" si="88"/>
        <v>5799116</v>
      </c>
      <c r="V52" s="7">
        <f t="shared" ref="V52:Z52" si="89">+SUM(V50:V51)</f>
        <v>7782059</v>
      </c>
      <c r="W52" s="7">
        <f t="shared" si="89"/>
        <v>1991259</v>
      </c>
      <c r="X52" s="7">
        <f t="shared" si="89"/>
        <v>3489249</v>
      </c>
      <c r="Y52" s="7">
        <f t="shared" si="89"/>
        <v>4873883</v>
      </c>
      <c r="Z52" s="7">
        <f t="shared" si="89"/>
        <v>6184852</v>
      </c>
      <c r="AA52" s="7">
        <f t="shared" ref="AA52:AB52" si="90">+SUM(AA50:AA51)</f>
        <v>1458011</v>
      </c>
      <c r="AB52" s="7">
        <f t="shared" si="90"/>
        <v>2961917</v>
      </c>
      <c r="AC52" s="7">
        <f t="shared" ref="AC52:AD52" si="91">+SUM(AC50:AC51)</f>
        <v>4382814</v>
      </c>
      <c r="AD52" s="7">
        <f t="shared" si="91"/>
        <v>5636194</v>
      </c>
      <c r="AE52" s="7">
        <f t="shared" ref="AE52:AF52" si="92">+SUM(AE50:AE51)</f>
        <v>1539639</v>
      </c>
      <c r="AF52" s="7">
        <f t="shared" si="92"/>
        <v>3075630</v>
      </c>
      <c r="AG52" s="7">
        <f t="shared" ref="AG52:AH52" si="93">+SUM(AG50:AG51)</f>
        <v>4674450</v>
      </c>
      <c r="AH52" s="7">
        <f t="shared" si="93"/>
        <v>5949950</v>
      </c>
      <c r="AI52" s="7">
        <f t="shared" ref="AI52" si="94">+SUM(AI50:AI51)</f>
        <v>1623689</v>
      </c>
    </row>
    <row r="53" spans="1:35" x14ac:dyDescent="0.3">
      <c r="A53" s="1" t="s">
        <v>137</v>
      </c>
      <c r="B53" s="3">
        <v>462728</v>
      </c>
      <c r="C53" s="3">
        <v>2443785</v>
      </c>
      <c r="D53" s="3">
        <v>303713</v>
      </c>
      <c r="E53" s="14">
        <v>137385</v>
      </c>
      <c r="F53" s="3">
        <v>369447</v>
      </c>
      <c r="G53" s="3">
        <v>21193</v>
      </c>
      <c r="H53" s="3">
        <v>31717</v>
      </c>
      <c r="I53" s="3">
        <v>35590</v>
      </c>
      <c r="J53" s="3">
        <v>47701</v>
      </c>
      <c r="K53" s="3">
        <v>28825</v>
      </c>
      <c r="L53" s="3">
        <v>28825</v>
      </c>
      <c r="M53" s="3">
        <v>24824</v>
      </c>
      <c r="N53" s="3">
        <v>27802</v>
      </c>
      <c r="O53" s="3">
        <v>1426</v>
      </c>
      <c r="P53" s="3">
        <v>1426</v>
      </c>
      <c r="Q53" s="3">
        <v>13466</v>
      </c>
      <c r="R53" s="3">
        <v>34559</v>
      </c>
      <c r="S53" s="3">
        <v>48431</v>
      </c>
      <c r="T53" s="3">
        <v>58706</v>
      </c>
      <c r="U53" s="3">
        <v>64259</v>
      </c>
      <c r="V53" s="3">
        <v>100418</v>
      </c>
      <c r="W53" s="3">
        <v>44196225</v>
      </c>
      <c r="X53" s="3">
        <v>44720522</v>
      </c>
      <c r="Y53" s="3">
        <v>44725145</v>
      </c>
      <c r="Z53" s="3">
        <f>3611201</f>
        <v>3611201</v>
      </c>
      <c r="AA53" s="3">
        <v>3035</v>
      </c>
      <c r="AB53" s="3">
        <v>3035</v>
      </c>
      <c r="AC53" s="3">
        <v>3035</v>
      </c>
      <c r="AD53" s="3">
        <v>3035</v>
      </c>
      <c r="AE53" s="3">
        <v>0</v>
      </c>
      <c r="AF53" s="3">
        <v>0</v>
      </c>
      <c r="AG53" s="3">
        <v>17</v>
      </c>
      <c r="AH53" s="3">
        <v>17</v>
      </c>
      <c r="AI53" s="3">
        <v>600</v>
      </c>
    </row>
    <row r="54" spans="1:35" x14ac:dyDescent="0.3">
      <c r="A54" s="1" t="s">
        <v>138</v>
      </c>
      <c r="B54" s="3">
        <v>-226646</v>
      </c>
      <c r="C54" s="3">
        <v>-224073</v>
      </c>
      <c r="D54" s="3">
        <v>-285929</v>
      </c>
      <c r="E54" s="3">
        <v>-318975</v>
      </c>
      <c r="F54" s="3">
        <v>-163067</v>
      </c>
      <c r="G54" s="3">
        <v>-16967</v>
      </c>
      <c r="H54" s="3">
        <v>-52386</v>
      </c>
      <c r="I54" s="3">
        <v>-103137</v>
      </c>
      <c r="J54" s="3">
        <v>-151212</v>
      </c>
      <c r="K54" s="3">
        <v>-51877</v>
      </c>
      <c r="L54" s="3">
        <v>-68379</v>
      </c>
      <c r="M54" s="3">
        <v>-371790</v>
      </c>
      <c r="N54" s="3">
        <v>-526143</v>
      </c>
      <c r="O54" s="3">
        <v>-56873</v>
      </c>
      <c r="P54" s="3">
        <v>152958</v>
      </c>
      <c r="Q54" s="3">
        <v>187352</v>
      </c>
      <c r="R54" s="3">
        <v>115860</v>
      </c>
      <c r="S54" s="3">
        <v>-24057</v>
      </c>
      <c r="T54" s="3">
        <v>-22315</v>
      </c>
      <c r="U54" s="3">
        <v>-50381</v>
      </c>
      <c r="V54" s="3">
        <v>-160394</v>
      </c>
      <c r="W54" s="3">
        <v>-58134</v>
      </c>
      <c r="X54" s="3">
        <v>-93231</v>
      </c>
      <c r="Y54" s="3">
        <v>-130205</v>
      </c>
      <c r="Z54" s="3">
        <v>-279226</v>
      </c>
      <c r="AA54" s="3">
        <v>-16541</v>
      </c>
      <c r="AB54" s="3">
        <v>-229670</v>
      </c>
      <c r="AC54" s="3">
        <v>-311771</v>
      </c>
      <c r="AD54" s="3">
        <v>-482141</v>
      </c>
      <c r="AE54" s="3">
        <v>-56631</v>
      </c>
      <c r="AF54" s="3">
        <v>-102301</v>
      </c>
      <c r="AG54" s="3">
        <v>-99143</v>
      </c>
      <c r="AH54" s="3">
        <v>-323339</v>
      </c>
      <c r="AI54" s="3">
        <v>-61998</v>
      </c>
    </row>
    <row r="55" spans="1:35" x14ac:dyDescent="0.3">
      <c r="A55" s="1" t="s">
        <v>139</v>
      </c>
      <c r="B55" s="3">
        <v>-1885548</v>
      </c>
      <c r="C55" s="3">
        <v>0</v>
      </c>
      <c r="D55" s="3">
        <v>0</v>
      </c>
      <c r="E55" s="3">
        <v>0</v>
      </c>
      <c r="F55" s="3">
        <v>0</v>
      </c>
      <c r="G55" s="3">
        <v>0</v>
      </c>
      <c r="H55" s="3">
        <v>-292</v>
      </c>
      <c r="I55" s="3">
        <v>-5292</v>
      </c>
      <c r="J55" s="3">
        <v>0</v>
      </c>
      <c r="K55" s="3">
        <v>0</v>
      </c>
      <c r="L55" s="3">
        <v>0</v>
      </c>
      <c r="M55" s="3">
        <v>0</v>
      </c>
      <c r="N55" s="3">
        <v>0</v>
      </c>
      <c r="O55" s="3"/>
      <c r="P55" s="3"/>
      <c r="Q55" s="3"/>
      <c r="R55" s="3">
        <v>0</v>
      </c>
      <c r="S55" s="3"/>
      <c r="T55" s="3">
        <v>0</v>
      </c>
      <c r="U55" s="3">
        <v>0</v>
      </c>
      <c r="V55" s="3">
        <v>0</v>
      </c>
      <c r="W55" s="3">
        <v>-40512253</v>
      </c>
      <c r="X55" s="3">
        <v>-41091352</v>
      </c>
      <c r="Y55" s="3">
        <v>-41103189</v>
      </c>
      <c r="Z55" s="3">
        <v>0</v>
      </c>
      <c r="AA55" s="3">
        <v>-13733</v>
      </c>
      <c r="AB55" s="3">
        <v>-2193</v>
      </c>
      <c r="AC55" s="3">
        <v>-5624</v>
      </c>
      <c r="AD55" s="3">
        <v>-5624</v>
      </c>
      <c r="AE55" s="3">
        <v>-1254</v>
      </c>
      <c r="AF55" s="3">
        <v>-1254</v>
      </c>
      <c r="AG55" s="3">
        <v>-1254</v>
      </c>
      <c r="AH55" s="3">
        <v>0</v>
      </c>
      <c r="AI55" s="3">
        <v>0</v>
      </c>
    </row>
    <row r="56" spans="1:35" x14ac:dyDescent="0.3">
      <c r="A56" s="1" t="s">
        <v>140</v>
      </c>
      <c r="B56" s="3">
        <v>1377</v>
      </c>
      <c r="C56" s="3">
        <v>-36257</v>
      </c>
      <c r="D56" s="3">
        <v>0</v>
      </c>
      <c r="E56" s="3">
        <v>-47285</v>
      </c>
      <c r="F56" s="3">
        <v>0</v>
      </c>
      <c r="G56" s="3">
        <v>0</v>
      </c>
      <c r="H56" s="3">
        <v>0</v>
      </c>
      <c r="I56" s="3">
        <v>0</v>
      </c>
      <c r="J56" s="3">
        <v>-5292</v>
      </c>
      <c r="K56" s="3">
        <v>0</v>
      </c>
      <c r="L56" s="1">
        <v>0</v>
      </c>
      <c r="M56" s="1">
        <v>0</v>
      </c>
      <c r="N56" s="1">
        <v>0</v>
      </c>
      <c r="O56" s="1">
        <v>0</v>
      </c>
      <c r="P56" s="1">
        <v>0</v>
      </c>
      <c r="Q56" s="1">
        <v>0</v>
      </c>
      <c r="R56" s="1">
        <v>0</v>
      </c>
      <c r="S56" s="1">
        <v>0</v>
      </c>
      <c r="T56" s="1">
        <v>0</v>
      </c>
      <c r="U56" s="1">
        <v>0</v>
      </c>
      <c r="V56" s="1">
        <v>0</v>
      </c>
      <c r="W56" s="1">
        <v>0</v>
      </c>
      <c r="X56" s="1">
        <v>0</v>
      </c>
      <c r="Y56" s="1">
        <v>0</v>
      </c>
      <c r="Z56" s="1">
        <v>0</v>
      </c>
      <c r="AA56" s="1">
        <v>0</v>
      </c>
      <c r="AB56" s="1">
        <v>0</v>
      </c>
      <c r="AC56" s="1">
        <v>0</v>
      </c>
      <c r="AD56" s="1">
        <v>0</v>
      </c>
      <c r="AE56" s="1">
        <v>0</v>
      </c>
      <c r="AF56" s="1">
        <v>0</v>
      </c>
      <c r="AG56" s="1">
        <v>0</v>
      </c>
      <c r="AH56" s="1">
        <v>0</v>
      </c>
      <c r="AI56" s="1">
        <v>0</v>
      </c>
    </row>
    <row r="57" spans="1:35" s="6" customFormat="1" x14ac:dyDescent="0.3">
      <c r="A57" s="6" t="s">
        <v>141</v>
      </c>
      <c r="B57" s="7">
        <f>+SUM(B52:B56)</f>
        <v>8596228</v>
      </c>
      <c r="C57" s="7">
        <f t="shared" ref="C57:U57" si="95">+SUM(C52:C56)</f>
        <v>11787766</v>
      </c>
      <c r="D57" s="7">
        <f t="shared" si="95"/>
        <v>9400468</v>
      </c>
      <c r="E57" s="7">
        <f t="shared" si="95"/>
        <v>8880230</v>
      </c>
      <c r="F57" s="7">
        <f t="shared" si="95"/>
        <v>9622561</v>
      </c>
      <c r="G57" s="7">
        <f t="shared" si="95"/>
        <v>1877890</v>
      </c>
      <c r="H57" s="7">
        <f t="shared" si="95"/>
        <v>3635027</v>
      </c>
      <c r="I57" s="7">
        <f t="shared" si="95"/>
        <v>5351890</v>
      </c>
      <c r="J57" s="7">
        <f t="shared" si="95"/>
        <v>7433350</v>
      </c>
      <c r="K57" s="7">
        <f t="shared" si="95"/>
        <v>1853661</v>
      </c>
      <c r="L57" s="7">
        <f t="shared" si="95"/>
        <v>3507397</v>
      </c>
      <c r="M57" s="7">
        <f t="shared" si="95"/>
        <v>4911689</v>
      </c>
      <c r="N57" s="7">
        <f t="shared" si="95"/>
        <v>6404866</v>
      </c>
      <c r="O57" s="7">
        <f t="shared" si="95"/>
        <v>1776245</v>
      </c>
      <c r="P57" s="7">
        <f t="shared" si="95"/>
        <v>3545755</v>
      </c>
      <c r="Q57" s="7">
        <f t="shared" si="95"/>
        <v>5466915</v>
      </c>
      <c r="R57" s="7">
        <f t="shared" si="95"/>
        <v>7378481</v>
      </c>
      <c r="S57" s="7">
        <f t="shared" si="95"/>
        <v>1937699</v>
      </c>
      <c r="T57" s="7">
        <f t="shared" si="95"/>
        <v>3881517</v>
      </c>
      <c r="U57" s="7">
        <f t="shared" si="95"/>
        <v>5812994</v>
      </c>
      <c r="V57" s="7">
        <f t="shared" ref="V57:Z57" si="96">+SUM(V52:V56)</f>
        <v>7722083</v>
      </c>
      <c r="W57" s="7">
        <f t="shared" si="96"/>
        <v>5617097</v>
      </c>
      <c r="X57" s="7">
        <f t="shared" si="96"/>
        <v>7025188</v>
      </c>
      <c r="Y57" s="7">
        <f t="shared" si="96"/>
        <v>8365634</v>
      </c>
      <c r="Z57" s="7">
        <f t="shared" si="96"/>
        <v>9516827</v>
      </c>
      <c r="AA57" s="7">
        <f t="shared" ref="AA57:AB57" si="97">+SUM(AA52:AA56)</f>
        <v>1430772</v>
      </c>
      <c r="AB57" s="7">
        <f t="shared" si="97"/>
        <v>2733089</v>
      </c>
      <c r="AC57" s="7">
        <f t="shared" ref="AC57:AD57" si="98">+SUM(AC52:AC56)</f>
        <v>4068454</v>
      </c>
      <c r="AD57" s="7">
        <f t="shared" si="98"/>
        <v>5151464</v>
      </c>
      <c r="AE57" s="7">
        <f t="shared" ref="AE57:AF57" si="99">+SUM(AE52:AE56)</f>
        <v>1481754</v>
      </c>
      <c r="AF57" s="7">
        <f t="shared" si="99"/>
        <v>2972075</v>
      </c>
      <c r="AG57" s="7">
        <f t="shared" ref="AG57:AH57" si="100">+SUM(AG52:AG56)</f>
        <v>4574070</v>
      </c>
      <c r="AH57" s="7">
        <f t="shared" si="100"/>
        <v>5626628</v>
      </c>
      <c r="AI57" s="7">
        <f t="shared" ref="AI57" si="101">+SUM(AI52:AI56)</f>
        <v>1562291</v>
      </c>
    </row>
    <row r="58" spans="1:35" x14ac:dyDescent="0.3">
      <c r="A58" s="1" t="s">
        <v>142</v>
      </c>
      <c r="B58" s="3">
        <v>634723</v>
      </c>
      <c r="C58" s="3">
        <v>849762</v>
      </c>
      <c r="D58" s="3">
        <v>1019630</v>
      </c>
      <c r="E58" s="3">
        <v>974509</v>
      </c>
      <c r="F58" s="3">
        <v>601531</v>
      </c>
      <c r="G58" s="3">
        <v>6352</v>
      </c>
      <c r="H58" s="3">
        <v>14501</v>
      </c>
      <c r="I58" s="3">
        <v>19779</v>
      </c>
      <c r="J58" s="3">
        <v>21902</v>
      </c>
      <c r="K58" s="3">
        <v>2564</v>
      </c>
      <c r="L58" s="3">
        <v>2947</v>
      </c>
      <c r="M58" s="3">
        <v>3517</v>
      </c>
      <c r="N58" s="3">
        <v>4267</v>
      </c>
      <c r="O58" s="3">
        <v>832</v>
      </c>
      <c r="P58" s="3">
        <v>2138</v>
      </c>
      <c r="Q58" s="3">
        <v>4076</v>
      </c>
      <c r="R58" s="3">
        <v>12111</v>
      </c>
      <c r="S58" s="3">
        <v>29531</v>
      </c>
      <c r="T58" s="3">
        <v>46947</v>
      </c>
      <c r="U58" s="3">
        <v>74676</v>
      </c>
      <c r="V58" s="3">
        <v>106768</v>
      </c>
      <c r="W58" s="3">
        <v>34178</v>
      </c>
      <c r="X58" s="3">
        <v>107744</v>
      </c>
      <c r="Y58" s="3">
        <v>114311</v>
      </c>
      <c r="Z58" s="3">
        <v>120797</v>
      </c>
      <c r="AA58" s="3">
        <v>11784</v>
      </c>
      <c r="AB58" s="3">
        <v>23407</v>
      </c>
      <c r="AC58" s="3">
        <v>40582</v>
      </c>
      <c r="AD58" s="3">
        <v>72564</v>
      </c>
      <c r="AE58" s="3">
        <v>15977</v>
      </c>
      <c r="AF58" s="3">
        <v>31832</v>
      </c>
      <c r="AG58" s="3">
        <v>48207</v>
      </c>
      <c r="AH58" s="3">
        <f>43335</f>
        <v>43335</v>
      </c>
      <c r="AI58" s="3">
        <v>24802</v>
      </c>
    </row>
    <row r="59" spans="1:35" x14ac:dyDescent="0.3">
      <c r="A59" s="1" t="s">
        <v>143</v>
      </c>
      <c r="B59" s="3">
        <v>-8598635</v>
      </c>
      <c r="C59" s="3">
        <v>-8724818</v>
      </c>
      <c r="D59" s="3">
        <v>-10262805</v>
      </c>
      <c r="E59" s="3">
        <v>-10504785</v>
      </c>
      <c r="F59" s="3">
        <v>-6789772</v>
      </c>
      <c r="G59" s="3">
        <v>-1340737</v>
      </c>
      <c r="H59" s="3">
        <v>-2706218</v>
      </c>
      <c r="I59" s="3">
        <v>-4051687</v>
      </c>
      <c r="J59" s="3">
        <v>-5406152</v>
      </c>
      <c r="K59" s="3">
        <v>-1105166</v>
      </c>
      <c r="L59" s="3">
        <v>-4494006</v>
      </c>
      <c r="M59" s="3">
        <v>-5759313</v>
      </c>
      <c r="N59" s="3">
        <v>-7046586</v>
      </c>
      <c r="O59" s="3">
        <v>-1241592</v>
      </c>
      <c r="P59" s="3">
        <v>-2513775</v>
      </c>
      <c r="Q59" s="3">
        <v>-3824869</v>
      </c>
      <c r="R59" s="3">
        <v>-5210337</v>
      </c>
      <c r="S59" s="3">
        <v>-1614337</v>
      </c>
      <c r="T59" s="3">
        <v>-3465731</v>
      </c>
      <c r="U59" s="3">
        <v>-5437439</v>
      </c>
      <c r="V59" s="3">
        <v>-7471779</v>
      </c>
      <c r="W59" s="3">
        <v>-1913881</v>
      </c>
      <c r="X59" s="3">
        <v>-3631878</v>
      </c>
      <c r="Y59" s="3">
        <v>-5469616</v>
      </c>
      <c r="Z59" s="3">
        <v>-7102974</v>
      </c>
      <c r="AA59" s="3">
        <v>-1653411</v>
      </c>
      <c r="AB59" s="3">
        <v>-3331966</v>
      </c>
      <c r="AC59" s="3">
        <v>-5048491</v>
      </c>
      <c r="AD59" s="3">
        <v>-6849750</v>
      </c>
      <c r="AE59" s="3">
        <v>-1767120</v>
      </c>
      <c r="AF59" s="3">
        <v>-3580395</v>
      </c>
      <c r="AG59" s="3">
        <v>-5424606</v>
      </c>
      <c r="AH59" s="3">
        <v>-7290690</v>
      </c>
      <c r="AI59" s="3">
        <v>-1817814</v>
      </c>
    </row>
    <row r="60" spans="1:35" x14ac:dyDescent="0.3">
      <c r="A60" s="1" t="s">
        <v>140</v>
      </c>
      <c r="B60" s="3">
        <v>0</v>
      </c>
      <c r="C60" s="3">
        <v>0</v>
      </c>
      <c r="D60" s="3">
        <v>0</v>
      </c>
      <c r="E60" s="3">
        <v>0</v>
      </c>
      <c r="F60" s="3">
        <v>0</v>
      </c>
      <c r="G60" s="3">
        <v>0</v>
      </c>
      <c r="H60" s="3">
        <v>0</v>
      </c>
      <c r="I60" s="3"/>
      <c r="J60" s="3">
        <v>0</v>
      </c>
      <c r="K60" s="3">
        <v>0</v>
      </c>
      <c r="L60" s="3"/>
      <c r="M60" s="3"/>
      <c r="N60" s="3">
        <v>0</v>
      </c>
      <c r="O60" s="3">
        <v>-3746</v>
      </c>
      <c r="P60" s="3">
        <v>-7536</v>
      </c>
      <c r="Q60" s="3">
        <v>-11365</v>
      </c>
      <c r="R60" s="3">
        <v>0</v>
      </c>
      <c r="S60" s="3">
        <v>-4018</v>
      </c>
      <c r="T60" s="3">
        <v>-34148</v>
      </c>
      <c r="U60" s="3">
        <v>-38451</v>
      </c>
      <c r="V60" s="3">
        <f>-43873-5943</f>
        <v>-49816</v>
      </c>
      <c r="W60" s="3">
        <v>-3016</v>
      </c>
      <c r="X60" s="3">
        <v>-4538</v>
      </c>
      <c r="Y60" s="3">
        <v>-12697</v>
      </c>
      <c r="Z60" s="3">
        <v>-12713</v>
      </c>
      <c r="AA60" s="3">
        <v>-3431</v>
      </c>
      <c r="AB60" s="3">
        <v>0</v>
      </c>
      <c r="AC60" s="3">
        <v>0</v>
      </c>
      <c r="AD60" s="3">
        <v>0</v>
      </c>
      <c r="AE60" s="3">
        <v>0</v>
      </c>
      <c r="AF60" s="3">
        <v>0</v>
      </c>
      <c r="AG60" s="3">
        <v>0</v>
      </c>
      <c r="AH60" s="3">
        <v>-38799</v>
      </c>
      <c r="AI60" s="3">
        <v>0</v>
      </c>
    </row>
    <row r="61" spans="1:35" ht="28.8" x14ac:dyDescent="0.3">
      <c r="A61" s="5" t="s">
        <v>144</v>
      </c>
      <c r="B61" s="3">
        <v>1501362</v>
      </c>
      <c r="C61" s="3">
        <v>4961255</v>
      </c>
      <c r="D61" s="3">
        <v>7613786</v>
      </c>
      <c r="E61" s="3">
        <v>8617251</v>
      </c>
      <c r="F61" s="3">
        <v>1177830</v>
      </c>
      <c r="G61" s="3">
        <v>0</v>
      </c>
      <c r="H61" s="3">
        <v>0</v>
      </c>
      <c r="I61" s="3"/>
      <c r="J61" s="3">
        <v>0</v>
      </c>
      <c r="K61" s="3">
        <v>0</v>
      </c>
      <c r="L61" s="3"/>
      <c r="M61" s="3"/>
      <c r="N61" s="3">
        <v>0</v>
      </c>
      <c r="O61" s="3"/>
      <c r="P61" s="3"/>
      <c r="Q61" s="3"/>
      <c r="R61" s="3">
        <v>0</v>
      </c>
      <c r="S61" s="3"/>
      <c r="T61" s="3">
        <v>0</v>
      </c>
      <c r="U61" s="3">
        <v>0</v>
      </c>
      <c r="V61" s="3">
        <v>0</v>
      </c>
      <c r="W61" s="3">
        <v>0</v>
      </c>
      <c r="X61" s="3">
        <v>0</v>
      </c>
      <c r="Y61" s="3">
        <v>0</v>
      </c>
      <c r="Z61" s="3">
        <v>0</v>
      </c>
      <c r="AA61" s="3">
        <v>136588</v>
      </c>
      <c r="AB61" s="3">
        <v>-1718405</v>
      </c>
      <c r="AC61" s="3">
        <v>-1652895</v>
      </c>
      <c r="AD61" s="3">
        <v>0</v>
      </c>
      <c r="AE61" s="3">
        <v>53197</v>
      </c>
      <c r="AF61" s="3">
        <v>-616327</v>
      </c>
      <c r="AG61" s="3">
        <f>-37545-662311</f>
        <v>-699856</v>
      </c>
      <c r="AH61" s="3">
        <v>0</v>
      </c>
      <c r="AI61" s="3">
        <v>-84274</v>
      </c>
    </row>
    <row r="62" spans="1:35" x14ac:dyDescent="0.3">
      <c r="A62" s="1" t="s">
        <v>145</v>
      </c>
      <c r="B62" s="3">
        <v>55131</v>
      </c>
      <c r="C62" s="3">
        <v>85229</v>
      </c>
      <c r="D62" s="3">
        <v>-28363</v>
      </c>
      <c r="E62" s="3">
        <v>0</v>
      </c>
      <c r="F62" s="3">
        <v>0</v>
      </c>
      <c r="G62" s="3">
        <v>0</v>
      </c>
      <c r="H62" s="3">
        <v>0</v>
      </c>
      <c r="I62" s="3"/>
      <c r="J62" s="3">
        <v>0</v>
      </c>
      <c r="K62" s="3">
        <v>0</v>
      </c>
      <c r="L62" s="3"/>
      <c r="M62" s="3"/>
      <c r="N62" s="3">
        <v>0</v>
      </c>
      <c r="O62" s="3"/>
      <c r="P62" s="3"/>
      <c r="Q62" s="3"/>
      <c r="R62" s="3">
        <v>0</v>
      </c>
      <c r="S62" s="3"/>
      <c r="T62" s="3">
        <v>0</v>
      </c>
      <c r="U62" s="3">
        <v>0</v>
      </c>
      <c r="V62" s="3">
        <v>0</v>
      </c>
      <c r="W62" s="3">
        <v>0</v>
      </c>
      <c r="X62" s="3">
        <v>0</v>
      </c>
      <c r="Y62" s="3">
        <v>0</v>
      </c>
      <c r="Z62" s="3">
        <v>0</v>
      </c>
      <c r="AA62" s="3">
        <v>0</v>
      </c>
      <c r="AB62" s="3">
        <v>0</v>
      </c>
      <c r="AC62" s="3"/>
      <c r="AD62" s="3">
        <v>0</v>
      </c>
      <c r="AE62" s="3">
        <v>0</v>
      </c>
      <c r="AF62" s="3">
        <v>0</v>
      </c>
      <c r="AG62" s="3">
        <v>0</v>
      </c>
      <c r="AH62" s="3">
        <v>0</v>
      </c>
      <c r="AI62" s="3">
        <v>0</v>
      </c>
    </row>
    <row r="63" spans="1:35" x14ac:dyDescent="0.3">
      <c r="A63" s="1" t="s">
        <v>146</v>
      </c>
      <c r="B63" s="3">
        <v>-7595533</v>
      </c>
      <c r="C63" s="3">
        <v>-6411676</v>
      </c>
      <c r="D63" s="3">
        <v>-4918504</v>
      </c>
      <c r="E63" s="3">
        <v>-3314087</v>
      </c>
      <c r="F63" s="3">
        <v>-3261802</v>
      </c>
      <c r="G63" s="3">
        <v>-8513</v>
      </c>
      <c r="H63" s="3">
        <v>-1331808</v>
      </c>
      <c r="I63" s="3">
        <v>-1884415</v>
      </c>
      <c r="J63" s="3">
        <v>-2909357</v>
      </c>
      <c r="K63" s="3">
        <v>-1084458</v>
      </c>
      <c r="L63" s="3">
        <v>-1492862</v>
      </c>
      <c r="M63" s="3">
        <v>-1560957</v>
      </c>
      <c r="N63" s="3">
        <v>-3091045</v>
      </c>
      <c r="O63" s="3">
        <v>-1339549</v>
      </c>
      <c r="P63" s="3">
        <v>-2638454</v>
      </c>
      <c r="Q63" s="3">
        <v>-4160661</v>
      </c>
      <c r="R63" s="3">
        <v>-7880563</v>
      </c>
      <c r="S63" s="3">
        <v>-3165571</v>
      </c>
      <c r="T63" s="3">
        <v>-8997753</v>
      </c>
      <c r="U63" s="3">
        <v>-14076247</v>
      </c>
      <c r="V63" s="3">
        <v>-17835829</v>
      </c>
      <c r="W63" s="3">
        <v>-2072543</v>
      </c>
      <c r="X63" s="3">
        <v>-3928928</v>
      </c>
      <c r="Y63" s="3">
        <v>-4230616</v>
      </c>
      <c r="Z63" s="3">
        <v>-6202379</v>
      </c>
      <c r="AA63" s="3">
        <v>-988764</v>
      </c>
      <c r="AB63" s="3">
        <v>-2633981</v>
      </c>
      <c r="AC63" s="3">
        <v>-3811846</v>
      </c>
      <c r="AD63" s="3">
        <v>-5497175</v>
      </c>
      <c r="AE63" s="3">
        <v>-1715174</v>
      </c>
      <c r="AF63" s="3">
        <v>-3046064</v>
      </c>
      <c r="AG63" s="3">
        <v>-3803497</v>
      </c>
      <c r="AH63" s="3">
        <v>-4708173</v>
      </c>
      <c r="AI63" s="3">
        <v>-401695</v>
      </c>
    </row>
    <row r="64" spans="1:35" x14ac:dyDescent="0.3">
      <c r="A64" s="1" t="s">
        <v>147</v>
      </c>
      <c r="B64" s="3">
        <v>6730427</v>
      </c>
      <c r="C64" s="3">
        <v>4235592</v>
      </c>
      <c r="D64" s="3">
        <v>12040969</v>
      </c>
      <c r="E64" s="3">
        <v>9160925</v>
      </c>
      <c r="F64" s="3">
        <v>6970419</v>
      </c>
      <c r="G64" s="3">
        <v>-155</v>
      </c>
      <c r="H64" s="3">
        <v>1743790</v>
      </c>
      <c r="I64" s="3">
        <v>4471960</v>
      </c>
      <c r="J64" s="3">
        <v>4747389</v>
      </c>
      <c r="K64" s="3">
        <v>1507233</v>
      </c>
      <c r="L64" s="3">
        <v>330951</v>
      </c>
      <c r="M64" s="3">
        <v>390232</v>
      </c>
      <c r="N64" s="3">
        <v>2270206</v>
      </c>
      <c r="O64" s="3">
        <v>1682683</v>
      </c>
      <c r="P64" s="3">
        <v>4528474</v>
      </c>
      <c r="Q64" s="3">
        <v>6512467</v>
      </c>
      <c r="R64" s="3">
        <v>11247183</v>
      </c>
      <c r="S64" s="3">
        <v>3857501</v>
      </c>
      <c r="T64" s="3">
        <v>8753492</v>
      </c>
      <c r="U64" s="3">
        <v>14802757</v>
      </c>
      <c r="V64" s="3">
        <v>19239657</v>
      </c>
      <c r="W64" s="3">
        <v>2368125</v>
      </c>
      <c r="X64" s="3">
        <v>4448860</v>
      </c>
      <c r="Y64" s="3">
        <v>250041</v>
      </c>
      <c r="Z64" s="3">
        <v>4172585</v>
      </c>
      <c r="AA64" s="3">
        <v>1065650</v>
      </c>
      <c r="AB64" s="3">
        <f>-3431+1734209</f>
        <v>1730778</v>
      </c>
      <c r="AC64" s="3">
        <v>2913305</v>
      </c>
      <c r="AD64" s="3">
        <v>-1889730</v>
      </c>
      <c r="AE64" s="3">
        <v>1700488</v>
      </c>
      <c r="AF64" s="3">
        <v>-4915646</v>
      </c>
      <c r="AG64" s="3">
        <v>-4274233</v>
      </c>
      <c r="AH64" s="3">
        <v>-3675369</v>
      </c>
      <c r="AI64" s="3">
        <v>382178</v>
      </c>
    </row>
    <row r="65" spans="1:35" s="6" customFormat="1" x14ac:dyDescent="0.3">
      <c r="A65" s="6" t="s">
        <v>148</v>
      </c>
      <c r="B65" s="7">
        <f>+SUM(B57:B64)</f>
        <v>1323703</v>
      </c>
      <c r="C65" s="7">
        <f t="shared" ref="C65:U65" si="102">+SUM(C57:C64)</f>
        <v>6783110</v>
      </c>
      <c r="D65" s="7">
        <f t="shared" si="102"/>
        <v>14865181</v>
      </c>
      <c r="E65" s="7">
        <f t="shared" si="102"/>
        <v>13814043</v>
      </c>
      <c r="F65" s="7">
        <f t="shared" si="102"/>
        <v>8320767</v>
      </c>
      <c r="G65" s="7">
        <f t="shared" si="102"/>
        <v>534837</v>
      </c>
      <c r="H65" s="7">
        <f t="shared" si="102"/>
        <v>1355292</v>
      </c>
      <c r="I65" s="7">
        <f t="shared" si="102"/>
        <v>3907527</v>
      </c>
      <c r="J65" s="7">
        <f t="shared" si="102"/>
        <v>3887132</v>
      </c>
      <c r="K65" s="7">
        <f t="shared" si="102"/>
        <v>1173834</v>
      </c>
      <c r="L65" s="7">
        <f t="shared" si="102"/>
        <v>-2145573</v>
      </c>
      <c r="M65" s="7">
        <f t="shared" si="102"/>
        <v>-2014832</v>
      </c>
      <c r="N65" s="7">
        <f t="shared" si="102"/>
        <v>-1458292</v>
      </c>
      <c r="O65" s="7">
        <f t="shared" si="102"/>
        <v>874873</v>
      </c>
      <c r="P65" s="7">
        <f t="shared" si="102"/>
        <v>2916602</v>
      </c>
      <c r="Q65" s="7">
        <f t="shared" si="102"/>
        <v>3986563</v>
      </c>
      <c r="R65" s="7">
        <f t="shared" si="102"/>
        <v>5546875</v>
      </c>
      <c r="S65" s="7">
        <f t="shared" si="102"/>
        <v>1040805</v>
      </c>
      <c r="T65" s="7">
        <f t="shared" si="102"/>
        <v>184324</v>
      </c>
      <c r="U65" s="7">
        <f t="shared" si="102"/>
        <v>1138290</v>
      </c>
      <c r="V65" s="7">
        <f t="shared" ref="V65:Z65" si="103">+SUM(V57:V64)</f>
        <v>1711084</v>
      </c>
      <c r="W65" s="7">
        <f t="shared" si="103"/>
        <v>4029960</v>
      </c>
      <c r="X65" s="7">
        <f t="shared" si="103"/>
        <v>4016448</v>
      </c>
      <c r="Y65" s="7">
        <f t="shared" si="103"/>
        <v>-982943</v>
      </c>
      <c r="Z65" s="7">
        <f t="shared" si="103"/>
        <v>492143</v>
      </c>
      <c r="AA65" s="7">
        <f t="shared" ref="AA65:AB65" si="104">+SUM(AA57:AA64)</f>
        <v>-812</v>
      </c>
      <c r="AB65" s="7">
        <f t="shared" si="104"/>
        <v>-3197078</v>
      </c>
      <c r="AC65" s="7">
        <f t="shared" ref="AC65:AD65" si="105">+SUM(AC57:AC64)</f>
        <v>-3490891</v>
      </c>
      <c r="AD65" s="7">
        <f t="shared" si="105"/>
        <v>-9012627</v>
      </c>
      <c r="AE65" s="7">
        <f t="shared" ref="AE65:AF65" si="106">+SUM(AE57:AE64)</f>
        <v>-230878</v>
      </c>
      <c r="AF65" s="7">
        <f t="shared" si="106"/>
        <v>-9154525</v>
      </c>
      <c r="AG65" s="7">
        <f t="shared" ref="AG65:AH65" si="107">+SUM(AG57:AG64)</f>
        <v>-9579915</v>
      </c>
      <c r="AH65" s="7">
        <f t="shared" si="107"/>
        <v>-10043068</v>
      </c>
      <c r="AI65" s="7">
        <f t="shared" ref="AI65" si="108">+SUM(AI57:AI64)</f>
        <v>-334512</v>
      </c>
    </row>
    <row r="66" spans="1:35" x14ac:dyDescent="0.3">
      <c r="A66" s="1" t="s">
        <v>149</v>
      </c>
      <c r="B66" s="3">
        <v>-47973</v>
      </c>
      <c r="C66" s="3">
        <v>-534557</v>
      </c>
      <c r="D66" s="3">
        <v>-3157827</v>
      </c>
      <c r="E66" s="3">
        <v>-1670427</v>
      </c>
      <c r="F66" s="3">
        <v>-2809955</v>
      </c>
      <c r="G66" s="3">
        <v>-145051</v>
      </c>
      <c r="H66" s="3">
        <v>-339831</v>
      </c>
      <c r="I66" s="3">
        <v>-967407</v>
      </c>
      <c r="J66" s="3">
        <v>-950401</v>
      </c>
      <c r="K66" s="3">
        <v>-303421</v>
      </c>
      <c r="L66" s="3">
        <v>600106</v>
      </c>
      <c r="M66" s="3">
        <v>565904</v>
      </c>
      <c r="N66" s="3">
        <v>427995</v>
      </c>
      <c r="O66" s="3">
        <v>-219562</v>
      </c>
      <c r="P66" s="3">
        <v>-768973</v>
      </c>
      <c r="Q66" s="3">
        <v>-1049650</v>
      </c>
      <c r="R66" s="3">
        <v>-1461788</v>
      </c>
      <c r="S66" s="3">
        <v>-207422</v>
      </c>
      <c r="T66" s="3">
        <v>-36914</v>
      </c>
      <c r="U66" s="3">
        <v>-353112</v>
      </c>
      <c r="V66" s="3">
        <v>-550196</v>
      </c>
      <c r="W66" s="3">
        <v>-1064113</v>
      </c>
      <c r="X66" s="3">
        <v>-1027814</v>
      </c>
      <c r="Y66" s="3">
        <v>322521</v>
      </c>
      <c r="Z66" s="3">
        <v>-42436</v>
      </c>
      <c r="AA66" s="3">
        <v>16878</v>
      </c>
      <c r="AB66" s="3">
        <v>347667</v>
      </c>
      <c r="AC66" s="3">
        <v>421236</v>
      </c>
      <c r="AD66" s="3">
        <v>792968</v>
      </c>
      <c r="AE66" s="3">
        <v>56941</v>
      </c>
      <c r="AF66" s="3">
        <v>2271743</v>
      </c>
      <c r="AG66" s="3">
        <v>2365949</v>
      </c>
      <c r="AH66" s="3">
        <v>2474691</v>
      </c>
      <c r="AI66" s="3">
        <v>64268</v>
      </c>
    </row>
    <row r="67" spans="1:35" x14ac:dyDescent="0.3">
      <c r="A67" s="1" t="s">
        <v>150</v>
      </c>
      <c r="B67" s="7">
        <f>+SUM(B65:B66)</f>
        <v>1275730</v>
      </c>
      <c r="C67" s="7">
        <f t="shared" ref="C67:U67" si="109">+SUM(C65:C66)</f>
        <v>6248553</v>
      </c>
      <c r="D67" s="7">
        <f t="shared" si="109"/>
        <v>11707354</v>
      </c>
      <c r="E67" s="7">
        <f t="shared" si="109"/>
        <v>12143616</v>
      </c>
      <c r="F67" s="7">
        <f t="shared" si="109"/>
        <v>5510812</v>
      </c>
      <c r="G67" s="7">
        <f t="shared" si="109"/>
        <v>389786</v>
      </c>
      <c r="H67" s="7">
        <f t="shared" si="109"/>
        <v>1015461</v>
      </c>
      <c r="I67" s="7">
        <f t="shared" si="109"/>
        <v>2940120</v>
      </c>
      <c r="J67" s="7">
        <f t="shared" si="109"/>
        <v>2936731</v>
      </c>
      <c r="K67" s="7">
        <f t="shared" si="109"/>
        <v>870413</v>
      </c>
      <c r="L67" s="7">
        <f t="shared" si="109"/>
        <v>-1545467</v>
      </c>
      <c r="M67" s="7">
        <f t="shared" si="109"/>
        <v>-1448928</v>
      </c>
      <c r="N67" s="7">
        <f t="shared" si="109"/>
        <v>-1030297</v>
      </c>
      <c r="O67" s="7">
        <f t="shared" si="109"/>
        <v>655311</v>
      </c>
      <c r="P67" s="7">
        <f t="shared" si="109"/>
        <v>2147629</v>
      </c>
      <c r="Q67" s="7">
        <f t="shared" si="109"/>
        <v>2936913</v>
      </c>
      <c r="R67" s="7">
        <f t="shared" si="109"/>
        <v>4085087</v>
      </c>
      <c r="S67" s="7">
        <f t="shared" si="109"/>
        <v>833383</v>
      </c>
      <c r="T67" s="7">
        <f t="shared" si="109"/>
        <v>147410</v>
      </c>
      <c r="U67" s="7">
        <f t="shared" si="109"/>
        <v>785178</v>
      </c>
      <c r="V67" s="7">
        <f t="shared" ref="V67:Z67" si="110">+SUM(V65:V66)</f>
        <v>1160888</v>
      </c>
      <c r="W67" s="7">
        <f t="shared" si="110"/>
        <v>2965847</v>
      </c>
      <c r="X67" s="7">
        <f t="shared" si="110"/>
        <v>2988634</v>
      </c>
      <c r="Y67" s="7">
        <f t="shared" si="110"/>
        <v>-660422</v>
      </c>
      <c r="Z67" s="7">
        <f t="shared" si="110"/>
        <v>449707</v>
      </c>
      <c r="AA67" s="7">
        <f t="shared" ref="AA67:AB67" si="111">+SUM(AA65:AA66)</f>
        <v>16066</v>
      </c>
      <c r="AB67" s="7">
        <f t="shared" si="111"/>
        <v>-2849411</v>
      </c>
      <c r="AC67" s="7">
        <f t="shared" ref="AC67:AD67" si="112">+SUM(AC65:AC66)</f>
        <v>-3069655</v>
      </c>
      <c r="AD67" s="7">
        <f t="shared" si="112"/>
        <v>-8219659</v>
      </c>
      <c r="AE67" s="7">
        <f t="shared" ref="AE67:AF67" si="113">+SUM(AE65:AE66)</f>
        <v>-173937</v>
      </c>
      <c r="AF67" s="7">
        <f t="shared" si="113"/>
        <v>-6882782</v>
      </c>
      <c r="AG67" s="7">
        <f t="shared" ref="AG67:AH67" si="114">+SUM(AG65:AG66)</f>
        <v>-7213966</v>
      </c>
      <c r="AH67" s="7">
        <f t="shared" si="114"/>
        <v>-7568377</v>
      </c>
      <c r="AI67" s="7">
        <f t="shared" ref="AI67" si="115">+SUM(AI65:AI66)</f>
        <v>-270244</v>
      </c>
    </row>
    <row r="68" spans="1:35" x14ac:dyDescent="0.3">
      <c r="A68" s="1" t="s">
        <v>151</v>
      </c>
      <c r="B68" s="3">
        <v>0</v>
      </c>
      <c r="C68" s="3">
        <v>0</v>
      </c>
      <c r="D68" s="3">
        <v>0</v>
      </c>
      <c r="E68" s="3">
        <v>0</v>
      </c>
      <c r="F68" s="3">
        <v>0</v>
      </c>
      <c r="G68" s="3">
        <v>0</v>
      </c>
      <c r="H68" s="3">
        <v>0</v>
      </c>
      <c r="I68" s="3">
        <v>0</v>
      </c>
      <c r="J68" s="3">
        <v>0</v>
      </c>
      <c r="K68" s="3">
        <v>0</v>
      </c>
      <c r="L68" s="3">
        <v>0</v>
      </c>
      <c r="M68" s="3">
        <v>0</v>
      </c>
      <c r="N68" s="3">
        <v>0</v>
      </c>
      <c r="O68" s="3">
        <v>0</v>
      </c>
      <c r="P68" s="3">
        <v>0</v>
      </c>
      <c r="Q68" s="3">
        <v>0</v>
      </c>
      <c r="R68" s="3">
        <v>0</v>
      </c>
      <c r="S68" s="3">
        <v>0</v>
      </c>
      <c r="T68" s="3">
        <v>0</v>
      </c>
      <c r="U68" s="3">
        <v>0</v>
      </c>
      <c r="V68" s="3">
        <v>0</v>
      </c>
      <c r="W68" s="3">
        <v>0</v>
      </c>
      <c r="X68" s="3">
        <v>0</v>
      </c>
      <c r="Y68" s="3">
        <v>0</v>
      </c>
      <c r="Z68" s="3">
        <v>0</v>
      </c>
      <c r="AA68" s="3">
        <v>0</v>
      </c>
      <c r="AB68" s="3">
        <v>0</v>
      </c>
      <c r="AC68" s="3">
        <v>0</v>
      </c>
      <c r="AD68" s="3">
        <v>0</v>
      </c>
      <c r="AE68" s="3">
        <v>0</v>
      </c>
      <c r="AF68" s="3">
        <v>0</v>
      </c>
      <c r="AG68" s="3">
        <v>0</v>
      </c>
      <c r="AH68" s="3">
        <v>0</v>
      </c>
      <c r="AI68" s="3">
        <v>0</v>
      </c>
    </row>
    <row r="69" spans="1:35" s="6" customFormat="1" x14ac:dyDescent="0.3">
      <c r="A69" s="6" t="s">
        <v>152</v>
      </c>
      <c r="B69" s="7">
        <f>+SUM(B67:B68)</f>
        <v>1275730</v>
      </c>
      <c r="C69" s="7">
        <f t="shared" ref="C69:U69" si="116">+SUM(C67:C68)</f>
        <v>6248553</v>
      </c>
      <c r="D69" s="7">
        <f t="shared" si="116"/>
        <v>11707354</v>
      </c>
      <c r="E69" s="7">
        <f t="shared" si="116"/>
        <v>12143616</v>
      </c>
      <c r="F69" s="7">
        <f t="shared" si="116"/>
        <v>5510812</v>
      </c>
      <c r="G69" s="7">
        <f t="shared" si="116"/>
        <v>389786</v>
      </c>
      <c r="H69" s="7">
        <f t="shared" si="116"/>
        <v>1015461</v>
      </c>
      <c r="I69" s="7">
        <f t="shared" si="116"/>
        <v>2940120</v>
      </c>
      <c r="J69" s="7">
        <f>+SUM(J67:J68)</f>
        <v>2936731</v>
      </c>
      <c r="K69" s="7">
        <f t="shared" ref="K69:M69" si="117">+SUM(K67:K68)</f>
        <v>870413</v>
      </c>
      <c r="L69" s="7">
        <f t="shared" si="117"/>
        <v>-1545467</v>
      </c>
      <c r="M69" s="7">
        <f t="shared" si="117"/>
        <v>-1448928</v>
      </c>
      <c r="N69" s="7">
        <f t="shared" si="116"/>
        <v>-1030297</v>
      </c>
      <c r="O69" s="7">
        <f t="shared" si="116"/>
        <v>655311</v>
      </c>
      <c r="P69" s="7">
        <f t="shared" si="116"/>
        <v>2147629</v>
      </c>
      <c r="Q69" s="7">
        <f t="shared" si="116"/>
        <v>2936913</v>
      </c>
      <c r="R69" s="7">
        <f t="shared" si="116"/>
        <v>4085087</v>
      </c>
      <c r="S69" s="7">
        <f t="shared" si="116"/>
        <v>833383</v>
      </c>
      <c r="T69" s="7">
        <f t="shared" si="116"/>
        <v>147410</v>
      </c>
      <c r="U69" s="7">
        <f t="shared" si="116"/>
        <v>785178</v>
      </c>
      <c r="V69" s="7">
        <f t="shared" ref="V69:Z69" si="118">+SUM(V67:V68)</f>
        <v>1160888</v>
      </c>
      <c r="W69" s="7">
        <f t="shared" si="118"/>
        <v>2965847</v>
      </c>
      <c r="X69" s="7">
        <f t="shared" si="118"/>
        <v>2988634</v>
      </c>
      <c r="Y69" s="7">
        <f t="shared" si="118"/>
        <v>-660422</v>
      </c>
      <c r="Z69" s="7">
        <f t="shared" si="118"/>
        <v>449707</v>
      </c>
      <c r="AA69" s="7">
        <f t="shared" ref="AA69:AB69" si="119">+SUM(AA67:AA68)</f>
        <v>16066</v>
      </c>
      <c r="AB69" s="7">
        <f t="shared" si="119"/>
        <v>-2849411</v>
      </c>
      <c r="AC69" s="7">
        <f t="shared" ref="AC69:AD69" si="120">+SUM(AC67:AC68)</f>
        <v>-3069655</v>
      </c>
      <c r="AD69" s="7">
        <f t="shared" si="120"/>
        <v>-8219659</v>
      </c>
      <c r="AE69" s="7">
        <f t="shared" ref="AE69:AF69" si="121">+SUM(AE67:AE68)</f>
        <v>-173937</v>
      </c>
      <c r="AF69" s="7">
        <f t="shared" si="121"/>
        <v>-6882782</v>
      </c>
      <c r="AG69" s="7">
        <f t="shared" ref="AG69:AH69" si="122">+SUM(AG67:AG68)</f>
        <v>-7213966</v>
      </c>
      <c r="AH69" s="7">
        <f t="shared" si="122"/>
        <v>-7568377</v>
      </c>
      <c r="AI69" s="7">
        <f t="shared" ref="AI69" si="123">+SUM(AI67:AI68)</f>
        <v>-270244</v>
      </c>
    </row>
    <row r="72" spans="1:35" x14ac:dyDescent="0.3">
      <c r="A72" s="6" t="s">
        <v>79</v>
      </c>
      <c r="B72" s="3"/>
      <c r="C72" s="3"/>
      <c r="D72" s="3"/>
      <c r="E72" s="3"/>
      <c r="F72" s="3"/>
      <c r="G72" s="3"/>
      <c r="H72" s="3"/>
      <c r="I72" s="3"/>
      <c r="J72" s="3"/>
      <c r="K72" s="3"/>
      <c r="L72" s="3"/>
      <c r="M72" s="3"/>
      <c r="N72" s="3"/>
      <c r="O72" s="3"/>
      <c r="P72" s="3"/>
      <c r="Q72" s="3"/>
      <c r="R72" s="3"/>
      <c r="S72" s="3"/>
      <c r="T72" s="3"/>
      <c r="U72" s="3"/>
      <c r="V72" s="3"/>
    </row>
    <row r="73" spans="1:35" x14ac:dyDescent="0.3">
      <c r="A73" s="1" t="s">
        <v>80</v>
      </c>
      <c r="B73" s="3">
        <v>0</v>
      </c>
      <c r="C73" s="3">
        <v>0</v>
      </c>
      <c r="D73" s="3">
        <v>1574947</v>
      </c>
      <c r="E73" s="3">
        <v>1929255</v>
      </c>
      <c r="F73" s="3">
        <v>1534139</v>
      </c>
      <c r="G73" s="3">
        <v>258266.375</v>
      </c>
      <c r="H73" s="3">
        <v>518668.848</v>
      </c>
      <c r="I73" s="3">
        <v>781246</v>
      </c>
      <c r="J73" s="3">
        <v>1045970</v>
      </c>
      <c r="K73" s="3">
        <f>264435</f>
        <v>264435</v>
      </c>
      <c r="L73" s="3">
        <v>530969</v>
      </c>
      <c r="M73" s="3">
        <v>797567</v>
      </c>
      <c r="N73" s="3">
        <v>1067223</v>
      </c>
      <c r="O73" s="3">
        <v>226886</v>
      </c>
      <c r="P73" s="3">
        <v>536560</v>
      </c>
      <c r="Q73" s="3">
        <v>808754</v>
      </c>
      <c r="R73" s="3">
        <v>1088418</v>
      </c>
      <c r="S73" s="3">
        <v>297516</v>
      </c>
      <c r="T73" s="3">
        <v>605522</v>
      </c>
      <c r="U73" s="3">
        <v>924576</v>
      </c>
      <c r="V73" s="3">
        <v>1252859</v>
      </c>
      <c r="W73" s="3">
        <v>338109</v>
      </c>
      <c r="X73" s="3">
        <v>657638</v>
      </c>
      <c r="Y73" s="3">
        <v>986658</v>
      </c>
      <c r="Z73" s="3">
        <v>1321142</v>
      </c>
      <c r="AA73" s="3">
        <v>319528</v>
      </c>
      <c r="AB73" s="3">
        <f>647173</f>
        <v>647173</v>
      </c>
      <c r="AC73" s="3">
        <v>980661</v>
      </c>
      <c r="AD73" s="3">
        <v>1324499</v>
      </c>
      <c r="AE73" s="3">
        <v>351959</v>
      </c>
      <c r="AF73" s="3">
        <v>708782</v>
      </c>
      <c r="AG73" s="3">
        <v>1067187</v>
      </c>
      <c r="AH73" s="3">
        <v>1428556</v>
      </c>
      <c r="AI73" s="3">
        <v>353101</v>
      </c>
    </row>
    <row r="74" spans="1:35" x14ac:dyDescent="0.3">
      <c r="A74" s="1" t="s">
        <v>81</v>
      </c>
      <c r="B74" s="3">
        <v>0</v>
      </c>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c r="AI74" s="3">
        <v>0</v>
      </c>
    </row>
    <row r="75" spans="1:35" x14ac:dyDescent="0.3">
      <c r="A75" s="1" t="s">
        <v>82</v>
      </c>
      <c r="B75" s="3">
        <v>0</v>
      </c>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c r="AI75" s="3">
        <v>0</v>
      </c>
    </row>
    <row r="76" spans="1:35" x14ac:dyDescent="0.3">
      <c r="A76" s="1" t="s">
        <v>83</v>
      </c>
      <c r="B76" s="3">
        <v>0</v>
      </c>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row>
    <row r="77" spans="1:35" x14ac:dyDescent="0.3">
      <c r="A77" s="1" t="s">
        <v>84</v>
      </c>
      <c r="B77" s="3">
        <v>0</v>
      </c>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row>
    <row r="78" spans="1:35" x14ac:dyDescent="0.3">
      <c r="A78" s="1" t="s">
        <v>85</v>
      </c>
      <c r="B78" s="3">
        <v>0</v>
      </c>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row>
    <row r="79" spans="1:35" x14ac:dyDescent="0.3">
      <c r="A79" s="1" t="s">
        <v>86</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c r="AI79" s="3">
        <v>0</v>
      </c>
    </row>
    <row r="80" spans="1:35" x14ac:dyDescent="0.3">
      <c r="A80" s="1" t="s">
        <v>87</v>
      </c>
      <c r="B80" s="3">
        <v>0</v>
      </c>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c r="AI80" s="3">
        <v>0</v>
      </c>
    </row>
    <row r="81" spans="1:35" x14ac:dyDescent="0.3">
      <c r="A81" s="1" t="s">
        <v>88</v>
      </c>
      <c r="B81" s="3">
        <v>0</v>
      </c>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f>225</f>
        <v>225</v>
      </c>
      <c r="AC81" s="3">
        <v>0</v>
      </c>
      <c r="AD81" s="3">
        <v>0</v>
      </c>
      <c r="AE81" s="3">
        <v>0</v>
      </c>
      <c r="AF81" s="3">
        <v>0</v>
      </c>
      <c r="AG81" s="3">
        <v>0</v>
      </c>
      <c r="AH81" s="3">
        <v>0</v>
      </c>
      <c r="AI81" s="3">
        <v>0</v>
      </c>
    </row>
    <row r="82" spans="1:35" x14ac:dyDescent="0.3">
      <c r="A82" s="1" t="s">
        <v>89</v>
      </c>
      <c r="B82" s="3">
        <v>0</v>
      </c>
      <c r="C82" s="3">
        <v>0</v>
      </c>
      <c r="D82" s="3">
        <v>0</v>
      </c>
      <c r="E82" s="3">
        <v>0</v>
      </c>
      <c r="F82" s="3">
        <v>0</v>
      </c>
      <c r="G82" s="3">
        <v>0</v>
      </c>
      <c r="H82" s="3">
        <v>0</v>
      </c>
      <c r="I82" s="3">
        <v>0</v>
      </c>
      <c r="J82" s="3">
        <v>0</v>
      </c>
      <c r="K82" s="3">
        <v>0</v>
      </c>
      <c r="L82" s="3">
        <v>0</v>
      </c>
      <c r="M82" s="3">
        <v>0</v>
      </c>
      <c r="N82" s="3">
        <v>0</v>
      </c>
      <c r="O82" s="3">
        <v>0</v>
      </c>
      <c r="P82" s="3">
        <v>0</v>
      </c>
      <c r="Q82" s="3">
        <v>0</v>
      </c>
      <c r="R82" s="3">
        <v>0</v>
      </c>
      <c r="S82" s="3">
        <v>0</v>
      </c>
      <c r="T82" s="3">
        <v>0</v>
      </c>
      <c r="U82" s="3">
        <v>0</v>
      </c>
      <c r="V82" s="3">
        <v>0</v>
      </c>
      <c r="W82" s="3">
        <v>0</v>
      </c>
      <c r="X82" s="3">
        <v>0</v>
      </c>
      <c r="Y82" s="3">
        <v>0</v>
      </c>
      <c r="Z82" s="3">
        <v>0</v>
      </c>
      <c r="AA82" s="3">
        <v>0</v>
      </c>
      <c r="AB82" s="3">
        <v>0</v>
      </c>
      <c r="AC82" s="3">
        <v>0</v>
      </c>
      <c r="AD82" s="3">
        <v>0</v>
      </c>
      <c r="AE82" s="3">
        <v>0</v>
      </c>
      <c r="AF82" s="3">
        <v>0</v>
      </c>
      <c r="AG82" s="3">
        <v>0</v>
      </c>
      <c r="AH82" s="3">
        <v>0</v>
      </c>
      <c r="AI82" s="3">
        <v>0</v>
      </c>
    </row>
    <row r="83" spans="1:35" x14ac:dyDescent="0.3">
      <c r="A83" s="1" t="s">
        <v>153</v>
      </c>
      <c r="B83" s="3">
        <v>46115</v>
      </c>
      <c r="C83" s="3">
        <v>77639</v>
      </c>
      <c r="D83" s="3">
        <v>169681</v>
      </c>
      <c r="E83" s="3">
        <v>167670</v>
      </c>
      <c r="F83" s="3">
        <v>136537</v>
      </c>
      <c r="G83" s="3">
        <v>57765</v>
      </c>
      <c r="H83" s="3">
        <f>1275236-1203817</f>
        <v>71419</v>
      </c>
      <c r="I83" s="3">
        <f>62058+86557</f>
        <v>148615</v>
      </c>
      <c r="J83" s="3">
        <v>72006</v>
      </c>
      <c r="K83" s="3">
        <f>30936</f>
        <v>30936</v>
      </c>
      <c r="L83" s="3">
        <v>44971</v>
      </c>
      <c r="M83" s="3">
        <v>64005</v>
      </c>
      <c r="N83" s="3">
        <v>72396</v>
      </c>
      <c r="O83" s="3">
        <v>16696</v>
      </c>
      <c r="P83" s="3">
        <v>40997</v>
      </c>
      <c r="Q83" s="3">
        <v>64131</v>
      </c>
      <c r="R83" s="3">
        <v>82292</v>
      </c>
      <c r="S83" s="3">
        <v>15925</v>
      </c>
      <c r="T83" s="3">
        <v>33965</v>
      </c>
      <c r="U83" s="3">
        <v>61535</v>
      </c>
      <c r="V83" s="3">
        <f>86502</f>
        <v>86502</v>
      </c>
      <c r="W83" s="3">
        <v>16317</v>
      </c>
      <c r="X83" s="3">
        <v>37944</v>
      </c>
      <c r="Y83" s="3">
        <v>57980</v>
      </c>
      <c r="Z83" s="3">
        <f>142469</f>
        <v>142469</v>
      </c>
      <c r="AA83" s="3">
        <v>24374</v>
      </c>
      <c r="AB83" s="3">
        <f>34318+17765+4042+5809</f>
        <v>61934</v>
      </c>
      <c r="AC83" s="3">
        <v>109218</v>
      </c>
      <c r="AD83" s="3">
        <v>482141</v>
      </c>
      <c r="AE83" s="3">
        <f>571+25+10116+9232+1845+1128+451</f>
        <v>23368</v>
      </c>
      <c r="AF83" s="3">
        <v>53979</v>
      </c>
      <c r="AG83" s="3">
        <v>72664</v>
      </c>
      <c r="AH83" s="3">
        <f>115535</f>
        <v>115535</v>
      </c>
      <c r="AI83" s="3">
        <v>19891</v>
      </c>
    </row>
    <row r="84" spans="1:35" x14ac:dyDescent="0.3">
      <c r="A84" s="1" t="s">
        <v>90</v>
      </c>
      <c r="B84" s="3">
        <f>132167+16485+31879+50394</f>
        <v>230925</v>
      </c>
      <c r="C84" s="3">
        <f>110724+130+39902+106402</f>
        <v>257158</v>
      </c>
      <c r="D84" s="3">
        <f>50394+414556+10762+24756+80730</f>
        <v>581198</v>
      </c>
      <c r="E84" s="3">
        <f>50394+409818+13540+413+56787+80565</f>
        <v>611517</v>
      </c>
      <c r="F84" s="3">
        <f>479301+26530</f>
        <v>505831</v>
      </c>
      <c r="G84" s="3">
        <f>28656-165-12534+16967</f>
        <v>32924</v>
      </c>
      <c r="H84" s="3">
        <v>84133.172999999981</v>
      </c>
      <c r="I84" s="3">
        <f>1992450-1813700</f>
        <v>178750</v>
      </c>
      <c r="J84" s="3">
        <f>327188+79206</f>
        <v>406394</v>
      </c>
      <c r="K84" s="3">
        <v>66708</v>
      </c>
      <c r="L84" s="3">
        <v>105244</v>
      </c>
      <c r="M84" s="3">
        <v>388472</v>
      </c>
      <c r="N84" s="3">
        <f>70107+348651+105096</f>
        <v>523854</v>
      </c>
      <c r="O84" s="3">
        <v>104169</v>
      </c>
      <c r="P84" s="3">
        <v>-139144</v>
      </c>
      <c r="Q84" s="3">
        <v>-170341</v>
      </c>
      <c r="R84" s="3">
        <f>58328-282547+84395</f>
        <v>-139824</v>
      </c>
      <c r="S84" s="3">
        <v>50260</v>
      </c>
      <c r="T84" s="3">
        <v>115541</v>
      </c>
      <c r="U84" s="3">
        <v>158905.1129999999</v>
      </c>
      <c r="V84" s="3">
        <f>159694-8969+82861</f>
        <v>233586</v>
      </c>
      <c r="W84" s="3">
        <v>94223</v>
      </c>
      <c r="X84" s="3">
        <v>152037</v>
      </c>
      <c r="Y84" s="3">
        <v>0</v>
      </c>
      <c r="Z84" s="3">
        <f>283278+84183+52574</f>
        <v>420035</v>
      </c>
      <c r="AA84" s="3">
        <v>1717</v>
      </c>
      <c r="AB84" s="3">
        <f>3842+812+20+32+1190+920+158667</f>
        <v>165483</v>
      </c>
      <c r="AC84" s="3">
        <v>193816</v>
      </c>
      <c r="AD84" s="3">
        <v>231582</v>
      </c>
      <c r="AE84" s="3">
        <f>8578+1350+6637+33+115+25895</f>
        <v>42608</v>
      </c>
      <c r="AF84" s="3">
        <v>43579</v>
      </c>
      <c r="AG84" s="3">
        <f>49437-37545</f>
        <v>11892</v>
      </c>
      <c r="AH84" s="3">
        <f>208190+20650+187154</f>
        <v>415994</v>
      </c>
      <c r="AI84" s="3">
        <v>107659</v>
      </c>
    </row>
    <row r="85" spans="1:35" x14ac:dyDescent="0.3">
      <c r="A85" s="1" t="s">
        <v>154</v>
      </c>
      <c r="B85" s="3">
        <v>832924</v>
      </c>
      <c r="C85" s="3">
        <v>1068663</v>
      </c>
      <c r="D85" s="3">
        <v>1298872</v>
      </c>
      <c r="E85" s="3">
        <v>1366761</v>
      </c>
      <c r="F85" s="3">
        <v>991073</v>
      </c>
      <c r="G85" s="3">
        <v>252252</v>
      </c>
      <c r="H85" s="3">
        <v>519230</v>
      </c>
      <c r="I85" s="3">
        <v>784895</v>
      </c>
      <c r="J85" s="3">
        <v>1050559</v>
      </c>
      <c r="K85" s="3">
        <v>262639.80200000003</v>
      </c>
      <c r="L85" s="3">
        <v>655417</v>
      </c>
      <c r="M85" s="3">
        <v>998372</v>
      </c>
      <c r="N85" s="3">
        <v>1323739</v>
      </c>
      <c r="O85" s="3">
        <v>330935</v>
      </c>
      <c r="P85" s="3">
        <v>684473</v>
      </c>
      <c r="Q85" s="3">
        <v>1027752</v>
      </c>
      <c r="R85" s="3">
        <v>1379947</v>
      </c>
      <c r="S85" s="3">
        <v>347762</v>
      </c>
      <c r="T85" s="3">
        <v>752670</v>
      </c>
      <c r="U85" s="3">
        <v>1156767</v>
      </c>
      <c r="V85" s="3">
        <v>1555609</v>
      </c>
      <c r="W85" s="3">
        <v>477582</v>
      </c>
      <c r="X85" s="3">
        <v>784666</v>
      </c>
      <c r="Y85" s="3">
        <v>1184216</v>
      </c>
      <c r="Z85" s="3">
        <v>1645930</v>
      </c>
      <c r="AA85" s="3">
        <v>398716</v>
      </c>
      <c r="AB85" s="3">
        <f>673640</f>
        <v>673640</v>
      </c>
      <c r="AC85" s="3">
        <v>1026045</v>
      </c>
      <c r="AD85" s="3">
        <v>1658136</v>
      </c>
      <c r="AE85" s="3">
        <v>341815</v>
      </c>
      <c r="AF85" s="3">
        <v>697786</v>
      </c>
      <c r="AG85" s="3">
        <v>1022297</v>
      </c>
      <c r="AH85" s="3">
        <v>1701952</v>
      </c>
      <c r="AI85" s="3">
        <v>324511</v>
      </c>
    </row>
    <row r="86" spans="1:35" x14ac:dyDescent="0.3">
      <c r="A86" s="1" t="s">
        <v>155</v>
      </c>
      <c r="B86" s="3">
        <v>137259</v>
      </c>
      <c r="C86" s="3">
        <v>115689</v>
      </c>
      <c r="D86" s="3">
        <v>95226</v>
      </c>
      <c r="E86" s="3">
        <v>91204</v>
      </c>
      <c r="F86" s="3">
        <v>0</v>
      </c>
      <c r="G86" s="3">
        <v>12534</v>
      </c>
      <c r="H86" s="3">
        <v>38281.017</v>
      </c>
      <c r="I86" s="3">
        <v>62564</v>
      </c>
      <c r="J86" s="3">
        <v>0</v>
      </c>
      <c r="K86" s="3">
        <v>52205.37</v>
      </c>
      <c r="L86" s="3">
        <v>100641</v>
      </c>
      <c r="M86" s="3">
        <v>141841</v>
      </c>
      <c r="N86" s="3">
        <v>0</v>
      </c>
      <c r="O86" s="3">
        <v>55240</v>
      </c>
      <c r="P86" s="3">
        <v>127385</v>
      </c>
      <c r="Q86" s="3">
        <v>186958</v>
      </c>
      <c r="R86" s="3">
        <v>0</v>
      </c>
      <c r="S86" s="3">
        <v>68552</v>
      </c>
      <c r="T86" s="3">
        <v>136382</v>
      </c>
      <c r="U86" s="3">
        <v>204789</v>
      </c>
      <c r="V86" s="3">
        <v>0</v>
      </c>
      <c r="W86" s="3">
        <v>75565</v>
      </c>
      <c r="X86" s="3">
        <v>171355</v>
      </c>
      <c r="Y86" s="3">
        <v>197244</v>
      </c>
      <c r="Z86" s="3">
        <v>0</v>
      </c>
      <c r="AA86" s="3">
        <v>51876</v>
      </c>
      <c r="AB86" s="3">
        <f>105090</f>
        <v>105090</v>
      </c>
      <c r="AC86" s="3">
        <v>150794</v>
      </c>
      <c r="AD86" s="3">
        <v>0</v>
      </c>
      <c r="AE86" s="3">
        <f>42038</f>
        <v>42038</v>
      </c>
      <c r="AF86" s="3">
        <v>95186</v>
      </c>
      <c r="AG86" s="3">
        <v>131414</v>
      </c>
      <c r="AH86" s="3">
        <v>0</v>
      </c>
      <c r="AI86" s="3">
        <v>0</v>
      </c>
    </row>
    <row r="87" spans="1:35" x14ac:dyDescent="0.3">
      <c r="A87" s="1" t="s">
        <v>91</v>
      </c>
      <c r="B87" s="3">
        <v>0</v>
      </c>
      <c r="C87" s="3">
        <v>0</v>
      </c>
      <c r="D87" s="3">
        <v>0</v>
      </c>
      <c r="E87" s="3">
        <v>0</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0</v>
      </c>
      <c r="AB87" s="3">
        <v>0</v>
      </c>
      <c r="AC87" s="3">
        <v>0</v>
      </c>
      <c r="AD87" s="3">
        <v>0</v>
      </c>
      <c r="AE87" s="3">
        <v>0</v>
      </c>
      <c r="AF87" s="3">
        <v>0</v>
      </c>
      <c r="AG87" s="3">
        <v>0</v>
      </c>
      <c r="AH87" s="3">
        <v>0</v>
      </c>
      <c r="AI87" s="3">
        <v>0</v>
      </c>
    </row>
    <row r="88" spans="1:35" x14ac:dyDescent="0.3">
      <c r="A88" s="1" t="s">
        <v>156</v>
      </c>
      <c r="B88" s="3">
        <v>0</v>
      </c>
      <c r="C88" s="3">
        <v>0</v>
      </c>
      <c r="D88" s="3">
        <v>0</v>
      </c>
      <c r="E88" s="3">
        <v>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56927</v>
      </c>
      <c r="AB88" s="3">
        <f>108632+5852</f>
        <v>114484</v>
      </c>
      <c r="AC88" s="3">
        <v>177782</v>
      </c>
      <c r="AD88" s="3">
        <v>218378</v>
      </c>
      <c r="AE88" s="3">
        <f>45288</f>
        <v>45288</v>
      </c>
      <c r="AF88" s="3">
        <v>54140</v>
      </c>
      <c r="AG88" s="3">
        <v>96926</v>
      </c>
      <c r="AH88" s="3">
        <v>0</v>
      </c>
      <c r="AI88" s="3">
        <v>0</v>
      </c>
    </row>
    <row r="89" spans="1:35" x14ac:dyDescent="0.3">
      <c r="A89" s="1" t="s">
        <v>157</v>
      </c>
      <c r="B89" s="3">
        <v>265018</v>
      </c>
      <c r="C89" s="3">
        <f>241393</f>
        <v>241393</v>
      </c>
      <c r="D89" s="3">
        <v>0</v>
      </c>
      <c r="E89" s="3">
        <v>0</v>
      </c>
      <c r="F89" s="3">
        <v>0</v>
      </c>
      <c r="G89" s="3">
        <v>0</v>
      </c>
      <c r="H89" s="3">
        <v>0</v>
      </c>
      <c r="I89" s="3">
        <v>0</v>
      </c>
      <c r="J89" s="3">
        <v>0</v>
      </c>
      <c r="K89" s="3">
        <v>0</v>
      </c>
      <c r="L89" s="3">
        <v>0</v>
      </c>
      <c r="M89" s="3">
        <v>0</v>
      </c>
      <c r="N89" s="3">
        <v>0</v>
      </c>
      <c r="O89" s="3">
        <v>0</v>
      </c>
      <c r="P89" s="3">
        <v>0</v>
      </c>
      <c r="Q89" s="3">
        <v>0</v>
      </c>
      <c r="R89" s="3">
        <v>0</v>
      </c>
      <c r="S89" s="3">
        <v>0</v>
      </c>
      <c r="T89" s="3">
        <v>0</v>
      </c>
      <c r="U89" s="3">
        <v>0</v>
      </c>
      <c r="V89" s="3">
        <v>0</v>
      </c>
      <c r="W89" s="3">
        <v>0</v>
      </c>
      <c r="X89" s="3">
        <v>0</v>
      </c>
      <c r="Y89" s="3">
        <v>0</v>
      </c>
      <c r="Z89" s="3">
        <v>0</v>
      </c>
      <c r="AA89" s="3">
        <v>0</v>
      </c>
      <c r="AB89" s="3">
        <v>0</v>
      </c>
      <c r="AC89" s="3">
        <v>0</v>
      </c>
      <c r="AD89" s="3">
        <v>0</v>
      </c>
      <c r="AE89" s="3">
        <v>0</v>
      </c>
      <c r="AF89" s="3">
        <v>0</v>
      </c>
      <c r="AG89" s="3">
        <v>0</v>
      </c>
      <c r="AH89" s="3">
        <v>0</v>
      </c>
      <c r="AI89" s="3">
        <v>0</v>
      </c>
    </row>
    <row r="90" spans="1:35" x14ac:dyDescent="0.3">
      <c r="A90" s="1" t="s">
        <v>158</v>
      </c>
      <c r="B90" s="3">
        <v>325929</v>
      </c>
      <c r="C90" s="3">
        <f>1618916</f>
        <v>1618916</v>
      </c>
      <c r="D90" s="3">
        <v>281463</v>
      </c>
      <c r="E90" s="3">
        <v>193621</v>
      </c>
      <c r="F90" s="3">
        <v>135231</v>
      </c>
      <c r="G90" s="3">
        <v>165</v>
      </c>
      <c r="H90" s="3">
        <v>5223.3130000000001</v>
      </c>
      <c r="I90" s="3">
        <v>36380</v>
      </c>
      <c r="J90" s="3">
        <v>105214</v>
      </c>
      <c r="K90" s="3">
        <v>37766.072</v>
      </c>
      <c r="L90" s="3">
        <v>107610</v>
      </c>
      <c r="M90" s="3">
        <v>147116</v>
      </c>
      <c r="N90" s="3">
        <v>403194</v>
      </c>
      <c r="O90" s="3">
        <v>14001</v>
      </c>
      <c r="P90" s="3">
        <v>34816</v>
      </c>
      <c r="Q90" s="3">
        <v>46537</v>
      </c>
      <c r="R90" s="3">
        <v>358934</v>
      </c>
      <c r="S90" s="3">
        <v>36105</v>
      </c>
      <c r="T90" s="3">
        <v>15038</v>
      </c>
      <c r="U90" s="3">
        <v>29032</v>
      </c>
      <c r="V90" s="3">
        <v>384397</v>
      </c>
      <c r="W90" s="3">
        <v>11240</v>
      </c>
      <c r="X90" s="3">
        <v>23158</v>
      </c>
      <c r="Y90" s="3">
        <v>21618</v>
      </c>
      <c r="Z90" s="3">
        <v>220750</v>
      </c>
      <c r="AA90" s="3">
        <v>-4363</v>
      </c>
      <c r="AB90" s="3">
        <f>17123</f>
        <v>17123</v>
      </c>
      <c r="AC90" s="3">
        <v>29741</v>
      </c>
      <c r="AD90" s="3">
        <v>0</v>
      </c>
      <c r="AE90" s="3">
        <v>0</v>
      </c>
      <c r="AF90" s="3">
        <v>20052</v>
      </c>
      <c r="AG90" s="3">
        <v>18924</v>
      </c>
      <c r="AH90" s="3">
        <v>124313</v>
      </c>
      <c r="AI90" s="3">
        <v>6982</v>
      </c>
    </row>
    <row r="91" spans="1:35" x14ac:dyDescent="0.3">
      <c r="A91" s="1" t="s">
        <v>159</v>
      </c>
      <c r="B91" s="3">
        <v>55805</v>
      </c>
      <c r="C91" s="3">
        <v>55805</v>
      </c>
      <c r="D91" s="3">
        <v>0</v>
      </c>
      <c r="E91" s="3">
        <v>0</v>
      </c>
      <c r="F91" s="3">
        <v>0</v>
      </c>
      <c r="G91" s="3">
        <v>0</v>
      </c>
      <c r="H91" s="3">
        <v>0</v>
      </c>
      <c r="I91" s="3">
        <v>0</v>
      </c>
      <c r="J91" s="3">
        <v>0</v>
      </c>
      <c r="K91" s="3">
        <v>0</v>
      </c>
      <c r="L91" s="3">
        <v>0</v>
      </c>
      <c r="M91" s="3">
        <v>0</v>
      </c>
      <c r="N91" s="3">
        <v>0</v>
      </c>
      <c r="O91" s="3">
        <v>0</v>
      </c>
      <c r="P91" s="3">
        <v>0</v>
      </c>
      <c r="Q91" s="3">
        <v>0</v>
      </c>
      <c r="R91" s="3">
        <v>0</v>
      </c>
      <c r="S91" s="3">
        <v>0</v>
      </c>
      <c r="T91" s="3">
        <v>0</v>
      </c>
      <c r="U91" s="3">
        <v>0</v>
      </c>
      <c r="V91" s="3">
        <v>0</v>
      </c>
      <c r="W91" s="3">
        <v>0</v>
      </c>
      <c r="X91" s="3">
        <v>0</v>
      </c>
      <c r="Y91" s="3">
        <v>0</v>
      </c>
      <c r="Z91" s="3">
        <v>0</v>
      </c>
      <c r="AA91" s="3">
        <v>0</v>
      </c>
      <c r="AB91" s="3">
        <v>18</v>
      </c>
      <c r="AC91" s="3">
        <v>46</v>
      </c>
      <c r="AD91" s="3">
        <v>0</v>
      </c>
      <c r="AE91" s="3">
        <v>1153</v>
      </c>
      <c r="AF91" s="3">
        <v>2305</v>
      </c>
      <c r="AG91" s="3">
        <v>3458</v>
      </c>
      <c r="AH91" s="3">
        <v>0</v>
      </c>
      <c r="AI91" s="3">
        <v>0</v>
      </c>
    </row>
    <row r="92" spans="1:35" x14ac:dyDescent="0.3">
      <c r="B92" s="3"/>
      <c r="C92" s="3"/>
      <c r="D92" s="3"/>
      <c r="E92" s="3"/>
      <c r="F92" s="3"/>
      <c r="G92" s="3"/>
      <c r="H92" s="3"/>
      <c r="I92" s="3"/>
      <c r="J92" s="3"/>
      <c r="K92" s="3"/>
      <c r="L92" s="3"/>
      <c r="M92" s="3"/>
      <c r="N92" s="3"/>
      <c r="O92" s="3"/>
      <c r="P92" s="3"/>
      <c r="Q92" s="3"/>
      <c r="R92" s="3"/>
      <c r="S92" s="3"/>
      <c r="T92" s="3"/>
      <c r="U92" s="3"/>
      <c r="V92" s="3"/>
    </row>
    <row r="93" spans="1:35" x14ac:dyDescent="0.3">
      <c r="A93" s="6" t="s">
        <v>92</v>
      </c>
      <c r="B93" s="7">
        <f>SUM(B73:B92)</f>
        <v>1893975</v>
      </c>
      <c r="C93" s="7">
        <f t="shared" ref="C93:U93" si="124">SUM(C73:C92)</f>
        <v>3435263</v>
      </c>
      <c r="D93" s="7">
        <f t="shared" si="124"/>
        <v>4001387</v>
      </c>
      <c r="E93" s="7">
        <f t="shared" si="124"/>
        <v>4360028</v>
      </c>
      <c r="F93" s="7">
        <f t="shared" si="124"/>
        <v>3302811</v>
      </c>
      <c r="G93" s="7">
        <f t="shared" si="124"/>
        <v>613906.375</v>
      </c>
      <c r="H93" s="7">
        <f t="shared" si="124"/>
        <v>1236955.351</v>
      </c>
      <c r="I93" s="7">
        <f t="shared" si="124"/>
        <v>1992450</v>
      </c>
      <c r="J93" s="7">
        <f t="shared" si="124"/>
        <v>2680143</v>
      </c>
      <c r="K93" s="7">
        <f t="shared" si="124"/>
        <v>714690.24400000006</v>
      </c>
      <c r="L93" s="7">
        <f t="shared" si="124"/>
        <v>1544852</v>
      </c>
      <c r="M93" s="7">
        <f t="shared" si="124"/>
        <v>2537373</v>
      </c>
      <c r="N93" s="7">
        <f t="shared" si="124"/>
        <v>3390406</v>
      </c>
      <c r="O93" s="7">
        <f t="shared" si="124"/>
        <v>747927</v>
      </c>
      <c r="P93" s="7">
        <f t="shared" si="124"/>
        <v>1285087</v>
      </c>
      <c r="Q93" s="7">
        <f t="shared" si="124"/>
        <v>1963791</v>
      </c>
      <c r="R93" s="7">
        <f t="shared" si="124"/>
        <v>2769767</v>
      </c>
      <c r="S93" s="7">
        <f t="shared" si="124"/>
        <v>816120</v>
      </c>
      <c r="T93" s="7">
        <f t="shared" si="124"/>
        <v>1659118</v>
      </c>
      <c r="U93" s="7">
        <f t="shared" si="124"/>
        <v>2535604.1129999999</v>
      </c>
      <c r="V93" s="7">
        <f t="shared" ref="V93:Z93" si="125">SUM(V73:V92)</f>
        <v>3512953</v>
      </c>
      <c r="W93" s="7">
        <f t="shared" si="125"/>
        <v>1013036</v>
      </c>
      <c r="X93" s="7">
        <f t="shared" si="125"/>
        <v>1826798</v>
      </c>
      <c r="Y93" s="7">
        <f t="shared" si="125"/>
        <v>2447716</v>
      </c>
      <c r="Z93" s="7">
        <f t="shared" si="125"/>
        <v>3750326</v>
      </c>
      <c r="AA93" s="7">
        <f t="shared" ref="AA93:AB93" si="126">SUM(AA73:AA92)</f>
        <v>848775</v>
      </c>
      <c r="AB93" s="7">
        <f t="shared" si="126"/>
        <v>1785170</v>
      </c>
      <c r="AC93" s="7">
        <f t="shared" ref="AC93:AD93" si="127">SUM(AC73:AC92)</f>
        <v>2668103</v>
      </c>
      <c r="AD93" s="7">
        <f t="shared" si="127"/>
        <v>3914736</v>
      </c>
      <c r="AE93" s="7">
        <f t="shared" ref="AE93:AF93" si="128">SUM(AE73:AE92)</f>
        <v>848229</v>
      </c>
      <c r="AF93" s="7">
        <f t="shared" si="128"/>
        <v>1675809</v>
      </c>
      <c r="AG93" s="7">
        <f t="shared" ref="AG93:AH93" si="129">SUM(AG73:AG92)</f>
        <v>2424762</v>
      </c>
      <c r="AH93" s="7">
        <f t="shared" si="129"/>
        <v>3786350</v>
      </c>
      <c r="AI93" s="7">
        <f t="shared" ref="AI93" si="130">SUM(AI73:AI92)</f>
        <v>812144</v>
      </c>
    </row>
    <row r="95" spans="1:35" x14ac:dyDescent="0.3">
      <c r="A95" s="6" t="s">
        <v>93</v>
      </c>
      <c r="B95" s="3"/>
      <c r="C95" s="3"/>
      <c r="D95" s="3"/>
      <c r="E95" s="3"/>
      <c r="F95" s="3"/>
      <c r="G95" s="3"/>
      <c r="H95" s="3"/>
      <c r="I95" s="3"/>
      <c r="J95" s="3"/>
      <c r="K95" s="3"/>
      <c r="L95" s="3"/>
      <c r="M95" s="3"/>
      <c r="N95" s="3"/>
      <c r="O95" s="3"/>
      <c r="P95" s="3"/>
      <c r="Q95" s="3"/>
      <c r="R95" s="3"/>
      <c r="S95" s="3"/>
      <c r="T95" s="3"/>
      <c r="U95" s="3"/>
      <c r="V95" s="3"/>
    </row>
    <row r="96" spans="1:35" x14ac:dyDescent="0.3">
      <c r="A96" s="1" t="s">
        <v>94</v>
      </c>
      <c r="B96" s="3">
        <v>8120273</v>
      </c>
      <c r="C96" s="3">
        <v>8313203</v>
      </c>
      <c r="D96" s="3">
        <v>9836984</v>
      </c>
      <c r="E96" s="3">
        <v>10256286</v>
      </c>
      <c r="F96" s="3">
        <v>6344769</v>
      </c>
      <c r="G96" s="3">
        <v>1272579</v>
      </c>
      <c r="H96" s="3">
        <f>2569550+36419-270</f>
        <v>2605699</v>
      </c>
      <c r="I96" s="3">
        <v>3891252</v>
      </c>
      <c r="J96" s="3">
        <v>5222449</v>
      </c>
      <c r="K96" s="3">
        <v>1082066</v>
      </c>
      <c r="L96" s="3">
        <v>2173060</v>
      </c>
      <c r="M96" s="3">
        <v>2774563</v>
      </c>
      <c r="N96" s="3">
        <v>3382241</v>
      </c>
      <c r="O96" s="3">
        <v>596291</v>
      </c>
      <c r="P96" s="3">
        <v>1206166</v>
      </c>
      <c r="Q96" s="3">
        <v>1829396</v>
      </c>
      <c r="R96" s="3">
        <v>2468993</v>
      </c>
      <c r="S96" s="3">
        <v>686430</v>
      </c>
      <c r="T96" s="3">
        <v>1408604</v>
      </c>
      <c r="U96" s="3">
        <v>2165210</v>
      </c>
      <c r="V96" s="3">
        <v>2944372</v>
      </c>
      <c r="W96" s="3">
        <v>759346</v>
      </c>
      <c r="X96" s="3">
        <v>1538642</v>
      </c>
      <c r="Y96" s="3">
        <v>2329509</v>
      </c>
      <c r="Z96" s="3">
        <f>3130525</f>
        <v>3130525</v>
      </c>
      <c r="AA96" s="3">
        <v>832569</v>
      </c>
      <c r="AB96" s="3">
        <v>1687231</v>
      </c>
      <c r="AC96" s="3">
        <v>2558717</v>
      </c>
      <c r="AD96" s="3">
        <v>3458628</v>
      </c>
      <c r="AE96" s="3">
        <v>919656</v>
      </c>
      <c r="AF96" s="3">
        <v>1871286</v>
      </c>
      <c r="AG96" s="3">
        <v>2837557</v>
      </c>
      <c r="AH96" s="3">
        <v>3811411</v>
      </c>
      <c r="AI96" s="3">
        <v>941985</v>
      </c>
    </row>
    <row r="97" spans="1:35" x14ac:dyDescent="0.3">
      <c r="A97" s="1" t="s">
        <v>95</v>
      </c>
      <c r="B97" s="3">
        <v>0</v>
      </c>
      <c r="C97" s="3">
        <v>0</v>
      </c>
      <c r="D97" s="3">
        <v>0</v>
      </c>
      <c r="E97" s="3">
        <v>0</v>
      </c>
      <c r="F97" s="3">
        <v>0</v>
      </c>
      <c r="G97" s="3">
        <v>0</v>
      </c>
      <c r="H97" s="3">
        <v>0</v>
      </c>
      <c r="I97" s="3"/>
      <c r="J97" s="3">
        <v>0</v>
      </c>
      <c r="K97" s="3">
        <v>0</v>
      </c>
      <c r="L97" s="3">
        <v>0</v>
      </c>
      <c r="M97" s="3"/>
      <c r="N97" s="3">
        <v>0</v>
      </c>
      <c r="O97" s="3"/>
      <c r="P97" s="3"/>
      <c r="Q97" s="3"/>
      <c r="R97" s="3">
        <v>0</v>
      </c>
      <c r="S97" s="3">
        <v>0</v>
      </c>
      <c r="T97" s="3">
        <v>0</v>
      </c>
      <c r="U97" s="3">
        <v>0</v>
      </c>
      <c r="V97" s="3">
        <v>0</v>
      </c>
      <c r="W97" s="3">
        <v>0</v>
      </c>
      <c r="X97" s="3">
        <v>0</v>
      </c>
      <c r="Y97" s="3">
        <v>0</v>
      </c>
      <c r="Z97" s="3">
        <v>0</v>
      </c>
      <c r="AA97" s="3">
        <v>0</v>
      </c>
      <c r="AB97" s="3">
        <v>0</v>
      </c>
      <c r="AC97" s="3">
        <v>0</v>
      </c>
      <c r="AD97" s="3">
        <v>0</v>
      </c>
      <c r="AE97" s="3">
        <v>0</v>
      </c>
      <c r="AF97" s="3">
        <v>0</v>
      </c>
      <c r="AG97" s="3">
        <v>0</v>
      </c>
      <c r="AH97" s="3">
        <v>0</v>
      </c>
      <c r="AI97" s="3">
        <v>0</v>
      </c>
    </row>
    <row r="98" spans="1:35" x14ac:dyDescent="0.3">
      <c r="A98" s="1" t="s">
        <v>96</v>
      </c>
      <c r="B98" s="3">
        <v>356825</v>
      </c>
      <c r="C98" s="3">
        <v>367799</v>
      </c>
      <c r="D98" s="3">
        <v>389525</v>
      </c>
      <c r="E98" s="3">
        <v>91699</v>
      </c>
      <c r="F98" s="3">
        <v>88989</v>
      </c>
      <c r="G98" s="3">
        <v>21473</v>
      </c>
      <c r="H98" s="3">
        <v>43266</v>
      </c>
      <c r="I98" s="3">
        <v>64902</v>
      </c>
      <c r="J98" s="3">
        <v>86125</v>
      </c>
      <c r="K98" s="3">
        <v>21083</v>
      </c>
      <c r="L98" s="3">
        <v>42220</v>
      </c>
      <c r="M98" s="3">
        <v>709890</v>
      </c>
      <c r="N98" s="3">
        <f>83382--1298010</f>
        <v>1381392</v>
      </c>
      <c r="O98" s="3">
        <v>643203</v>
      </c>
      <c r="P98" s="3">
        <v>1303492</v>
      </c>
      <c r="Q98" s="3">
        <v>1987957</v>
      </c>
      <c r="R98" s="3">
        <f>80475+2651301</f>
        <v>2731776</v>
      </c>
      <c r="S98" s="3">
        <v>889435</v>
      </c>
      <c r="T98" s="3">
        <v>2018620</v>
      </c>
      <c r="U98" s="3">
        <v>3233706</v>
      </c>
      <c r="V98" s="3">
        <f>82336+4406549</f>
        <v>4488885</v>
      </c>
      <c r="W98" s="3">
        <v>1154484</v>
      </c>
      <c r="X98" s="3">
        <v>2092999</v>
      </c>
      <c r="Y98" s="3">
        <v>2887090</v>
      </c>
      <c r="Z98" s="3">
        <f>81367+3632409</f>
        <v>3713776</v>
      </c>
      <c r="AA98" s="3">
        <v>803156</v>
      </c>
      <c r="AB98" s="3">
        <v>1627049</v>
      </c>
      <c r="AC98" s="3">
        <v>2472088</v>
      </c>
      <c r="AD98" s="3">
        <f>76215+3267724</f>
        <v>3343939</v>
      </c>
      <c r="AE98" s="3">
        <v>833143</v>
      </c>
      <c r="AF98" s="3">
        <v>1694788</v>
      </c>
      <c r="AG98" s="3">
        <f>2572728</f>
        <v>2572728</v>
      </c>
      <c r="AH98" s="3">
        <f>69656+3391584</f>
        <v>3461240</v>
      </c>
      <c r="AI98" s="3">
        <v>859909</v>
      </c>
    </row>
    <row r="99" spans="1:35" x14ac:dyDescent="0.3">
      <c r="A99" s="1" t="s">
        <v>97</v>
      </c>
      <c r="B99" s="3">
        <v>121537</v>
      </c>
      <c r="C99" s="3">
        <v>43816</v>
      </c>
      <c r="D99" s="3">
        <v>36296</v>
      </c>
      <c r="E99" s="3">
        <v>156800</v>
      </c>
      <c r="F99" s="3">
        <v>356014</v>
      </c>
      <c r="G99" s="3">
        <v>46685</v>
      </c>
      <c r="H99" s="3">
        <v>95534</v>
      </c>
      <c r="I99" s="3">
        <v>95534</v>
      </c>
      <c r="J99" s="3">
        <v>97578</v>
      </c>
      <c r="K99" s="3">
        <v>2017</v>
      </c>
      <c r="L99" s="3">
        <v>2278728</v>
      </c>
      <c r="M99" s="3">
        <v>2274860</v>
      </c>
      <c r="N99" s="3">
        <v>2282953</v>
      </c>
      <c r="O99" s="3">
        <v>2099</v>
      </c>
      <c r="P99" s="3">
        <v>4117</v>
      </c>
      <c r="Q99" s="3">
        <v>7514</v>
      </c>
      <c r="R99" s="3">
        <v>9568</v>
      </c>
      <c r="S99" s="3">
        <v>38469</v>
      </c>
      <c r="T99" s="3">
        <v>12520</v>
      </c>
      <c r="U99" s="3">
        <v>12534</v>
      </c>
      <c r="V99" s="3">
        <v>38522</v>
      </c>
      <c r="W99" s="3">
        <v>54</v>
      </c>
      <c r="X99" s="3">
        <v>238</v>
      </c>
      <c r="Y99" s="3">
        <v>488384</v>
      </c>
      <c r="Z99" s="3">
        <v>258673</v>
      </c>
      <c r="AA99" s="3">
        <v>17686</v>
      </c>
      <c r="AB99" s="3">
        <v>17686</v>
      </c>
      <c r="AC99" s="3">
        <v>17686</v>
      </c>
      <c r="AD99" s="3">
        <v>47183</v>
      </c>
      <c r="AE99" s="3">
        <v>14321</v>
      </c>
      <c r="AF99" s="3">
        <v>14321</v>
      </c>
      <c r="AG99" s="3">
        <v>14321</v>
      </c>
      <c r="AH99" s="3">
        <v>18039</v>
      </c>
      <c r="AI99" s="3">
        <v>15920</v>
      </c>
    </row>
    <row r="100" spans="1:35" x14ac:dyDescent="0.3">
      <c r="A100" s="6" t="s">
        <v>92</v>
      </c>
      <c r="B100" s="7">
        <f>SUM(B96:B99)</f>
        <v>8598635</v>
      </c>
      <c r="C100" s="7">
        <f>SUM(C96:C99)</f>
        <v>8724818</v>
      </c>
      <c r="D100" s="7">
        <f t="shared" ref="D100:N100" si="131">SUM(D96:D99)</f>
        <v>10262805</v>
      </c>
      <c r="E100" s="7">
        <f t="shared" si="131"/>
        <v>10504785</v>
      </c>
      <c r="F100" s="7">
        <f t="shared" si="131"/>
        <v>6789772</v>
      </c>
      <c r="G100" s="7">
        <f t="shared" si="131"/>
        <v>1340737</v>
      </c>
      <c r="H100" s="7">
        <f t="shared" si="131"/>
        <v>2744499</v>
      </c>
      <c r="I100" s="7">
        <f t="shared" si="131"/>
        <v>4051688</v>
      </c>
      <c r="J100" s="7">
        <f t="shared" si="131"/>
        <v>5406152</v>
      </c>
      <c r="K100" s="7">
        <f t="shared" ref="K100:M100" si="132">SUM(K96:K99)</f>
        <v>1105166</v>
      </c>
      <c r="L100" s="7">
        <f t="shared" si="132"/>
        <v>4494008</v>
      </c>
      <c r="M100" s="7">
        <f t="shared" si="132"/>
        <v>5759313</v>
      </c>
      <c r="N100" s="7">
        <f t="shared" si="131"/>
        <v>7046586</v>
      </c>
      <c r="O100" s="7">
        <f t="shared" ref="O100:R100" si="133">SUM(O96:O99)</f>
        <v>1241593</v>
      </c>
      <c r="P100" s="7">
        <f t="shared" si="133"/>
        <v>2513775</v>
      </c>
      <c r="Q100" s="7">
        <f t="shared" si="133"/>
        <v>3824867</v>
      </c>
      <c r="R100" s="7">
        <f t="shared" si="133"/>
        <v>5210337</v>
      </c>
      <c r="S100" s="7">
        <f t="shared" ref="S100:U100" si="134">SUM(S96:S99)</f>
        <v>1614334</v>
      </c>
      <c r="T100" s="7">
        <f t="shared" si="134"/>
        <v>3439744</v>
      </c>
      <c r="U100" s="7">
        <f t="shared" si="134"/>
        <v>5411450</v>
      </c>
      <c r="V100" s="7">
        <f t="shared" ref="V100:Z100" si="135">SUM(V96:V99)</f>
        <v>7471779</v>
      </c>
      <c r="W100" s="7">
        <f t="shared" si="135"/>
        <v>1913884</v>
      </c>
      <c r="X100" s="7">
        <f t="shared" si="135"/>
        <v>3631879</v>
      </c>
      <c r="Y100" s="7">
        <f t="shared" si="135"/>
        <v>5704983</v>
      </c>
      <c r="Z100" s="7">
        <f t="shared" si="135"/>
        <v>7102974</v>
      </c>
      <c r="AA100" s="7">
        <f t="shared" ref="AA100:AB100" si="136">SUM(AA96:AA99)</f>
        <v>1653411</v>
      </c>
      <c r="AB100" s="7">
        <f t="shared" si="136"/>
        <v>3331966</v>
      </c>
      <c r="AC100" s="7">
        <f t="shared" ref="AC100:AD100" si="137">SUM(AC96:AC99)</f>
        <v>5048491</v>
      </c>
      <c r="AD100" s="7">
        <f t="shared" si="137"/>
        <v>6849750</v>
      </c>
      <c r="AE100" s="7">
        <f t="shared" ref="AE100:AF100" si="138">SUM(AE96:AE99)</f>
        <v>1767120</v>
      </c>
      <c r="AF100" s="7">
        <f t="shared" si="138"/>
        <v>3580395</v>
      </c>
      <c r="AG100" s="7">
        <f t="shared" ref="AG100:AH100" si="139">SUM(AG96:AG99)</f>
        <v>5424606</v>
      </c>
      <c r="AH100" s="7">
        <f t="shared" si="139"/>
        <v>7290690</v>
      </c>
      <c r="AI100" s="7">
        <f t="shared" ref="AI100" si="140">SUM(AI96:AI99)</f>
        <v>1817814</v>
      </c>
    </row>
    <row r="102" spans="1:35" x14ac:dyDescent="0.3">
      <c r="A102" s="1" t="s">
        <v>98</v>
      </c>
      <c r="B102" s="3">
        <f>+B93+B100+B59+B51+B54</f>
        <v>0</v>
      </c>
      <c r="C102" s="3">
        <f t="shared" ref="C102:N102" si="141">+C93+C100+C59+C51+C54</f>
        <v>0</v>
      </c>
      <c r="D102" s="3">
        <f t="shared" si="141"/>
        <v>0</v>
      </c>
      <c r="E102" s="3">
        <f t="shared" si="141"/>
        <v>0</v>
      </c>
      <c r="F102" s="3">
        <f t="shared" si="141"/>
        <v>0</v>
      </c>
      <c r="G102" s="3">
        <f t="shared" ref="G102:I102" si="142">+G93+G100+G59+G51+G54</f>
        <v>0.375</v>
      </c>
      <c r="H102" s="3">
        <f t="shared" si="142"/>
        <v>0.35099999979138374</v>
      </c>
      <c r="I102" s="3">
        <f t="shared" si="142"/>
        <v>0</v>
      </c>
      <c r="J102" s="3">
        <f t="shared" si="141"/>
        <v>0</v>
      </c>
      <c r="K102" s="3">
        <f t="shared" ref="K102:M102" si="143">+K93+K100+K59+K51+K54</f>
        <v>0.24399999994784594</v>
      </c>
      <c r="L102" s="3">
        <f t="shared" si="143"/>
        <v>0</v>
      </c>
      <c r="M102" s="3">
        <f t="shared" si="143"/>
        <v>0</v>
      </c>
      <c r="N102" s="3">
        <f t="shared" si="141"/>
        <v>0</v>
      </c>
      <c r="O102" s="3">
        <f t="shared" ref="O102:R102" si="144">+O93+O100+O59+O51+O54</f>
        <v>0</v>
      </c>
      <c r="P102" s="3">
        <f t="shared" si="144"/>
        <v>0</v>
      </c>
      <c r="Q102" s="3">
        <f t="shared" si="144"/>
        <v>0</v>
      </c>
      <c r="R102" s="3">
        <f t="shared" si="144"/>
        <v>0</v>
      </c>
      <c r="S102" s="3">
        <f t="shared" ref="S102:U102" si="145">+S93+S100+S59+S51+S54</f>
        <v>0</v>
      </c>
      <c r="T102" s="3">
        <f t="shared" si="145"/>
        <v>0</v>
      </c>
      <c r="U102" s="3">
        <f t="shared" si="145"/>
        <v>0.11299999989569187</v>
      </c>
      <c r="V102" s="3">
        <f t="shared" ref="V102:Z102" si="146">+V93+V100+V59+V51+V54</f>
        <v>0</v>
      </c>
      <c r="W102" s="3">
        <f t="shared" si="146"/>
        <v>0</v>
      </c>
      <c r="X102" s="3">
        <f t="shared" si="146"/>
        <v>0</v>
      </c>
      <c r="Y102" s="3">
        <f t="shared" si="146"/>
        <v>0</v>
      </c>
      <c r="Z102" s="3">
        <f t="shared" si="146"/>
        <v>0</v>
      </c>
      <c r="AA102" s="3">
        <f t="shared" ref="AA102:AB102" si="147">+AA93+AA100+AA59+AA51+AA54</f>
        <v>0</v>
      </c>
      <c r="AB102" s="3">
        <f t="shared" si="147"/>
        <v>0</v>
      </c>
      <c r="AC102" s="3">
        <f t="shared" ref="AC102:AD102" si="148">+AC93+AC100+AC59+AC51+AC54</f>
        <v>0</v>
      </c>
      <c r="AD102" s="3">
        <f t="shared" si="148"/>
        <v>0</v>
      </c>
      <c r="AE102" s="3">
        <f t="shared" ref="AE102:AF102" si="149">+AE93+AE100+AE59+AE51+AE54</f>
        <v>0</v>
      </c>
      <c r="AF102" s="3">
        <f t="shared" si="149"/>
        <v>0</v>
      </c>
      <c r="AG102" s="3">
        <f t="shared" ref="AG102:AH102" si="150">+AG93+AG100+AG59+AG51+AG54</f>
        <v>0</v>
      </c>
      <c r="AH102" s="3">
        <f t="shared" si="150"/>
        <v>0</v>
      </c>
      <c r="AI102" s="3">
        <f t="shared" ref="AI102" si="151">+AI93+AI100+AI59+AI51+AI54</f>
        <v>0</v>
      </c>
    </row>
    <row r="103" spans="1:35" s="8" customFormat="1" x14ac:dyDescent="0.3">
      <c r="A103" s="8" t="s">
        <v>160</v>
      </c>
      <c r="B103" s="22">
        <v>1</v>
      </c>
      <c r="C103" s="22">
        <v>1</v>
      </c>
      <c r="D103" s="22">
        <v>1</v>
      </c>
      <c r="E103" s="22">
        <v>1</v>
      </c>
      <c r="F103" s="22">
        <v>1</v>
      </c>
      <c r="G103" s="22">
        <v>1</v>
      </c>
      <c r="H103" s="22">
        <v>1</v>
      </c>
      <c r="I103" s="22">
        <v>1</v>
      </c>
      <c r="J103" s="22">
        <v>1</v>
      </c>
      <c r="K103" s="22">
        <v>1</v>
      </c>
      <c r="L103" s="22">
        <v>1</v>
      </c>
      <c r="M103" s="22">
        <v>1</v>
      </c>
      <c r="N103" s="22">
        <v>1</v>
      </c>
      <c r="O103" s="22">
        <v>1</v>
      </c>
      <c r="P103" s="22">
        <v>1</v>
      </c>
      <c r="Q103" s="22">
        <v>1</v>
      </c>
      <c r="R103" s="22">
        <v>1</v>
      </c>
      <c r="S103" s="22">
        <v>1</v>
      </c>
      <c r="T103" s="22">
        <v>1</v>
      </c>
      <c r="U103" s="22">
        <v>1</v>
      </c>
      <c r="V103" s="22">
        <v>1</v>
      </c>
      <c r="W103" s="22">
        <v>1</v>
      </c>
      <c r="X103" s="22">
        <v>1</v>
      </c>
      <c r="Y103" s="22">
        <v>1</v>
      </c>
      <c r="Z103" s="22">
        <v>1</v>
      </c>
      <c r="AA103" s="22">
        <v>1</v>
      </c>
      <c r="AB103" s="22">
        <v>1</v>
      </c>
      <c r="AC103" s="22">
        <v>1</v>
      </c>
      <c r="AD103" s="22">
        <v>1</v>
      </c>
      <c r="AE103" s="22">
        <v>1</v>
      </c>
      <c r="AF103" s="22">
        <v>1</v>
      </c>
      <c r="AG103" s="22">
        <v>1</v>
      </c>
      <c r="AH103" s="22">
        <v>1</v>
      </c>
      <c r="AI103" s="22">
        <v>1</v>
      </c>
    </row>
    <row r="104" spans="1:35" x14ac:dyDescent="0.3">
      <c r="A104" s="1" t="s">
        <v>99</v>
      </c>
    </row>
    <row r="105" spans="1:35" x14ac:dyDescent="0.3">
      <c r="A105" s="1" t="s">
        <v>161</v>
      </c>
    </row>
    <row r="106" spans="1:35" x14ac:dyDescent="0.3">
      <c r="A106" s="1" t="s">
        <v>162</v>
      </c>
    </row>
    <row r="108" spans="1:35" x14ac:dyDescent="0.3">
      <c r="B108" s="19"/>
      <c r="C108" s="19"/>
      <c r="D108" s="19"/>
      <c r="E108" s="19"/>
      <c r="F108" s="19"/>
      <c r="G108" s="19"/>
      <c r="H108" s="19"/>
      <c r="I108" s="19"/>
      <c r="J108" s="19"/>
      <c r="K108" s="19"/>
      <c r="L108" s="19"/>
      <c r="M108" s="19"/>
      <c r="N108" s="19"/>
      <c r="O108" s="19"/>
      <c r="P108" s="19"/>
      <c r="Q108" s="19"/>
      <c r="R108" s="19"/>
      <c r="S108" s="19"/>
      <c r="T108" s="19"/>
      <c r="U108" s="19"/>
      <c r="V108" s="19"/>
    </row>
  </sheetData>
  <printOptions horizontalCentered="1" verticalCentered="1"/>
  <pageMargins left="0.23622047244094491" right="0.23622047244094491" top="0.74803149606299213" bottom="0.74803149606299213" header="0.31496062992125984" footer="0.31496062992125984"/>
  <pageSetup scale="31"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9771-D32B-488A-82BF-9103D747ECF1}">
  <sheetPr>
    <pageSetUpPr fitToPage="1"/>
  </sheetPr>
  <dimension ref="A1:AI105"/>
  <sheetViews>
    <sheetView workbookViewId="0">
      <pane xSplit="1" ySplit="1" topLeftCell="AB71" activePane="bottomRight" state="frozen"/>
      <selection pane="topRight" activeCell="E93" sqref="E93"/>
      <selection pane="bottomLeft" activeCell="E93" sqref="E93"/>
      <selection pane="bottomRight" activeCell="AH94" sqref="AH94"/>
    </sheetView>
  </sheetViews>
  <sheetFormatPr baseColWidth="10" defaultColWidth="11.44140625" defaultRowHeight="14.4" x14ac:dyDescent="0.3"/>
  <cols>
    <col min="1" max="1" width="64.44140625" style="1" bestFit="1" customWidth="1"/>
    <col min="2" max="22" width="12.88671875" style="1" customWidth="1"/>
    <col min="23" max="25" width="12.44140625" style="1" bestFit="1" customWidth="1"/>
    <col min="26" max="35" width="13.88671875" style="1" customWidth="1"/>
    <col min="36" max="16384" width="11.44140625" style="1"/>
  </cols>
  <sheetData>
    <row r="1" spans="1:35"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v>45565</v>
      </c>
      <c r="AD1" s="2">
        <v>45657</v>
      </c>
      <c r="AE1" s="2">
        <v>45747</v>
      </c>
      <c r="AF1" s="2">
        <v>45838</v>
      </c>
      <c r="AG1" s="2">
        <v>45930</v>
      </c>
      <c r="AH1" s="2">
        <v>46022</v>
      </c>
      <c r="AI1" s="2">
        <v>46112</v>
      </c>
    </row>
    <row r="2" spans="1:35" s="6" customFormat="1" x14ac:dyDescent="0.3">
      <c r="A2" s="6" t="s">
        <v>270</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c r="AH2" s="10"/>
      <c r="AI2" s="10"/>
    </row>
    <row r="3" spans="1:35"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x14ac:dyDescent="0.3">
      <c r="A5" s="1" t="s">
        <v>11</v>
      </c>
      <c r="B5" s="3">
        <v>349554</v>
      </c>
      <c r="C5" s="3">
        <v>1905315</v>
      </c>
      <c r="D5" s="3">
        <v>165676</v>
      </c>
      <c r="E5" s="3">
        <v>408266</v>
      </c>
      <c r="F5" s="3">
        <v>104516</v>
      </c>
      <c r="G5" s="3">
        <v>358990</v>
      </c>
      <c r="H5" s="3">
        <v>342167</v>
      </c>
      <c r="I5" s="3">
        <v>725575</v>
      </c>
      <c r="J5" s="3">
        <v>1913737</v>
      </c>
      <c r="K5" s="3">
        <v>2084402</v>
      </c>
      <c r="L5" s="3">
        <v>1655239</v>
      </c>
      <c r="M5" s="3">
        <v>1548834</v>
      </c>
      <c r="N5" s="3">
        <v>1858464</v>
      </c>
      <c r="O5" s="3">
        <v>314395</v>
      </c>
      <c r="P5" s="3">
        <v>163325</v>
      </c>
      <c r="Q5" s="3">
        <v>453320</v>
      </c>
      <c r="R5" s="3">
        <v>2191626</v>
      </c>
      <c r="S5" s="3">
        <v>1813742</v>
      </c>
      <c r="T5" s="3">
        <v>723781</v>
      </c>
      <c r="U5" s="3">
        <v>142487</v>
      </c>
      <c r="V5" s="3">
        <v>514106</v>
      </c>
      <c r="W5" s="3">
        <v>486684</v>
      </c>
      <c r="X5" s="3">
        <v>428347</v>
      </c>
      <c r="Y5" s="3">
        <v>170034</v>
      </c>
      <c r="Z5" s="3">
        <v>90752</v>
      </c>
      <c r="AA5" s="3">
        <v>2707182</v>
      </c>
      <c r="AB5" s="3">
        <v>849144</v>
      </c>
      <c r="AC5" s="3">
        <v>469960</v>
      </c>
      <c r="AD5" s="3">
        <v>49256</v>
      </c>
      <c r="AE5" s="3">
        <v>257288</v>
      </c>
      <c r="AF5" s="3">
        <v>87628</v>
      </c>
      <c r="AG5" s="3">
        <v>332514</v>
      </c>
      <c r="AH5" s="3">
        <v>2913621</v>
      </c>
      <c r="AI5" s="3">
        <v>1204271</v>
      </c>
    </row>
    <row r="6" spans="1:35" x14ac:dyDescent="0.3">
      <c r="A6" s="1" t="s">
        <v>101</v>
      </c>
      <c r="B6" s="3">
        <v>0</v>
      </c>
      <c r="C6" s="3">
        <v>0</v>
      </c>
      <c r="D6" s="3">
        <v>0</v>
      </c>
      <c r="E6" s="3">
        <v>0</v>
      </c>
      <c r="F6" s="3">
        <v>0</v>
      </c>
      <c r="G6" s="3">
        <v>0</v>
      </c>
      <c r="H6" s="3">
        <v>0</v>
      </c>
      <c r="I6" s="3">
        <v>0</v>
      </c>
      <c r="J6" s="3">
        <v>0</v>
      </c>
      <c r="K6" s="3">
        <v>0</v>
      </c>
      <c r="L6" s="3">
        <v>0</v>
      </c>
      <c r="M6" s="3">
        <v>0</v>
      </c>
      <c r="N6" s="3">
        <v>6974</v>
      </c>
      <c r="O6" s="3">
        <v>37272</v>
      </c>
      <c r="P6" s="3">
        <v>6750</v>
      </c>
      <c r="Q6" s="3">
        <v>38284</v>
      </c>
      <c r="R6" s="3">
        <v>7435</v>
      </c>
      <c r="S6" s="3">
        <v>40230</v>
      </c>
      <c r="T6" s="3">
        <v>-61270</v>
      </c>
      <c r="U6" s="3">
        <v>43590</v>
      </c>
      <c r="V6" s="3">
        <v>8423</v>
      </c>
      <c r="W6" s="3">
        <v>45109</v>
      </c>
      <c r="X6" s="3">
        <v>8200</v>
      </c>
      <c r="Y6" s="3">
        <v>46058</v>
      </c>
      <c r="Z6" s="3">
        <v>8777</v>
      </c>
      <c r="AA6" s="3">
        <v>47757</v>
      </c>
      <c r="AB6" s="3">
        <v>8537</v>
      </c>
      <c r="AC6" s="3">
        <v>48237</v>
      </c>
      <c r="AD6" s="3">
        <v>3180970</v>
      </c>
      <c r="AE6" s="3">
        <v>3260488</v>
      </c>
      <c r="AF6" s="3">
        <v>3250885</v>
      </c>
      <c r="AG6" s="3">
        <v>3310251</v>
      </c>
      <c r="AH6" s="3">
        <v>3355793</v>
      </c>
      <c r="AI6" s="3">
        <v>0</v>
      </c>
    </row>
    <row r="7" spans="1:35" x14ac:dyDescent="0.3">
      <c r="A7" s="1" t="s">
        <v>102</v>
      </c>
      <c r="B7" s="3">
        <v>28683</v>
      </c>
      <c r="C7" s="3">
        <v>37489</v>
      </c>
      <c r="D7" s="3">
        <v>41736</v>
      </c>
      <c r="E7" s="3">
        <v>24582</v>
      </c>
      <c r="F7" s="3">
        <v>28685</v>
      </c>
      <c r="G7" s="3">
        <v>20956</v>
      </c>
      <c r="H7" s="3">
        <v>13301</v>
      </c>
      <c r="I7" s="3">
        <v>5331</v>
      </c>
      <c r="J7" s="3">
        <v>105128</v>
      </c>
      <c r="K7" s="3">
        <v>77349</v>
      </c>
      <c r="L7" s="3">
        <v>48669</v>
      </c>
      <c r="M7" s="3">
        <v>19412</v>
      </c>
      <c r="N7" s="3">
        <v>71657</v>
      </c>
      <c r="O7" s="3">
        <v>62570</v>
      </c>
      <c r="P7" s="3">
        <v>26946</v>
      </c>
      <c r="Q7" s="3">
        <v>198927</v>
      </c>
      <c r="R7" s="3">
        <v>175222</v>
      </c>
      <c r="S7" s="3">
        <v>136898</v>
      </c>
      <c r="T7" s="3">
        <v>97965</v>
      </c>
      <c r="U7" s="3">
        <v>54539</v>
      </c>
      <c r="V7" s="3">
        <v>7836</v>
      </c>
      <c r="W7" s="3">
        <v>207879</v>
      </c>
      <c r="X7" s="3">
        <v>170225</v>
      </c>
      <c r="Y7" s="3">
        <v>129507</v>
      </c>
      <c r="Z7" s="3">
        <v>153113</v>
      </c>
      <c r="AA7" s="3">
        <v>112387</v>
      </c>
      <c r="AB7" s="3">
        <v>52720</v>
      </c>
      <c r="AC7" s="3">
        <v>254825</v>
      </c>
      <c r="AD7" s="3">
        <v>223205</v>
      </c>
      <c r="AE7" s="3">
        <v>195926</v>
      </c>
      <c r="AF7" s="3">
        <v>170917</v>
      </c>
      <c r="AG7" s="3">
        <v>139716</v>
      </c>
      <c r="AH7" s="3">
        <v>175826</v>
      </c>
      <c r="AI7" s="3">
        <v>402660</v>
      </c>
    </row>
    <row r="8" spans="1:35" x14ac:dyDescent="0.3">
      <c r="A8" s="1" t="s">
        <v>103</v>
      </c>
      <c r="B8" s="3">
        <v>44592</v>
      </c>
      <c r="C8" s="3">
        <v>57133</v>
      </c>
      <c r="D8" s="3">
        <v>195</v>
      </c>
      <c r="E8" s="3">
        <v>43792</v>
      </c>
      <c r="F8" s="3">
        <v>25629</v>
      </c>
      <c r="G8" s="3">
        <v>29821</v>
      </c>
      <c r="H8" s="3">
        <v>25629</v>
      </c>
      <c r="I8" s="3">
        <v>4632674</v>
      </c>
      <c r="J8" s="3">
        <v>98839</v>
      </c>
      <c r="K8" s="3">
        <v>33218</v>
      </c>
      <c r="L8" s="3">
        <v>71392</v>
      </c>
      <c r="M8" s="3">
        <v>112883</v>
      </c>
      <c r="N8" s="3">
        <v>77717</v>
      </c>
      <c r="O8" s="3">
        <v>123722</v>
      </c>
      <c r="P8" s="3">
        <v>104453</v>
      </c>
      <c r="Q8" s="3">
        <v>35143</v>
      </c>
      <c r="R8" s="3">
        <v>54426</v>
      </c>
      <c r="S8" s="3">
        <v>56748</v>
      </c>
      <c r="T8" s="3">
        <v>42196</v>
      </c>
      <c r="U8" s="3">
        <v>33212</v>
      </c>
      <c r="V8" s="3">
        <v>38418</v>
      </c>
      <c r="W8" s="3">
        <v>9228</v>
      </c>
      <c r="X8" s="3">
        <v>36448</v>
      </c>
      <c r="Y8" s="3">
        <v>14591</v>
      </c>
      <c r="Z8" s="3">
        <v>549540</v>
      </c>
      <c r="AA8" s="3">
        <v>65086</v>
      </c>
      <c r="AB8" s="3">
        <v>54471</v>
      </c>
      <c r="AC8" s="3">
        <v>31443</v>
      </c>
      <c r="AD8" s="3">
        <v>142873</v>
      </c>
      <c r="AE8" s="3">
        <v>7688</v>
      </c>
      <c r="AF8" s="3">
        <v>20124</v>
      </c>
      <c r="AG8" s="3">
        <v>3045</v>
      </c>
      <c r="AH8" s="3">
        <v>1483903</v>
      </c>
      <c r="AI8" s="3">
        <v>2195938</v>
      </c>
    </row>
    <row r="9" spans="1:35" x14ac:dyDescent="0.3">
      <c r="A9" s="1" t="s">
        <v>104</v>
      </c>
      <c r="B9" s="3">
        <v>0</v>
      </c>
      <c r="C9" s="3">
        <v>0</v>
      </c>
      <c r="D9" s="3">
        <v>0</v>
      </c>
      <c r="E9" s="3">
        <v>0</v>
      </c>
      <c r="F9" s="3">
        <v>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row>
    <row r="10" spans="1:35" x14ac:dyDescent="0.3">
      <c r="A10" s="1" t="s">
        <v>105</v>
      </c>
      <c r="B10" s="3">
        <v>21571</v>
      </c>
      <c r="C10" s="3">
        <v>31386</v>
      </c>
      <c r="D10" s="3">
        <v>40031</v>
      </c>
      <c r="E10" s="3">
        <v>17946</v>
      </c>
      <c r="F10" s="3">
        <v>187092</v>
      </c>
      <c r="G10" s="3">
        <v>231217</v>
      </c>
      <c r="H10" s="3">
        <v>55749</v>
      </c>
      <c r="I10" s="3">
        <v>56424</v>
      </c>
      <c r="J10" s="3">
        <v>57961</v>
      </c>
      <c r="K10" s="3">
        <v>58225</v>
      </c>
      <c r="L10" s="3">
        <v>67065</v>
      </c>
      <c r="M10" s="3">
        <v>227144</v>
      </c>
      <c r="N10" s="3">
        <v>223179</v>
      </c>
      <c r="O10" s="3">
        <v>681177</v>
      </c>
      <c r="P10" s="3">
        <v>370991</v>
      </c>
      <c r="Q10" s="3">
        <v>277896</v>
      </c>
      <c r="R10" s="3">
        <v>11018</v>
      </c>
      <c r="S10" s="3">
        <v>506868</v>
      </c>
      <c r="T10" s="3">
        <v>187653</v>
      </c>
      <c r="U10" s="3">
        <v>187270</v>
      </c>
      <c r="V10" s="3">
        <v>186574</v>
      </c>
      <c r="W10" s="3">
        <v>184258</v>
      </c>
      <c r="X10" s="3">
        <v>8933</v>
      </c>
      <c r="Y10" s="3">
        <v>8773</v>
      </c>
      <c r="Z10" s="3">
        <v>11018</v>
      </c>
      <c r="AA10" s="3">
        <v>-326</v>
      </c>
      <c r="AB10" s="3">
        <v>-407</v>
      </c>
      <c r="AC10" s="3">
        <v>0</v>
      </c>
      <c r="AD10" s="3">
        <v>0</v>
      </c>
      <c r="AE10" s="3">
        <v>0</v>
      </c>
      <c r="AF10" s="3">
        <v>0</v>
      </c>
      <c r="AG10" s="3">
        <v>0</v>
      </c>
      <c r="AH10" s="3">
        <v>0</v>
      </c>
      <c r="AI10" s="3">
        <v>0</v>
      </c>
    </row>
    <row r="11" spans="1:35" x14ac:dyDescent="0.3">
      <c r="A11" s="1" t="s">
        <v>106</v>
      </c>
      <c r="B11" s="3">
        <v>0</v>
      </c>
      <c r="C11" s="3">
        <v>0</v>
      </c>
      <c r="D11" s="3">
        <v>0</v>
      </c>
      <c r="E11" s="3">
        <v>1798343</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row>
    <row r="12" spans="1:35" s="6" customFormat="1" x14ac:dyDescent="0.3">
      <c r="A12" s="6" t="s">
        <v>15</v>
      </c>
      <c r="B12" s="7">
        <f>+SUM(B2:B11)</f>
        <v>444400</v>
      </c>
      <c r="C12" s="7">
        <f t="shared" ref="C12:Z12" si="0">+SUM(C2:C11)</f>
        <v>2031323</v>
      </c>
      <c r="D12" s="7">
        <f t="shared" si="0"/>
        <v>247638</v>
      </c>
      <c r="E12" s="7">
        <f t="shared" si="0"/>
        <v>2292929</v>
      </c>
      <c r="F12" s="7">
        <f t="shared" si="0"/>
        <v>345922</v>
      </c>
      <c r="G12" s="7">
        <f t="shared" si="0"/>
        <v>640984</v>
      </c>
      <c r="H12" s="7">
        <f t="shared" si="0"/>
        <v>436846</v>
      </c>
      <c r="I12" s="7">
        <f t="shared" si="0"/>
        <v>5420004</v>
      </c>
      <c r="J12" s="7">
        <f t="shared" si="0"/>
        <v>2175665</v>
      </c>
      <c r="K12" s="7">
        <f t="shared" si="0"/>
        <v>2253194</v>
      </c>
      <c r="L12" s="7">
        <f t="shared" si="0"/>
        <v>1842365</v>
      </c>
      <c r="M12" s="7">
        <f t="shared" si="0"/>
        <v>1908273</v>
      </c>
      <c r="N12" s="7">
        <f t="shared" si="0"/>
        <v>2237991</v>
      </c>
      <c r="O12" s="7">
        <f t="shared" si="0"/>
        <v>1219136</v>
      </c>
      <c r="P12" s="7">
        <f t="shared" si="0"/>
        <v>672465</v>
      </c>
      <c r="Q12" s="7">
        <f t="shared" si="0"/>
        <v>1003570</v>
      </c>
      <c r="R12" s="7">
        <f t="shared" si="0"/>
        <v>2439727</v>
      </c>
      <c r="S12" s="7">
        <f t="shared" si="0"/>
        <v>2554486</v>
      </c>
      <c r="T12" s="7">
        <f t="shared" si="0"/>
        <v>990325</v>
      </c>
      <c r="U12" s="7">
        <f t="shared" si="0"/>
        <v>461098</v>
      </c>
      <c r="V12" s="7">
        <f t="shared" si="0"/>
        <v>755357</v>
      </c>
      <c r="W12" s="7">
        <f t="shared" si="0"/>
        <v>933158</v>
      </c>
      <c r="X12" s="7">
        <f t="shared" si="0"/>
        <v>652153</v>
      </c>
      <c r="Y12" s="7">
        <f t="shared" si="0"/>
        <v>368963</v>
      </c>
      <c r="Z12" s="7">
        <f t="shared" si="0"/>
        <v>813200</v>
      </c>
      <c r="AA12" s="7">
        <f t="shared" ref="AA12:AB12" si="1">+SUM(AA2:AA11)</f>
        <v>2932086</v>
      </c>
      <c r="AB12" s="7">
        <f t="shared" si="1"/>
        <v>964465</v>
      </c>
      <c r="AC12" s="7">
        <f t="shared" ref="AC12:AD12" si="2">+SUM(AC2:AC11)</f>
        <v>804465</v>
      </c>
      <c r="AD12" s="7">
        <f t="shared" si="2"/>
        <v>3596304</v>
      </c>
      <c r="AE12" s="7">
        <f t="shared" ref="AE12:AF12" si="3">+SUM(AE2:AE11)</f>
        <v>3721390</v>
      </c>
      <c r="AF12" s="7">
        <f t="shared" si="3"/>
        <v>3529554</v>
      </c>
      <c r="AG12" s="7">
        <f t="shared" ref="AG12:AH12" si="4">+SUM(AG2:AG11)</f>
        <v>3785526</v>
      </c>
      <c r="AH12" s="7">
        <f t="shared" si="4"/>
        <v>7929143</v>
      </c>
      <c r="AI12" s="7">
        <f t="shared" ref="AI12" si="5">+SUM(AI2:AI11)</f>
        <v>3802869</v>
      </c>
    </row>
    <row r="13" spans="1:35" x14ac:dyDescent="0.3">
      <c r="A13" s="1" t="s">
        <v>16</v>
      </c>
      <c r="B13" s="3"/>
      <c r="C13" s="3"/>
      <c r="D13" s="3"/>
      <c r="E13" s="3"/>
      <c r="F13" s="3"/>
      <c r="G13" s="3"/>
      <c r="H13" s="3"/>
      <c r="I13" s="3"/>
      <c r="J13" s="3"/>
      <c r="K13" s="3"/>
      <c r="L13" s="3"/>
      <c r="M13" s="3"/>
      <c r="N13" s="3"/>
      <c r="O13" s="3"/>
      <c r="P13" s="3"/>
      <c r="Q13" s="3"/>
      <c r="R13" s="3"/>
      <c r="S13" s="3"/>
      <c r="T13" s="3"/>
      <c r="U13" s="3"/>
      <c r="V13" s="3"/>
    </row>
    <row r="14" spans="1:35" x14ac:dyDescent="0.3">
      <c r="A14" s="1" t="s">
        <v>107</v>
      </c>
      <c r="B14" s="3">
        <v>0</v>
      </c>
      <c r="C14" s="3">
        <v>0</v>
      </c>
      <c r="D14" s="3">
        <v>0</v>
      </c>
      <c r="E14" s="3">
        <v>0</v>
      </c>
      <c r="F14" s="3">
        <v>0</v>
      </c>
      <c r="G14" s="3">
        <v>0</v>
      </c>
      <c r="H14" s="3">
        <v>0</v>
      </c>
      <c r="I14" s="3">
        <v>0</v>
      </c>
      <c r="J14" s="3">
        <v>0</v>
      </c>
      <c r="K14" s="3">
        <v>0</v>
      </c>
      <c r="L14" s="3">
        <v>0</v>
      </c>
      <c r="M14" s="3">
        <v>0</v>
      </c>
      <c r="N14" s="3">
        <v>2460539</v>
      </c>
      <c r="O14" s="3">
        <v>2487999</v>
      </c>
      <c r="P14" s="3">
        <v>2452900</v>
      </c>
      <c r="Q14" s="3">
        <v>2484153</v>
      </c>
      <c r="R14" s="3">
        <v>2558736</v>
      </c>
      <c r="S14" s="3">
        <v>2619502</v>
      </c>
      <c r="T14" s="3">
        <v>2800499</v>
      </c>
      <c r="U14" s="3">
        <v>2828424</v>
      </c>
      <c r="V14" s="3">
        <v>2898829</v>
      </c>
      <c r="W14" s="3">
        <v>2937179</v>
      </c>
      <c r="X14" s="3">
        <v>2979616</v>
      </c>
      <c r="Y14" s="3">
        <v>2988536</v>
      </c>
      <c r="Z14" s="3">
        <v>3037399</v>
      </c>
      <c r="AA14" s="3">
        <v>3062511</v>
      </c>
      <c r="AB14" s="3">
        <v>3102003</v>
      </c>
      <c r="AC14" s="3">
        <v>3129956</v>
      </c>
      <c r="AD14" s="3">
        <v>0</v>
      </c>
      <c r="AE14" s="3">
        <v>0</v>
      </c>
      <c r="AF14" s="3">
        <v>0</v>
      </c>
      <c r="AG14" s="3">
        <v>0</v>
      </c>
      <c r="AH14" s="3">
        <v>0</v>
      </c>
      <c r="AI14" s="3">
        <v>0</v>
      </c>
    </row>
    <row r="15" spans="1:35" x14ac:dyDescent="0.3">
      <c r="A15" s="1" t="s">
        <v>108</v>
      </c>
      <c r="B15" s="3">
        <v>0</v>
      </c>
      <c r="C15" s="3">
        <v>0</v>
      </c>
      <c r="D15" s="3">
        <v>0</v>
      </c>
      <c r="E15" s="3">
        <v>0</v>
      </c>
      <c r="F15" s="3">
        <v>0</v>
      </c>
      <c r="G15" s="3">
        <v>0</v>
      </c>
      <c r="H15" s="3">
        <v>0</v>
      </c>
      <c r="I15" s="3">
        <v>0</v>
      </c>
      <c r="J15" s="3">
        <v>25629</v>
      </c>
      <c r="K15" s="3">
        <v>25629</v>
      </c>
      <c r="L15" s="3">
        <v>25629</v>
      </c>
      <c r="M15" s="3">
        <v>25629</v>
      </c>
      <c r="N15" s="3">
        <v>25629</v>
      </c>
      <c r="O15" s="3">
        <v>25629</v>
      </c>
      <c r="P15" s="3">
        <v>25629</v>
      </c>
      <c r="Q15" s="3">
        <v>25629</v>
      </c>
      <c r="R15" s="3">
        <v>25629</v>
      </c>
      <c r="S15" s="3">
        <v>25629</v>
      </c>
      <c r="T15" s="3">
        <v>25629</v>
      </c>
      <c r="U15" s="3">
        <v>25629</v>
      </c>
      <c r="V15" s="3">
        <v>25629</v>
      </c>
      <c r="W15" s="3">
        <v>25629</v>
      </c>
      <c r="X15" s="3">
        <v>25629</v>
      </c>
      <c r="Y15" s="3">
        <v>25629</v>
      </c>
      <c r="Z15" s="3">
        <v>25629</v>
      </c>
      <c r="AA15" s="3">
        <v>25629</v>
      </c>
      <c r="AB15" s="3">
        <v>25629</v>
      </c>
      <c r="AC15" s="3">
        <v>25629</v>
      </c>
      <c r="AD15" s="3">
        <v>25629</v>
      </c>
      <c r="AE15" s="3">
        <v>25629</v>
      </c>
      <c r="AF15" s="3">
        <v>25629</v>
      </c>
      <c r="AG15" s="3">
        <v>25629</v>
      </c>
      <c r="AH15" s="3">
        <v>25629</v>
      </c>
      <c r="AI15" s="3">
        <v>25629</v>
      </c>
    </row>
    <row r="16" spans="1:35" x14ac:dyDescent="0.3">
      <c r="A16" s="1" t="s">
        <v>109</v>
      </c>
      <c r="B16" s="3">
        <v>8296636</v>
      </c>
      <c r="C16" s="3">
        <v>5400553</v>
      </c>
      <c r="D16" s="3">
        <v>4844448</v>
      </c>
      <c r="E16" s="3">
        <v>5807162</v>
      </c>
      <c r="F16" s="3">
        <v>141000</v>
      </c>
      <c r="G16" s="3">
        <v>0</v>
      </c>
      <c r="H16" s="3">
        <v>0</v>
      </c>
      <c r="I16" s="3">
        <v>0</v>
      </c>
      <c r="J16" s="3">
        <v>0</v>
      </c>
      <c r="K16" s="3">
        <v>0</v>
      </c>
      <c r="L16" s="3">
        <v>0</v>
      </c>
      <c r="M16" s="3">
        <v>0</v>
      </c>
      <c r="N16" s="3">
        <v>0</v>
      </c>
      <c r="O16" s="3">
        <v>0</v>
      </c>
      <c r="P16" s="3">
        <v>0</v>
      </c>
      <c r="Q16" s="3">
        <v>0</v>
      </c>
      <c r="R16" s="3">
        <v>0</v>
      </c>
      <c r="S16" s="3">
        <v>0</v>
      </c>
      <c r="T16" s="3">
        <v>30000</v>
      </c>
      <c r="U16" s="3">
        <v>0</v>
      </c>
      <c r="V16" s="3">
        <v>0</v>
      </c>
      <c r="W16" s="3">
        <v>0</v>
      </c>
      <c r="X16" s="3">
        <v>0</v>
      </c>
      <c r="Y16" s="3">
        <v>700000</v>
      </c>
      <c r="Z16" s="3">
        <v>0</v>
      </c>
      <c r="AA16" s="3">
        <v>0</v>
      </c>
      <c r="AB16" s="3">
        <v>0</v>
      </c>
      <c r="AC16" s="3">
        <v>10000</v>
      </c>
      <c r="AD16" s="3">
        <v>0</v>
      </c>
      <c r="AE16" s="3">
        <v>0</v>
      </c>
      <c r="AF16" s="3">
        <f>20000</f>
        <v>20000</v>
      </c>
      <c r="AG16" s="3">
        <f>20000</f>
        <v>20000</v>
      </c>
      <c r="AH16" s="3">
        <v>0</v>
      </c>
      <c r="AI16" s="3">
        <v>0</v>
      </c>
    </row>
    <row r="17" spans="1:35" x14ac:dyDescent="0.3">
      <c r="A17" s="13" t="s">
        <v>110</v>
      </c>
      <c r="B17" s="3">
        <v>0</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row>
    <row r="18" spans="1:35" x14ac:dyDescent="0.3">
      <c r="A18" s="13" t="s">
        <v>111</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row>
    <row r="19" spans="1:35" x14ac:dyDescent="0.3">
      <c r="A19" s="1" t="s">
        <v>112</v>
      </c>
      <c r="B19" s="3">
        <v>90879753</v>
      </c>
      <c r="C19" s="3">
        <v>95415213</v>
      </c>
      <c r="D19" s="3">
        <v>100203764</v>
      </c>
      <c r="E19" s="3">
        <v>98542246</v>
      </c>
      <c r="F19" s="3">
        <v>103528455</v>
      </c>
      <c r="G19" s="3">
        <v>103573166</v>
      </c>
      <c r="H19" s="3">
        <v>104882004</v>
      </c>
      <c r="I19" s="3">
        <v>101806337</v>
      </c>
      <c r="J19" s="3">
        <v>102348153</v>
      </c>
      <c r="K19" s="3">
        <v>103387254</v>
      </c>
      <c r="L19" s="3">
        <v>103744687</v>
      </c>
      <c r="M19" s="3">
        <v>103785687</v>
      </c>
      <c r="N19" s="3">
        <v>107237209</v>
      </c>
      <c r="O19" s="3">
        <v>108433680</v>
      </c>
      <c r="P19" s="3">
        <v>109471215</v>
      </c>
      <c r="Q19" s="3">
        <v>110865666</v>
      </c>
      <c r="R19" s="3">
        <v>110122649</v>
      </c>
      <c r="S19" s="3">
        <v>112737514</v>
      </c>
      <c r="T19" s="3">
        <v>116152455</v>
      </c>
      <c r="U19" s="3">
        <v>120264383</v>
      </c>
      <c r="V19" s="3">
        <v>114834645</v>
      </c>
      <c r="W19" s="3">
        <v>116353628</v>
      </c>
      <c r="X19" s="3">
        <v>118076982</v>
      </c>
      <c r="Y19" s="3">
        <v>118476066</v>
      </c>
      <c r="Z19" s="3">
        <v>116468977</v>
      </c>
      <c r="AA19" s="3">
        <v>118146860</v>
      </c>
      <c r="AB19" s="3">
        <v>120885204</v>
      </c>
      <c r="AC19" s="3">
        <v>122094639</v>
      </c>
      <c r="AD19" s="3">
        <v>121580803</v>
      </c>
      <c r="AE19" s="3">
        <v>123095444</v>
      </c>
      <c r="AF19" s="3">
        <v>124275985</v>
      </c>
      <c r="AG19" s="3">
        <v>124965188</v>
      </c>
      <c r="AH19" s="3">
        <v>124317244</v>
      </c>
      <c r="AI19" s="3">
        <v>124782068</v>
      </c>
    </row>
    <row r="20" spans="1:35" x14ac:dyDescent="0.3">
      <c r="A20" s="1" t="s">
        <v>113</v>
      </c>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row>
    <row r="21" spans="1:35" s="6" customFormat="1" x14ac:dyDescent="0.3">
      <c r="A21" s="6" t="s">
        <v>18</v>
      </c>
      <c r="B21" s="7">
        <f>+SUM(B13:B20)</f>
        <v>99176389</v>
      </c>
      <c r="C21" s="7">
        <f>+SUM(C13:C20)</f>
        <v>100815766</v>
      </c>
      <c r="D21" s="7">
        <f t="shared" ref="D21:J21" si="6">+SUM(D13:D20)</f>
        <v>105048212</v>
      </c>
      <c r="E21" s="7">
        <f t="shared" si="6"/>
        <v>104349408</v>
      </c>
      <c r="F21" s="7">
        <f t="shared" si="6"/>
        <v>103669455</v>
      </c>
      <c r="G21" s="7">
        <f t="shared" ref="G21:I21" si="7">+SUM(G13:G20)</f>
        <v>103573166</v>
      </c>
      <c r="H21" s="7">
        <f t="shared" si="7"/>
        <v>104882004</v>
      </c>
      <c r="I21" s="7">
        <f t="shared" si="7"/>
        <v>101806337</v>
      </c>
      <c r="J21" s="7">
        <f t="shared" si="6"/>
        <v>102373782</v>
      </c>
      <c r="K21" s="7">
        <f t="shared" ref="K21:Z21" si="8">+SUM(K13:K20)</f>
        <v>103412883</v>
      </c>
      <c r="L21" s="7">
        <f t="shared" si="8"/>
        <v>103770316</v>
      </c>
      <c r="M21" s="7">
        <f t="shared" si="8"/>
        <v>103811316</v>
      </c>
      <c r="N21" s="7">
        <f t="shared" si="8"/>
        <v>109723377</v>
      </c>
      <c r="O21" s="7">
        <f t="shared" si="8"/>
        <v>110947308</v>
      </c>
      <c r="P21" s="7">
        <f t="shared" si="8"/>
        <v>111949744</v>
      </c>
      <c r="Q21" s="7">
        <f t="shared" si="8"/>
        <v>113375448</v>
      </c>
      <c r="R21" s="7">
        <f t="shared" si="8"/>
        <v>112707014</v>
      </c>
      <c r="S21" s="7">
        <f t="shared" si="8"/>
        <v>115382645</v>
      </c>
      <c r="T21" s="7">
        <f t="shared" si="8"/>
        <v>119008583</v>
      </c>
      <c r="U21" s="7">
        <f t="shared" si="8"/>
        <v>123118436</v>
      </c>
      <c r="V21" s="7">
        <f t="shared" si="8"/>
        <v>117759103</v>
      </c>
      <c r="W21" s="7">
        <f t="shared" si="8"/>
        <v>119316436</v>
      </c>
      <c r="X21" s="7">
        <f t="shared" si="8"/>
        <v>121082227</v>
      </c>
      <c r="Y21" s="7">
        <f t="shared" si="8"/>
        <v>122190231</v>
      </c>
      <c r="Z21" s="7">
        <f t="shared" si="8"/>
        <v>119532005</v>
      </c>
      <c r="AA21" s="7">
        <f t="shared" ref="AA21:AB21" si="9">+SUM(AA13:AA20)</f>
        <v>121235000</v>
      </c>
      <c r="AB21" s="7">
        <f t="shared" si="9"/>
        <v>124012836</v>
      </c>
      <c r="AC21" s="7">
        <f t="shared" ref="AC21:AD21" si="10">+SUM(AC13:AC20)</f>
        <v>125260224</v>
      </c>
      <c r="AD21" s="7">
        <f t="shared" si="10"/>
        <v>121606432</v>
      </c>
      <c r="AE21" s="7">
        <f t="shared" ref="AE21:AF21" si="11">+SUM(AE13:AE20)</f>
        <v>123121073</v>
      </c>
      <c r="AF21" s="7">
        <f t="shared" si="11"/>
        <v>124321614</v>
      </c>
      <c r="AG21" s="7">
        <f t="shared" ref="AG21:AH21" si="12">+SUM(AG13:AG20)</f>
        <v>125010817</v>
      </c>
      <c r="AH21" s="7">
        <f t="shared" si="12"/>
        <v>124342873</v>
      </c>
      <c r="AI21" s="7">
        <f t="shared" ref="AI21" si="13">+SUM(AI13:AI20)</f>
        <v>124807697</v>
      </c>
    </row>
    <row r="22" spans="1:35" s="6" customFormat="1" x14ac:dyDescent="0.3">
      <c r="A22" s="6" t="s">
        <v>19</v>
      </c>
      <c r="B22" s="7">
        <f t="shared" ref="B22:J22" si="14">+B21+B12</f>
        <v>99620789</v>
      </c>
      <c r="C22" s="7">
        <f t="shared" si="14"/>
        <v>102847089</v>
      </c>
      <c r="D22" s="7">
        <f t="shared" si="14"/>
        <v>105295850</v>
      </c>
      <c r="E22" s="7">
        <f t="shared" si="14"/>
        <v>106642337</v>
      </c>
      <c r="F22" s="7">
        <f t="shared" si="14"/>
        <v>104015377</v>
      </c>
      <c r="G22" s="7">
        <f t="shared" ref="G22:I22" si="15">+G21+G12</f>
        <v>104214150</v>
      </c>
      <c r="H22" s="7">
        <f t="shared" si="15"/>
        <v>105318850</v>
      </c>
      <c r="I22" s="7">
        <f t="shared" si="15"/>
        <v>107226341</v>
      </c>
      <c r="J22" s="7">
        <f t="shared" si="14"/>
        <v>104549447</v>
      </c>
      <c r="K22" s="7">
        <f t="shared" ref="K22:Z22" si="16">+K21+K12</f>
        <v>105666077</v>
      </c>
      <c r="L22" s="7">
        <f t="shared" si="16"/>
        <v>105612681</v>
      </c>
      <c r="M22" s="7">
        <f t="shared" si="16"/>
        <v>105719589</v>
      </c>
      <c r="N22" s="7">
        <f t="shared" si="16"/>
        <v>111961368</v>
      </c>
      <c r="O22" s="7">
        <f t="shared" si="16"/>
        <v>112166444</v>
      </c>
      <c r="P22" s="7">
        <f t="shared" si="16"/>
        <v>112622209</v>
      </c>
      <c r="Q22" s="7">
        <f t="shared" si="16"/>
        <v>114379018</v>
      </c>
      <c r="R22" s="7">
        <f t="shared" si="16"/>
        <v>115146741</v>
      </c>
      <c r="S22" s="7">
        <f t="shared" si="16"/>
        <v>117937131</v>
      </c>
      <c r="T22" s="7">
        <f t="shared" si="16"/>
        <v>119998908</v>
      </c>
      <c r="U22" s="7">
        <f t="shared" si="16"/>
        <v>123579534</v>
      </c>
      <c r="V22" s="7">
        <f t="shared" si="16"/>
        <v>118514460</v>
      </c>
      <c r="W22" s="7">
        <f t="shared" si="16"/>
        <v>120249594</v>
      </c>
      <c r="X22" s="7">
        <f t="shared" si="16"/>
        <v>121734380</v>
      </c>
      <c r="Y22" s="7">
        <f t="shared" si="16"/>
        <v>122559194</v>
      </c>
      <c r="Z22" s="7">
        <f t="shared" si="16"/>
        <v>120345205</v>
      </c>
      <c r="AA22" s="7">
        <f t="shared" ref="AA22:AB22" si="17">+AA21+AA12</f>
        <v>124167086</v>
      </c>
      <c r="AB22" s="7">
        <f t="shared" si="17"/>
        <v>124977301</v>
      </c>
      <c r="AC22" s="7">
        <f t="shared" ref="AC22:AD22" si="18">+AC21+AC12</f>
        <v>126064689</v>
      </c>
      <c r="AD22" s="7">
        <f t="shared" si="18"/>
        <v>125202736</v>
      </c>
      <c r="AE22" s="7">
        <f t="shared" ref="AE22:AF22" si="19">+AE21+AE12</f>
        <v>126842463</v>
      </c>
      <c r="AF22" s="7">
        <f t="shared" si="19"/>
        <v>127851168</v>
      </c>
      <c r="AG22" s="7">
        <f t="shared" ref="AG22:AH22" si="20">+AG21+AG12</f>
        <v>128796343</v>
      </c>
      <c r="AH22" s="7">
        <f t="shared" si="20"/>
        <v>132272016</v>
      </c>
      <c r="AI22" s="7">
        <f t="shared" ref="AI22" si="21">+AI21+AI12</f>
        <v>128610566</v>
      </c>
    </row>
    <row r="23" spans="1:35" x14ac:dyDescent="0.3">
      <c r="A23" s="1" t="s">
        <v>114</v>
      </c>
      <c r="B23" s="3"/>
      <c r="C23" s="3"/>
      <c r="D23" s="3"/>
      <c r="E23" s="3"/>
      <c r="F23" s="3"/>
      <c r="G23" s="3"/>
      <c r="H23" s="3"/>
      <c r="I23" s="3"/>
      <c r="J23" s="3"/>
      <c r="K23" s="3"/>
      <c r="L23" s="3"/>
      <c r="M23" s="3"/>
      <c r="N23" s="3"/>
      <c r="O23" s="3"/>
      <c r="P23" s="3"/>
      <c r="Q23" s="3"/>
      <c r="R23" s="3"/>
      <c r="S23" s="3"/>
      <c r="T23" s="3"/>
      <c r="U23" s="3"/>
      <c r="V23" s="3"/>
    </row>
    <row r="24" spans="1:35" x14ac:dyDescent="0.3">
      <c r="A24" s="1" t="s">
        <v>21</v>
      </c>
      <c r="B24" s="3"/>
      <c r="C24" s="3"/>
      <c r="D24" s="3"/>
      <c r="E24" s="3"/>
      <c r="F24" s="3"/>
      <c r="G24" s="3"/>
      <c r="H24" s="3"/>
      <c r="I24" s="3"/>
      <c r="J24" s="3"/>
      <c r="K24" s="3"/>
      <c r="L24" s="3"/>
      <c r="M24" s="3"/>
      <c r="N24" s="3"/>
      <c r="O24" s="3"/>
      <c r="P24" s="3"/>
      <c r="Q24" s="3"/>
      <c r="R24" s="3"/>
      <c r="S24" s="3"/>
      <c r="T24" s="3"/>
      <c r="U24" s="3"/>
      <c r="V24" s="3"/>
    </row>
    <row r="25" spans="1:35" x14ac:dyDescent="0.3">
      <c r="A25" s="1" t="s">
        <v>115</v>
      </c>
      <c r="B25" s="3">
        <v>1054574</v>
      </c>
      <c r="C25" s="3">
        <v>1142588</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row>
    <row r="26" spans="1:35" x14ac:dyDescent="0.3">
      <c r="A26" s="1" t="s">
        <v>116</v>
      </c>
      <c r="B26" s="3">
        <v>730</v>
      </c>
      <c r="C26" s="3">
        <v>9435</v>
      </c>
      <c r="D26" s="3">
        <v>186922</v>
      </c>
      <c r="E26" s="3">
        <v>283077</v>
      </c>
      <c r="F26" s="3">
        <v>118254</v>
      </c>
      <c r="G26" s="3">
        <v>128545</v>
      </c>
      <c r="H26" s="3">
        <v>76553</v>
      </c>
      <c r="I26" s="3">
        <v>514898</v>
      </c>
      <c r="J26" s="3">
        <v>188872</v>
      </c>
      <c r="K26" s="3">
        <v>68517</v>
      </c>
      <c r="L26" s="3">
        <v>212933</v>
      </c>
      <c r="M26" s="3">
        <v>385729</v>
      </c>
      <c r="N26" s="3">
        <v>505520</v>
      </c>
      <c r="O26" s="3">
        <v>386249</v>
      </c>
      <c r="P26" s="3">
        <v>329870</v>
      </c>
      <c r="Q26" s="3">
        <v>337946</v>
      </c>
      <c r="R26" s="3">
        <v>554551</v>
      </c>
      <c r="S26" s="3">
        <v>352936</v>
      </c>
      <c r="T26" s="3">
        <v>415948</v>
      </c>
      <c r="U26" s="3">
        <v>375171</v>
      </c>
      <c r="V26" s="3">
        <v>411840</v>
      </c>
      <c r="W26" s="3">
        <v>364824</v>
      </c>
      <c r="X26" s="3">
        <v>383762</v>
      </c>
      <c r="Y26" s="3">
        <v>113163</v>
      </c>
      <c r="Z26" s="3">
        <v>332061</v>
      </c>
      <c r="AA26" s="3">
        <v>242922</v>
      </c>
      <c r="AB26" s="3">
        <v>111482</v>
      </c>
      <c r="AC26" s="3">
        <v>170369</v>
      </c>
      <c r="AD26" s="3">
        <v>181101</v>
      </c>
      <c r="AE26" s="3">
        <v>118570</v>
      </c>
      <c r="AF26" s="3">
        <v>143468</v>
      </c>
      <c r="AG26" s="3">
        <v>118324</v>
      </c>
      <c r="AH26" s="3">
        <v>716277</v>
      </c>
      <c r="AI26" s="3">
        <v>586226</v>
      </c>
    </row>
    <row r="27" spans="1:35" x14ac:dyDescent="0.3">
      <c r="A27" s="1" t="s">
        <v>117</v>
      </c>
      <c r="B27" s="3">
        <v>0</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305361</v>
      </c>
      <c r="AB27" s="3">
        <v>0</v>
      </c>
      <c r="AC27" s="3">
        <v>0</v>
      </c>
      <c r="AD27" s="3">
        <v>0</v>
      </c>
      <c r="AE27" s="3">
        <v>0</v>
      </c>
      <c r="AF27" s="3">
        <v>115000</v>
      </c>
      <c r="AG27" s="3">
        <v>165000</v>
      </c>
      <c r="AH27" s="3">
        <v>0</v>
      </c>
      <c r="AI27" s="3">
        <v>0</v>
      </c>
    </row>
    <row r="28" spans="1:35" x14ac:dyDescent="0.3">
      <c r="A28" s="1" t="s">
        <v>118</v>
      </c>
      <c r="B28" s="3">
        <v>0</v>
      </c>
      <c r="C28" s="3">
        <v>0</v>
      </c>
      <c r="D28" s="3">
        <v>0</v>
      </c>
      <c r="E28" s="3">
        <v>419887</v>
      </c>
      <c r="F28" s="3">
        <v>7027</v>
      </c>
      <c r="G28" s="3">
        <v>7092</v>
      </c>
      <c r="H28" s="3">
        <v>6840</v>
      </c>
      <c r="I28" s="3">
        <v>626393</v>
      </c>
      <c r="J28" s="3">
        <v>661423</v>
      </c>
      <c r="K28" s="3">
        <v>673038</v>
      </c>
      <c r="L28" s="3">
        <v>27866</v>
      </c>
      <c r="M28" s="3">
        <v>64115</v>
      </c>
      <c r="N28" s="3">
        <v>5956</v>
      </c>
      <c r="O28" s="3">
        <v>308501</v>
      </c>
      <c r="P28" s="3">
        <v>6063</v>
      </c>
      <c r="Q28" s="3">
        <v>6204</v>
      </c>
      <c r="R28" s="3">
        <v>334487</v>
      </c>
      <c r="S28" s="3">
        <v>785869</v>
      </c>
      <c r="T28" s="3">
        <v>5532</v>
      </c>
      <c r="U28" s="3">
        <v>2480</v>
      </c>
      <c r="V28" s="3">
        <v>0</v>
      </c>
      <c r="W28" s="3">
        <v>0</v>
      </c>
      <c r="X28" s="3">
        <v>20</v>
      </c>
      <c r="Y28" s="3">
        <v>270</v>
      </c>
      <c r="Z28" s="3">
        <v>0</v>
      </c>
      <c r="AA28" s="3">
        <v>0</v>
      </c>
      <c r="AB28" s="3">
        <v>0</v>
      </c>
      <c r="AC28" s="3">
        <v>0</v>
      </c>
      <c r="AD28" s="3">
        <v>0</v>
      </c>
      <c r="AE28" s="3">
        <v>0</v>
      </c>
      <c r="AF28" s="3">
        <v>0</v>
      </c>
      <c r="AG28" s="3">
        <v>0</v>
      </c>
      <c r="AH28" s="3">
        <v>0</v>
      </c>
      <c r="AI28" s="3">
        <v>0</v>
      </c>
    </row>
    <row r="29" spans="1:35" x14ac:dyDescent="0.3">
      <c r="A29" s="1" t="s">
        <v>119</v>
      </c>
      <c r="B29" s="3">
        <v>15320</v>
      </c>
      <c r="C29" s="3">
        <v>37112</v>
      </c>
      <c r="D29" s="3">
        <v>65235</v>
      </c>
      <c r="E29" s="3">
        <v>31805</v>
      </c>
      <c r="F29" s="3">
        <v>52892</v>
      </c>
      <c r="G29" s="3">
        <v>149896</v>
      </c>
      <c r="H29" s="3">
        <v>26800</v>
      </c>
      <c r="I29" s="3">
        <v>73652</v>
      </c>
      <c r="J29" s="3">
        <v>69480</v>
      </c>
      <c r="K29" s="3">
        <v>180554</v>
      </c>
      <c r="L29" s="3">
        <v>22275</v>
      </c>
      <c r="M29" s="3">
        <v>-18043</v>
      </c>
      <c r="N29" s="3">
        <v>132270</v>
      </c>
      <c r="O29" s="3">
        <v>205441</v>
      </c>
      <c r="P29" s="3">
        <v>34074</v>
      </c>
      <c r="Q29" s="3">
        <v>271461</v>
      </c>
      <c r="R29" s="3">
        <v>125086</v>
      </c>
      <c r="S29" s="3">
        <v>274441</v>
      </c>
      <c r="T29" s="3">
        <v>44439</v>
      </c>
      <c r="U29" s="3">
        <v>53236</v>
      </c>
      <c r="V29" s="3">
        <v>44531</v>
      </c>
      <c r="W29" s="3">
        <v>534387</v>
      </c>
      <c r="X29" s="3">
        <v>132178</v>
      </c>
      <c r="Y29" s="3">
        <v>71520</v>
      </c>
      <c r="Z29" s="3">
        <v>65229</v>
      </c>
      <c r="AA29" s="3">
        <v>0</v>
      </c>
      <c r="AB29" s="3">
        <v>137389</v>
      </c>
      <c r="AC29" s="3">
        <v>255820</v>
      </c>
      <c r="AD29" s="3">
        <v>88676</v>
      </c>
      <c r="AE29" s="3">
        <v>353908</v>
      </c>
      <c r="AF29" s="3">
        <v>31092</v>
      </c>
      <c r="AG29" s="3">
        <v>36349</v>
      </c>
      <c r="AH29" s="3">
        <v>209100</v>
      </c>
      <c r="AI29" s="3">
        <v>452701</v>
      </c>
    </row>
    <row r="30" spans="1:35" x14ac:dyDescent="0.3">
      <c r="A30" s="1" t="s">
        <v>120</v>
      </c>
      <c r="B30" s="3">
        <v>262987</v>
      </c>
      <c r="C30" s="3">
        <v>266681</v>
      </c>
      <c r="D30" s="3">
        <v>283148</v>
      </c>
      <c r="E30" s="3">
        <v>307324</v>
      </c>
      <c r="F30" s="3">
        <v>282641</v>
      </c>
      <c r="G30" s="3">
        <v>284047</v>
      </c>
      <c r="H30" s="3">
        <v>294391</v>
      </c>
      <c r="I30" s="3">
        <v>281631</v>
      </c>
      <c r="J30" s="3">
        <v>180528</v>
      </c>
      <c r="K30" s="3">
        <v>175525</v>
      </c>
      <c r="L30" s="3">
        <v>176131</v>
      </c>
      <c r="M30" s="3">
        <v>176116</v>
      </c>
      <c r="N30" s="3">
        <v>200321</v>
      </c>
      <c r="O30" s="3">
        <v>197647</v>
      </c>
      <c r="P30" s="3">
        <v>183919</v>
      </c>
      <c r="Q30" s="3">
        <v>209318</v>
      </c>
      <c r="R30" s="3">
        <v>210929</v>
      </c>
      <c r="S30" s="3">
        <v>217998</v>
      </c>
      <c r="T30" s="3">
        <v>140578</v>
      </c>
      <c r="U30" s="3">
        <v>181863</v>
      </c>
      <c r="V30" s="3">
        <v>353904</v>
      </c>
      <c r="W30" s="3">
        <v>526628</v>
      </c>
      <c r="X30" s="3">
        <v>433739</v>
      </c>
      <c r="Y30" s="3">
        <v>239013</v>
      </c>
      <c r="Z30" s="3">
        <v>674829</v>
      </c>
      <c r="AA30" s="3">
        <v>676089</v>
      </c>
      <c r="AB30" s="3">
        <v>642885</v>
      </c>
      <c r="AC30" s="3">
        <v>647373</v>
      </c>
      <c r="AD30" s="3">
        <v>589160</v>
      </c>
      <c r="AE30" s="3">
        <v>478844</v>
      </c>
      <c r="AF30" s="3">
        <v>414567</v>
      </c>
      <c r="AG30" s="3">
        <v>350897</v>
      </c>
      <c r="AH30" s="3">
        <v>485255</v>
      </c>
      <c r="AI30" s="3">
        <v>597720</v>
      </c>
    </row>
    <row r="31" spans="1:35" x14ac:dyDescent="0.3">
      <c r="A31" s="1" t="s">
        <v>121</v>
      </c>
      <c r="B31" s="3">
        <v>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row>
    <row r="32" spans="1:35" s="6" customFormat="1" x14ac:dyDescent="0.3">
      <c r="A32" s="6" t="s">
        <v>122</v>
      </c>
      <c r="B32" s="7">
        <f t="shared" ref="B32:C32" si="22">+SUM(B23:B31)</f>
        <v>1333611</v>
      </c>
      <c r="C32" s="7">
        <f t="shared" si="22"/>
        <v>1455816</v>
      </c>
      <c r="D32" s="7">
        <f>+SUM(D23:D31)</f>
        <v>535305</v>
      </c>
      <c r="E32" s="7">
        <f t="shared" ref="E32:Z32" si="23">+SUM(E23:E31)</f>
        <v>1042093</v>
      </c>
      <c r="F32" s="7">
        <f t="shared" si="23"/>
        <v>460814</v>
      </c>
      <c r="G32" s="7">
        <f t="shared" si="23"/>
        <v>569580</v>
      </c>
      <c r="H32" s="7">
        <f t="shared" si="23"/>
        <v>404584</v>
      </c>
      <c r="I32" s="7">
        <f t="shared" si="23"/>
        <v>1496574</v>
      </c>
      <c r="J32" s="7">
        <f t="shared" si="23"/>
        <v>1100303</v>
      </c>
      <c r="K32" s="7">
        <f t="shared" si="23"/>
        <v>1097634</v>
      </c>
      <c r="L32" s="7">
        <f t="shared" si="23"/>
        <v>439205</v>
      </c>
      <c r="M32" s="7">
        <f t="shared" si="23"/>
        <v>607917</v>
      </c>
      <c r="N32" s="7">
        <f t="shared" si="23"/>
        <v>844067</v>
      </c>
      <c r="O32" s="7">
        <f t="shared" si="23"/>
        <v>1097838</v>
      </c>
      <c r="P32" s="7">
        <f t="shared" si="23"/>
        <v>553926</v>
      </c>
      <c r="Q32" s="7">
        <f t="shared" si="23"/>
        <v>824929</v>
      </c>
      <c r="R32" s="7">
        <f t="shared" si="23"/>
        <v>1225053</v>
      </c>
      <c r="S32" s="7">
        <f t="shared" si="23"/>
        <v>1631244</v>
      </c>
      <c r="T32" s="7">
        <f t="shared" si="23"/>
        <v>606497</v>
      </c>
      <c r="U32" s="7">
        <f t="shared" si="23"/>
        <v>612750</v>
      </c>
      <c r="V32" s="7">
        <f t="shared" si="23"/>
        <v>810275</v>
      </c>
      <c r="W32" s="7">
        <f t="shared" si="23"/>
        <v>1425839</v>
      </c>
      <c r="X32" s="7">
        <f t="shared" si="23"/>
        <v>949699</v>
      </c>
      <c r="Y32" s="7">
        <f t="shared" si="23"/>
        <v>423966</v>
      </c>
      <c r="Z32" s="7">
        <f t="shared" si="23"/>
        <v>1072119</v>
      </c>
      <c r="AA32" s="7">
        <f t="shared" ref="AA32:AB32" si="24">+SUM(AA23:AA31)</f>
        <v>1224372</v>
      </c>
      <c r="AB32" s="7">
        <f t="shared" si="24"/>
        <v>891756</v>
      </c>
      <c r="AC32" s="7">
        <f t="shared" ref="AC32:AD32" si="25">+SUM(AC23:AC31)</f>
        <v>1073562</v>
      </c>
      <c r="AD32" s="7">
        <f t="shared" si="25"/>
        <v>858937</v>
      </c>
      <c r="AE32" s="7">
        <f t="shared" ref="AE32:AF32" si="26">+SUM(AE23:AE31)</f>
        <v>951322</v>
      </c>
      <c r="AF32" s="7">
        <f t="shared" si="26"/>
        <v>704127</v>
      </c>
      <c r="AG32" s="7">
        <f t="shared" ref="AG32:AH32" si="27">+SUM(AG23:AG31)</f>
        <v>670570</v>
      </c>
      <c r="AH32" s="7">
        <f t="shared" si="27"/>
        <v>1410632</v>
      </c>
      <c r="AI32" s="7">
        <f t="shared" ref="AI32" si="28">+SUM(AI23:AI31)</f>
        <v>1636647</v>
      </c>
    </row>
    <row r="33" spans="1:35" x14ac:dyDescent="0.3">
      <c r="A33" s="1" t="s">
        <v>27</v>
      </c>
      <c r="B33" s="3"/>
      <c r="C33" s="3"/>
      <c r="D33" s="3"/>
      <c r="E33" s="3"/>
      <c r="F33" s="3"/>
      <c r="G33" s="3"/>
      <c r="H33" s="3"/>
      <c r="I33" s="3"/>
      <c r="J33" s="3"/>
      <c r="K33" s="3"/>
      <c r="L33" s="3"/>
      <c r="M33" s="3"/>
      <c r="N33" s="3"/>
      <c r="O33" s="3"/>
      <c r="P33" s="3"/>
      <c r="Q33" s="3"/>
      <c r="R33" s="3"/>
      <c r="S33" s="3"/>
      <c r="T33" s="3"/>
      <c r="U33" s="3"/>
      <c r="V33" s="3"/>
    </row>
    <row r="34" spans="1:35" x14ac:dyDescent="0.3">
      <c r="A34" s="1" t="s">
        <v>123</v>
      </c>
      <c r="B34" s="3">
        <v>2047241</v>
      </c>
      <c r="C34" s="3">
        <v>987947</v>
      </c>
      <c r="D34" s="3">
        <v>0</v>
      </c>
      <c r="E34" s="3">
        <v>0</v>
      </c>
      <c r="F34" s="3">
        <v>219378</v>
      </c>
      <c r="G34" s="3">
        <v>0</v>
      </c>
      <c r="H34" s="3">
        <v>0</v>
      </c>
      <c r="I34" s="3">
        <v>0</v>
      </c>
      <c r="J34" s="3">
        <v>346387</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row>
    <row r="35" spans="1:35" x14ac:dyDescent="0.3">
      <c r="A35" s="1" t="s">
        <v>124</v>
      </c>
      <c r="B35" s="3">
        <v>89929707</v>
      </c>
      <c r="C35" s="3">
        <v>93588630</v>
      </c>
      <c r="D35" s="3">
        <v>96213769</v>
      </c>
      <c r="E35" s="3">
        <v>91596083</v>
      </c>
      <c r="F35" s="3">
        <v>87273385</v>
      </c>
      <c r="G35" s="3">
        <v>87273290</v>
      </c>
      <c r="H35" s="3">
        <v>88341942</v>
      </c>
      <c r="I35" s="3">
        <v>88801741</v>
      </c>
      <c r="J35" s="3">
        <v>89629366</v>
      </c>
      <c r="K35" s="3">
        <v>90539655</v>
      </c>
      <c r="L35" s="3">
        <v>90852963</v>
      </c>
      <c r="M35" s="3">
        <v>90889150</v>
      </c>
      <c r="N35" s="3">
        <v>94436701</v>
      </c>
      <c r="O35" s="3">
        <v>95490663</v>
      </c>
      <c r="P35" s="3">
        <v>96514155</v>
      </c>
      <c r="Q35" s="3">
        <v>97743864</v>
      </c>
      <c r="R35" s="3">
        <v>100678516</v>
      </c>
      <c r="S35" s="3">
        <v>103069456</v>
      </c>
      <c r="T35" s="3">
        <v>107484540</v>
      </c>
      <c r="U35" s="3">
        <v>111289903</v>
      </c>
      <c r="V35" s="3">
        <v>108839890</v>
      </c>
      <c r="W35" s="3">
        <v>110283744</v>
      </c>
      <c r="X35" s="3">
        <v>112624193</v>
      </c>
      <c r="Y35" s="3">
        <v>114161966</v>
      </c>
      <c r="Z35" s="3">
        <v>116028055</v>
      </c>
      <c r="AA35" s="3">
        <v>117027329</v>
      </c>
      <c r="AB35" s="3">
        <v>118495941</v>
      </c>
      <c r="AC35" s="3">
        <v>119563708</v>
      </c>
      <c r="AD35" s="3">
        <v>120161966</v>
      </c>
      <c r="AE35" s="3">
        <v>121655268</v>
      </c>
      <c r="AF35" s="3">
        <v>122918362</v>
      </c>
      <c r="AG35" s="3">
        <v>111650281</v>
      </c>
      <c r="AH35" s="3">
        <v>113328640</v>
      </c>
      <c r="AI35" s="3">
        <v>109441644</v>
      </c>
    </row>
    <row r="36" spans="1:35" x14ac:dyDescent="0.3">
      <c r="A36" s="1" t="s">
        <v>125</v>
      </c>
      <c r="B36" s="3">
        <v>1608669</v>
      </c>
      <c r="C36" s="3">
        <v>2587028</v>
      </c>
      <c r="D36" s="3">
        <v>3410352</v>
      </c>
      <c r="E36" s="3">
        <v>5683576</v>
      </c>
      <c r="F36" s="3">
        <v>6737438</v>
      </c>
      <c r="G36" s="3">
        <v>6825001</v>
      </c>
      <c r="H36" s="3">
        <v>6960717</v>
      </c>
      <c r="I36" s="3">
        <v>6724798</v>
      </c>
      <c r="J36" s="3">
        <v>7178739</v>
      </c>
      <c r="K36" s="3">
        <v>7341173</v>
      </c>
      <c r="L36" s="3">
        <v>7481956</v>
      </c>
      <c r="M36" s="3">
        <v>7574897</v>
      </c>
      <c r="N36" s="3">
        <v>8492320</v>
      </c>
      <c r="O36" s="3">
        <v>8645987</v>
      </c>
      <c r="P36" s="3">
        <v>8733241</v>
      </c>
      <c r="Q36" s="3">
        <v>8869881</v>
      </c>
      <c r="R36" s="3">
        <v>8317427</v>
      </c>
      <c r="S36" s="3">
        <v>8311765</v>
      </c>
      <c r="T36" s="3">
        <v>7962206</v>
      </c>
      <c r="U36" s="3">
        <v>7901939</v>
      </c>
      <c r="V36" s="3">
        <v>5540276</v>
      </c>
      <c r="W36" s="3">
        <v>5433505</v>
      </c>
      <c r="X36" s="3">
        <v>5279572</v>
      </c>
      <c r="Y36" s="3">
        <v>5244828</v>
      </c>
      <c r="Z36" s="3">
        <v>3939296</v>
      </c>
      <c r="AA36" s="3">
        <v>3754689</v>
      </c>
      <c r="AB36" s="3">
        <v>3611629</v>
      </c>
      <c r="AC36" s="3">
        <v>3537514</v>
      </c>
      <c r="AD36" s="3">
        <v>2868254</v>
      </c>
      <c r="AE36" s="3">
        <v>2824028</v>
      </c>
      <c r="AF36" s="3">
        <v>2783257</v>
      </c>
      <c r="AG36" s="3">
        <v>2758700</v>
      </c>
      <c r="AH36" s="3">
        <v>2994049</v>
      </c>
      <c r="AI36" s="3">
        <v>3023468</v>
      </c>
    </row>
    <row r="37" spans="1:35" x14ac:dyDescent="0.3">
      <c r="A37" s="1" t="s">
        <v>126</v>
      </c>
      <c r="B37" s="3">
        <v>142072</v>
      </c>
      <c r="C37" s="3">
        <v>164260</v>
      </c>
      <c r="D37" s="3">
        <v>220611</v>
      </c>
      <c r="E37" s="3">
        <v>213934</v>
      </c>
      <c r="F37" s="3">
        <v>0</v>
      </c>
      <c r="G37" s="3">
        <v>223570</v>
      </c>
      <c r="H37" s="3">
        <v>245963</v>
      </c>
      <c r="I37" s="3">
        <v>222905</v>
      </c>
      <c r="J37" s="3">
        <v>0</v>
      </c>
      <c r="K37" s="3">
        <v>356159</v>
      </c>
      <c r="L37" s="3">
        <v>357392</v>
      </c>
      <c r="M37" s="3">
        <v>358970</v>
      </c>
      <c r="N37" s="3">
        <v>340281</v>
      </c>
      <c r="O37" s="3">
        <v>344485</v>
      </c>
      <c r="P37" s="3">
        <v>348566</v>
      </c>
      <c r="Q37" s="3">
        <v>368990</v>
      </c>
      <c r="R37" s="3">
        <v>354857</v>
      </c>
      <c r="S37" s="3">
        <v>369088</v>
      </c>
      <c r="T37" s="3">
        <v>377282</v>
      </c>
      <c r="U37" s="3">
        <v>399127</v>
      </c>
      <c r="V37" s="3">
        <v>234443</v>
      </c>
      <c r="W37" s="3">
        <v>241534</v>
      </c>
      <c r="X37" s="3">
        <v>254636</v>
      </c>
      <c r="Y37" s="3">
        <v>251846</v>
      </c>
      <c r="Z37" s="3">
        <v>237180</v>
      </c>
      <c r="AA37" s="3">
        <v>294684</v>
      </c>
      <c r="AB37" s="3">
        <v>326035</v>
      </c>
      <c r="AC37" s="3">
        <v>309525</v>
      </c>
      <c r="AD37" s="3">
        <v>347558</v>
      </c>
      <c r="AE37" s="3">
        <v>352231</v>
      </c>
      <c r="AF37" s="3">
        <v>362284</v>
      </c>
      <c r="AG37" s="3">
        <v>370361</v>
      </c>
      <c r="AH37" s="3">
        <v>344800</v>
      </c>
      <c r="AI37" s="3">
        <v>345787</v>
      </c>
    </row>
    <row r="38" spans="1:35" s="6" customFormat="1" x14ac:dyDescent="0.3">
      <c r="A38" s="6" t="s">
        <v>28</v>
      </c>
      <c r="B38" s="7">
        <f>+SUM(B33:B37)</f>
        <v>93727689</v>
      </c>
      <c r="C38" s="7">
        <f t="shared" ref="C38:F38" si="29">+SUM(C33:C37)</f>
        <v>97327865</v>
      </c>
      <c r="D38" s="7">
        <f t="shared" si="29"/>
        <v>99844732</v>
      </c>
      <c r="E38" s="7">
        <f t="shared" si="29"/>
        <v>97493593</v>
      </c>
      <c r="F38" s="7">
        <f t="shared" si="29"/>
        <v>94230201</v>
      </c>
      <c r="G38" s="7">
        <f t="shared" ref="G38:Z38" si="30">+SUM(G33:G37)</f>
        <v>94321861</v>
      </c>
      <c r="H38" s="7">
        <f t="shared" si="30"/>
        <v>95548622</v>
      </c>
      <c r="I38" s="7">
        <f t="shared" si="30"/>
        <v>95749444</v>
      </c>
      <c r="J38" s="7">
        <f t="shared" si="30"/>
        <v>97154492</v>
      </c>
      <c r="K38" s="7">
        <f t="shared" si="30"/>
        <v>98236987</v>
      </c>
      <c r="L38" s="7">
        <f t="shared" si="30"/>
        <v>98692311</v>
      </c>
      <c r="M38" s="7">
        <f t="shared" si="30"/>
        <v>98823017</v>
      </c>
      <c r="N38" s="7">
        <f t="shared" si="30"/>
        <v>103269302</v>
      </c>
      <c r="O38" s="7">
        <f t="shared" si="30"/>
        <v>104481135</v>
      </c>
      <c r="P38" s="7">
        <f t="shared" si="30"/>
        <v>105595962</v>
      </c>
      <c r="Q38" s="7">
        <f t="shared" si="30"/>
        <v>106982735</v>
      </c>
      <c r="R38" s="7">
        <f t="shared" si="30"/>
        <v>109350800</v>
      </c>
      <c r="S38" s="7">
        <f t="shared" si="30"/>
        <v>111750309</v>
      </c>
      <c r="T38" s="7">
        <f t="shared" si="30"/>
        <v>115824028</v>
      </c>
      <c r="U38" s="7">
        <f t="shared" si="30"/>
        <v>119590969</v>
      </c>
      <c r="V38" s="7">
        <f t="shared" si="30"/>
        <v>114614609</v>
      </c>
      <c r="W38" s="7">
        <f t="shared" si="30"/>
        <v>115958783</v>
      </c>
      <c r="X38" s="7">
        <f t="shared" si="30"/>
        <v>118158401</v>
      </c>
      <c r="Y38" s="7">
        <f t="shared" si="30"/>
        <v>119658640</v>
      </c>
      <c r="Z38" s="7">
        <f t="shared" si="30"/>
        <v>120204531</v>
      </c>
      <c r="AA38" s="7">
        <f t="shared" ref="AA38:AB38" si="31">+SUM(AA33:AA37)</f>
        <v>121076702</v>
      </c>
      <c r="AB38" s="7">
        <f t="shared" si="31"/>
        <v>122433605</v>
      </c>
      <c r="AC38" s="7">
        <f t="shared" ref="AC38:AD38" si="32">+SUM(AC33:AC37)</f>
        <v>123410747</v>
      </c>
      <c r="AD38" s="7">
        <f t="shared" si="32"/>
        <v>123377778</v>
      </c>
      <c r="AE38" s="7">
        <f t="shared" ref="AE38:AF38" si="33">+SUM(AE33:AE37)</f>
        <v>124831527</v>
      </c>
      <c r="AF38" s="7">
        <f t="shared" si="33"/>
        <v>126063903</v>
      </c>
      <c r="AG38" s="7">
        <f t="shared" ref="AG38:AH38" si="34">+SUM(AG33:AG37)</f>
        <v>114779342</v>
      </c>
      <c r="AH38" s="7">
        <f t="shared" si="34"/>
        <v>116667489</v>
      </c>
      <c r="AI38" s="7">
        <f t="shared" ref="AI38" si="35">+SUM(AI33:AI37)</f>
        <v>112810899</v>
      </c>
    </row>
    <row r="39" spans="1:35" x14ac:dyDescent="0.3">
      <c r="A39" s="6" t="s">
        <v>29</v>
      </c>
      <c r="B39" s="7">
        <f>+B38+B32</f>
        <v>95061300</v>
      </c>
      <c r="C39" s="7">
        <f t="shared" ref="C39:F39" si="36">+C38+C32</f>
        <v>98783681</v>
      </c>
      <c r="D39" s="7">
        <f t="shared" si="36"/>
        <v>100380037</v>
      </c>
      <c r="E39" s="7">
        <f t="shared" si="36"/>
        <v>98535686</v>
      </c>
      <c r="F39" s="7">
        <f t="shared" si="36"/>
        <v>94691015</v>
      </c>
      <c r="G39" s="7">
        <f t="shared" ref="G39:Z39" si="37">+G38+G32</f>
        <v>94891441</v>
      </c>
      <c r="H39" s="7">
        <f t="shared" si="37"/>
        <v>95953206</v>
      </c>
      <c r="I39" s="7">
        <f t="shared" si="37"/>
        <v>97246018</v>
      </c>
      <c r="J39" s="7">
        <f t="shared" si="37"/>
        <v>98254795</v>
      </c>
      <c r="K39" s="7">
        <f t="shared" si="37"/>
        <v>99334621</v>
      </c>
      <c r="L39" s="7">
        <f t="shared" si="37"/>
        <v>99131516</v>
      </c>
      <c r="M39" s="7">
        <f t="shared" si="37"/>
        <v>99430934</v>
      </c>
      <c r="N39" s="7">
        <f t="shared" si="37"/>
        <v>104113369</v>
      </c>
      <c r="O39" s="7">
        <f t="shared" si="37"/>
        <v>105578973</v>
      </c>
      <c r="P39" s="7">
        <f t="shared" si="37"/>
        <v>106149888</v>
      </c>
      <c r="Q39" s="7">
        <f t="shared" si="37"/>
        <v>107807664</v>
      </c>
      <c r="R39" s="7">
        <f t="shared" si="37"/>
        <v>110575853</v>
      </c>
      <c r="S39" s="7">
        <f t="shared" si="37"/>
        <v>113381553</v>
      </c>
      <c r="T39" s="7">
        <f t="shared" si="37"/>
        <v>116430525</v>
      </c>
      <c r="U39" s="7">
        <f t="shared" si="37"/>
        <v>120203719</v>
      </c>
      <c r="V39" s="7">
        <f t="shared" si="37"/>
        <v>115424884</v>
      </c>
      <c r="W39" s="7">
        <f t="shared" si="37"/>
        <v>117384622</v>
      </c>
      <c r="X39" s="7">
        <f t="shared" si="37"/>
        <v>119108100</v>
      </c>
      <c r="Y39" s="7">
        <f t="shared" si="37"/>
        <v>120082606</v>
      </c>
      <c r="Z39" s="7">
        <f t="shared" si="37"/>
        <v>121276650</v>
      </c>
      <c r="AA39" s="7">
        <f t="shared" ref="AA39:AB39" si="38">+AA38+AA32</f>
        <v>122301074</v>
      </c>
      <c r="AB39" s="7">
        <f t="shared" si="38"/>
        <v>123325361</v>
      </c>
      <c r="AC39" s="7">
        <f t="shared" ref="AC39:AD39" si="39">+AC38+AC32</f>
        <v>124484309</v>
      </c>
      <c r="AD39" s="7">
        <f t="shared" si="39"/>
        <v>124236715</v>
      </c>
      <c r="AE39" s="7">
        <f t="shared" ref="AE39:AF39" si="40">+AE38+AE32</f>
        <v>125782849</v>
      </c>
      <c r="AF39" s="7">
        <f t="shared" si="40"/>
        <v>126768030</v>
      </c>
      <c r="AG39" s="7">
        <f t="shared" ref="AG39:AH39" si="41">+AG38+AG32</f>
        <v>115449912</v>
      </c>
      <c r="AH39" s="7">
        <f t="shared" si="41"/>
        <v>118078121</v>
      </c>
      <c r="AI39" s="7">
        <f t="shared" ref="AI39" si="42">+AI38+AI32</f>
        <v>114447546</v>
      </c>
    </row>
    <row r="40" spans="1:35" x14ac:dyDescent="0.3">
      <c r="A40" s="6" t="s">
        <v>127</v>
      </c>
      <c r="B40" s="3"/>
      <c r="C40" s="3"/>
      <c r="D40" s="3"/>
      <c r="E40" s="3"/>
      <c r="F40" s="3"/>
      <c r="G40" s="3"/>
      <c r="H40" s="3"/>
      <c r="I40" s="3"/>
      <c r="J40" s="3"/>
      <c r="K40" s="3"/>
      <c r="L40" s="3"/>
      <c r="M40" s="3"/>
      <c r="N40" s="3"/>
      <c r="O40" s="3"/>
      <c r="P40" s="3"/>
      <c r="Q40" s="3"/>
      <c r="R40" s="3"/>
      <c r="S40" s="3"/>
      <c r="T40" s="3"/>
      <c r="U40" s="3"/>
      <c r="V40" s="3"/>
    </row>
    <row r="41" spans="1:35" x14ac:dyDescent="0.3">
      <c r="A41" s="1" t="s">
        <v>128</v>
      </c>
      <c r="B41" s="3">
        <v>4000000</v>
      </c>
      <c r="C41" s="3">
        <v>4000000</v>
      </c>
      <c r="D41" s="3">
        <v>4000000</v>
      </c>
      <c r="E41" s="3">
        <v>4000000</v>
      </c>
      <c r="F41" s="3">
        <v>4000000</v>
      </c>
      <c r="G41" s="3">
        <v>4000000</v>
      </c>
      <c r="H41" s="3">
        <v>4000000</v>
      </c>
      <c r="I41" s="3">
        <v>4000000</v>
      </c>
      <c r="J41" s="3">
        <v>4000000</v>
      </c>
      <c r="K41" s="3">
        <v>4000000</v>
      </c>
      <c r="L41" s="3">
        <v>4000000</v>
      </c>
      <c r="M41" s="3">
        <v>4000000</v>
      </c>
      <c r="N41" s="3">
        <v>4000000</v>
      </c>
      <c r="O41" s="3">
        <v>4000000</v>
      </c>
      <c r="P41" s="3">
        <v>4000000</v>
      </c>
      <c r="Q41" s="3">
        <v>4000000</v>
      </c>
      <c r="R41" s="3">
        <v>4000000</v>
      </c>
      <c r="S41" s="3">
        <v>4000000</v>
      </c>
      <c r="T41" s="3">
        <v>4000000</v>
      </c>
      <c r="U41" s="3">
        <v>4000000</v>
      </c>
      <c r="V41" s="3">
        <v>10119013</v>
      </c>
      <c r="W41" s="3">
        <v>10119013</v>
      </c>
      <c r="X41" s="3">
        <v>10119013</v>
      </c>
      <c r="Y41" s="3">
        <v>10119013</v>
      </c>
      <c r="Z41" s="3">
        <v>10119013</v>
      </c>
      <c r="AA41" s="3">
        <v>13349013</v>
      </c>
      <c r="AB41" s="3">
        <v>13349013</v>
      </c>
      <c r="AC41" s="3">
        <v>13349013</v>
      </c>
      <c r="AD41" s="3">
        <v>14347454</v>
      </c>
      <c r="AE41" s="3">
        <v>14347454</v>
      </c>
      <c r="AF41" s="3">
        <v>14347454</v>
      </c>
      <c r="AG41" s="3">
        <v>26406940</v>
      </c>
      <c r="AH41" s="3">
        <v>26406940</v>
      </c>
      <c r="AI41" s="3">
        <v>26406940</v>
      </c>
    </row>
    <row r="42" spans="1:35" x14ac:dyDescent="0.3">
      <c r="A42" s="1" t="s">
        <v>32</v>
      </c>
      <c r="B42" s="3">
        <v>0</v>
      </c>
      <c r="C42" s="3">
        <v>0</v>
      </c>
      <c r="D42" s="3">
        <v>0</v>
      </c>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row>
    <row r="43" spans="1:35" x14ac:dyDescent="0.3">
      <c r="A43" s="1" t="s">
        <v>33</v>
      </c>
      <c r="B43" s="3">
        <v>559489</v>
      </c>
      <c r="C43" s="3">
        <v>63408</v>
      </c>
      <c r="D43" s="3">
        <v>915813</v>
      </c>
      <c r="E43" s="3">
        <v>4106651</v>
      </c>
      <c r="F43" s="3">
        <v>5324362</v>
      </c>
      <c r="G43" s="3">
        <v>5322709</v>
      </c>
      <c r="H43" s="3">
        <v>5365644</v>
      </c>
      <c r="I43" s="3">
        <v>5980323</v>
      </c>
      <c r="J43" s="3">
        <v>2294652</v>
      </c>
      <c r="K43" s="3">
        <v>2331456</v>
      </c>
      <c r="L43" s="3">
        <v>2481165</v>
      </c>
      <c r="M43" s="3">
        <v>2288655</v>
      </c>
      <c r="N43" s="3">
        <v>3847999</v>
      </c>
      <c r="O43" s="3">
        <v>2587471</v>
      </c>
      <c r="P43" s="3">
        <v>2472321</v>
      </c>
      <c r="Q43" s="3">
        <v>2571354</v>
      </c>
      <c r="R43" s="3">
        <v>570888</v>
      </c>
      <c r="S43" s="3">
        <v>555578</v>
      </c>
      <c r="T43" s="3">
        <v>-431617</v>
      </c>
      <c r="U43" s="3">
        <v>-624185</v>
      </c>
      <c r="V43" s="3">
        <v>-7029437</v>
      </c>
      <c r="W43" s="3">
        <v>-7254041</v>
      </c>
      <c r="X43" s="3">
        <v>-7492733</v>
      </c>
      <c r="Y43" s="3">
        <v>-7642425</v>
      </c>
      <c r="Z43" s="3">
        <v>-11050458</v>
      </c>
      <c r="AA43" s="3">
        <v>-11483001</v>
      </c>
      <c r="AB43" s="3">
        <v>-11697073</v>
      </c>
      <c r="AC43" s="3">
        <v>-11768633</v>
      </c>
      <c r="AD43" s="3">
        <v>-13381433</v>
      </c>
      <c r="AE43" s="3">
        <v>-13287840</v>
      </c>
      <c r="AF43" s="3">
        <v>-13264316</v>
      </c>
      <c r="AG43" s="3">
        <v>-13060509</v>
      </c>
      <c r="AH43" s="3">
        <v>-12213045</v>
      </c>
      <c r="AI43" s="3">
        <v>-12243920</v>
      </c>
    </row>
    <row r="44" spans="1:35" s="6" customFormat="1" x14ac:dyDescent="0.3">
      <c r="A44" s="6" t="s">
        <v>129</v>
      </c>
      <c r="B44" s="7">
        <f t="shared" ref="B44:Z44" si="43">+SUM(B40:B43)</f>
        <v>4559489</v>
      </c>
      <c r="C44" s="7">
        <f t="shared" si="43"/>
        <v>4063408</v>
      </c>
      <c r="D44" s="7">
        <f t="shared" si="43"/>
        <v>4915813</v>
      </c>
      <c r="E44" s="7">
        <f t="shared" si="43"/>
        <v>8106651</v>
      </c>
      <c r="F44" s="7">
        <f t="shared" si="43"/>
        <v>9324362</v>
      </c>
      <c r="G44" s="7">
        <f t="shared" si="43"/>
        <v>9322709</v>
      </c>
      <c r="H44" s="7">
        <f t="shared" si="43"/>
        <v>9365644</v>
      </c>
      <c r="I44" s="7">
        <f t="shared" si="43"/>
        <v>9980323</v>
      </c>
      <c r="J44" s="7">
        <f t="shared" si="43"/>
        <v>6294652</v>
      </c>
      <c r="K44" s="7">
        <f t="shared" si="43"/>
        <v>6331456</v>
      </c>
      <c r="L44" s="7">
        <f t="shared" si="43"/>
        <v>6481165</v>
      </c>
      <c r="M44" s="7">
        <f t="shared" si="43"/>
        <v>6288655</v>
      </c>
      <c r="N44" s="7">
        <f t="shared" si="43"/>
        <v>7847999</v>
      </c>
      <c r="O44" s="7">
        <f t="shared" si="43"/>
        <v>6587471</v>
      </c>
      <c r="P44" s="7">
        <f t="shared" si="43"/>
        <v>6472321</v>
      </c>
      <c r="Q44" s="7">
        <f t="shared" si="43"/>
        <v>6571354</v>
      </c>
      <c r="R44" s="7">
        <f t="shared" si="43"/>
        <v>4570888</v>
      </c>
      <c r="S44" s="7">
        <f t="shared" si="43"/>
        <v>4555578</v>
      </c>
      <c r="T44" s="7">
        <f t="shared" si="43"/>
        <v>3568383</v>
      </c>
      <c r="U44" s="7">
        <f t="shared" si="43"/>
        <v>3375815</v>
      </c>
      <c r="V44" s="7">
        <f t="shared" si="43"/>
        <v>3089576</v>
      </c>
      <c r="W44" s="7">
        <f t="shared" si="43"/>
        <v>2864972</v>
      </c>
      <c r="X44" s="7">
        <f t="shared" si="43"/>
        <v>2626280</v>
      </c>
      <c r="Y44" s="7">
        <f t="shared" si="43"/>
        <v>2476588</v>
      </c>
      <c r="Z44" s="7">
        <f t="shared" si="43"/>
        <v>-931445</v>
      </c>
      <c r="AA44" s="7">
        <f t="shared" ref="AA44:AB44" si="44">+SUM(AA40:AA43)</f>
        <v>1866012</v>
      </c>
      <c r="AB44" s="7">
        <f t="shared" si="44"/>
        <v>1651940</v>
      </c>
      <c r="AC44" s="7">
        <f t="shared" ref="AC44:AD44" si="45">+SUM(AC40:AC43)</f>
        <v>1580380</v>
      </c>
      <c r="AD44" s="7">
        <f t="shared" si="45"/>
        <v>966021</v>
      </c>
      <c r="AE44" s="7">
        <f t="shared" ref="AE44:AF44" si="46">+SUM(AE40:AE43)</f>
        <v>1059614</v>
      </c>
      <c r="AF44" s="7">
        <f t="shared" si="46"/>
        <v>1083138</v>
      </c>
      <c r="AG44" s="7">
        <f t="shared" ref="AG44:AH44" si="47">+SUM(AG40:AG43)</f>
        <v>13346431</v>
      </c>
      <c r="AH44" s="7">
        <f t="shared" si="47"/>
        <v>14193895</v>
      </c>
      <c r="AI44" s="7">
        <f t="shared" ref="AI44" si="48">+SUM(AI40:AI43)</f>
        <v>14163020</v>
      </c>
    </row>
    <row r="45" spans="1:35" s="8" customFormat="1" x14ac:dyDescent="0.3">
      <c r="A45" s="8" t="s">
        <v>130</v>
      </c>
      <c r="B45" s="9"/>
      <c r="C45" s="9"/>
      <c r="D45" s="9"/>
      <c r="E45" s="9"/>
      <c r="F45" s="9"/>
      <c r="G45" s="9"/>
      <c r="H45" s="9"/>
      <c r="I45" s="9"/>
      <c r="J45" s="9"/>
      <c r="K45" s="9"/>
      <c r="L45" s="9"/>
      <c r="M45" s="9"/>
      <c r="N45" s="9"/>
      <c r="O45" s="9"/>
      <c r="P45" s="9"/>
      <c r="Q45" s="9"/>
      <c r="R45" s="9"/>
      <c r="S45" s="9"/>
      <c r="T45" s="9"/>
      <c r="U45" s="9"/>
      <c r="V45" s="9"/>
    </row>
    <row r="46" spans="1:35" x14ac:dyDescent="0.3">
      <c r="A46" s="6" t="s">
        <v>131</v>
      </c>
      <c r="B46" s="7">
        <f>+B44+B39+B45</f>
        <v>99620789</v>
      </c>
      <c r="C46" s="7">
        <f t="shared" ref="C46:F46" si="49">+C44+C39+C45</f>
        <v>102847089</v>
      </c>
      <c r="D46" s="7">
        <f t="shared" si="49"/>
        <v>105295850</v>
      </c>
      <c r="E46" s="7">
        <f t="shared" si="49"/>
        <v>106642337</v>
      </c>
      <c r="F46" s="7">
        <f t="shared" si="49"/>
        <v>104015377</v>
      </c>
      <c r="G46" s="7">
        <f t="shared" ref="G46:Z46" si="50">+G44+G39+G45</f>
        <v>104214150</v>
      </c>
      <c r="H46" s="7">
        <f t="shared" si="50"/>
        <v>105318850</v>
      </c>
      <c r="I46" s="7">
        <f t="shared" si="50"/>
        <v>107226341</v>
      </c>
      <c r="J46" s="7">
        <f t="shared" si="50"/>
        <v>104549447</v>
      </c>
      <c r="K46" s="7">
        <f t="shared" si="50"/>
        <v>105666077</v>
      </c>
      <c r="L46" s="7">
        <f t="shared" si="50"/>
        <v>105612681</v>
      </c>
      <c r="M46" s="7">
        <f t="shared" si="50"/>
        <v>105719589</v>
      </c>
      <c r="N46" s="7">
        <f t="shared" si="50"/>
        <v>111961368</v>
      </c>
      <c r="O46" s="7">
        <f t="shared" si="50"/>
        <v>112166444</v>
      </c>
      <c r="P46" s="7">
        <f t="shared" si="50"/>
        <v>112622209</v>
      </c>
      <c r="Q46" s="7">
        <f t="shared" si="50"/>
        <v>114379018</v>
      </c>
      <c r="R46" s="7">
        <f t="shared" si="50"/>
        <v>115146741</v>
      </c>
      <c r="S46" s="7">
        <f t="shared" si="50"/>
        <v>117937131</v>
      </c>
      <c r="T46" s="7">
        <f t="shared" si="50"/>
        <v>119998908</v>
      </c>
      <c r="U46" s="7">
        <f t="shared" si="50"/>
        <v>123579534</v>
      </c>
      <c r="V46" s="7">
        <f t="shared" si="50"/>
        <v>118514460</v>
      </c>
      <c r="W46" s="7">
        <f t="shared" si="50"/>
        <v>120249594</v>
      </c>
      <c r="X46" s="7">
        <f t="shared" si="50"/>
        <v>121734380</v>
      </c>
      <c r="Y46" s="7">
        <f t="shared" si="50"/>
        <v>122559194</v>
      </c>
      <c r="Z46" s="7">
        <f t="shared" si="50"/>
        <v>120345205</v>
      </c>
      <c r="AA46" s="7">
        <f t="shared" ref="AA46:AB46" si="51">+AA44+AA39+AA45</f>
        <v>124167086</v>
      </c>
      <c r="AB46" s="7">
        <f t="shared" si="51"/>
        <v>124977301</v>
      </c>
      <c r="AC46" s="7">
        <f t="shared" ref="AC46:AD46" si="52">+AC44+AC39+AC45</f>
        <v>126064689</v>
      </c>
      <c r="AD46" s="7">
        <f t="shared" si="52"/>
        <v>125202736</v>
      </c>
      <c r="AE46" s="7">
        <f t="shared" ref="AE46:AF46" si="53">+AE44+AE39+AE45</f>
        <v>126842463</v>
      </c>
      <c r="AF46" s="7">
        <f t="shared" si="53"/>
        <v>127851168</v>
      </c>
      <c r="AG46" s="7">
        <f t="shared" ref="AG46:AH46" si="54">+AG44+AG39+AG45</f>
        <v>128796343</v>
      </c>
      <c r="AH46" s="7">
        <f t="shared" si="54"/>
        <v>132272016</v>
      </c>
      <c r="AI46" s="7">
        <f t="shared" ref="AI46" si="55">+AI44+AI39+AI45</f>
        <v>128610566</v>
      </c>
    </row>
    <row r="47" spans="1:35" x14ac:dyDescent="0.3">
      <c r="A47" s="1" t="s">
        <v>38</v>
      </c>
      <c r="B47" s="4" t="str">
        <f>IF((+B46-B22)=0,"ok","error")</f>
        <v>ok</v>
      </c>
      <c r="C47" s="4" t="str">
        <f t="shared" ref="C47:F47" si="56">IF((+C46-C22)=0,"ok","error")</f>
        <v>ok</v>
      </c>
      <c r="D47" s="4" t="str">
        <f t="shared" si="56"/>
        <v>ok</v>
      </c>
      <c r="E47" s="4" t="str">
        <f t="shared" si="56"/>
        <v>ok</v>
      </c>
      <c r="F47" s="4" t="str">
        <f t="shared" si="56"/>
        <v>ok</v>
      </c>
      <c r="G47" s="4" t="str">
        <f t="shared" ref="G47:Z47" si="57">IF((+G46-G22)=0,"ok","error")</f>
        <v>ok</v>
      </c>
      <c r="H47" s="4" t="str">
        <f t="shared" si="57"/>
        <v>ok</v>
      </c>
      <c r="I47" s="4" t="str">
        <f t="shared" si="57"/>
        <v>ok</v>
      </c>
      <c r="J47" s="4" t="str">
        <f t="shared" si="57"/>
        <v>ok</v>
      </c>
      <c r="K47" s="4" t="str">
        <f t="shared" si="57"/>
        <v>ok</v>
      </c>
      <c r="L47" s="4" t="str">
        <f t="shared" si="57"/>
        <v>ok</v>
      </c>
      <c r="M47" s="4" t="str">
        <f t="shared" si="57"/>
        <v>ok</v>
      </c>
      <c r="N47" s="4" t="str">
        <f t="shared" si="57"/>
        <v>ok</v>
      </c>
      <c r="O47" s="4" t="str">
        <f t="shared" si="57"/>
        <v>ok</v>
      </c>
      <c r="P47" s="4" t="str">
        <f t="shared" si="57"/>
        <v>ok</v>
      </c>
      <c r="Q47" s="4" t="str">
        <f t="shared" si="57"/>
        <v>ok</v>
      </c>
      <c r="R47" s="4" t="str">
        <f t="shared" si="57"/>
        <v>ok</v>
      </c>
      <c r="S47" s="4" t="str">
        <f t="shared" si="57"/>
        <v>ok</v>
      </c>
      <c r="T47" s="4" t="str">
        <f t="shared" si="57"/>
        <v>ok</v>
      </c>
      <c r="U47" s="4" t="str">
        <f t="shared" si="57"/>
        <v>ok</v>
      </c>
      <c r="V47" s="4" t="str">
        <f t="shared" si="57"/>
        <v>ok</v>
      </c>
      <c r="W47" s="4" t="str">
        <f t="shared" si="57"/>
        <v>ok</v>
      </c>
      <c r="X47" s="4" t="str">
        <f t="shared" si="57"/>
        <v>ok</v>
      </c>
      <c r="Y47" s="4" t="str">
        <f t="shared" si="57"/>
        <v>ok</v>
      </c>
      <c r="Z47" s="4" t="str">
        <f t="shared" si="57"/>
        <v>ok</v>
      </c>
      <c r="AA47" s="4" t="str">
        <f t="shared" ref="AA47:AB47" si="58">IF((+AA46-AA22)=0,"ok","error")</f>
        <v>ok</v>
      </c>
      <c r="AB47" s="4" t="str">
        <f t="shared" si="58"/>
        <v>ok</v>
      </c>
      <c r="AC47" s="4" t="str">
        <f t="shared" ref="AC47:AD47" si="59">IF((+AC46-AC22)=0,"ok","error")</f>
        <v>ok</v>
      </c>
      <c r="AD47" s="4" t="str">
        <f t="shared" si="59"/>
        <v>ok</v>
      </c>
      <c r="AE47" s="4" t="str">
        <f t="shared" ref="AE47:AF47" si="60">IF((+AE46-AE22)=0,"ok","error")</f>
        <v>ok</v>
      </c>
      <c r="AF47" s="4" t="str">
        <f t="shared" si="60"/>
        <v>ok</v>
      </c>
      <c r="AG47" s="4" t="str">
        <f t="shared" ref="AG47:AH47" si="61">IF((+AG46-AG22)=0,"ok","error")</f>
        <v>ok</v>
      </c>
      <c r="AH47" s="4" t="str">
        <f t="shared" si="61"/>
        <v>ok</v>
      </c>
      <c r="AI47" s="4" t="str">
        <f t="shared" ref="AI47" si="62">IF((+AI46-AI22)=0,"ok","error")</f>
        <v>ok</v>
      </c>
    </row>
    <row r="48" spans="1:35"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5" x14ac:dyDescent="0.3">
      <c r="A49" s="1" t="s">
        <v>133</v>
      </c>
      <c r="B49" s="3"/>
      <c r="C49" s="3"/>
      <c r="D49" s="3"/>
      <c r="E49" s="3"/>
      <c r="F49" s="3"/>
      <c r="G49" s="3"/>
      <c r="H49" s="3"/>
      <c r="I49" s="3"/>
      <c r="J49" s="3"/>
      <c r="K49" s="3"/>
      <c r="L49" s="3"/>
      <c r="M49" s="3"/>
      <c r="N49" s="3"/>
      <c r="O49" s="3"/>
      <c r="P49" s="3"/>
      <c r="Q49" s="3"/>
      <c r="R49" s="3"/>
      <c r="S49" s="3"/>
      <c r="T49" s="3"/>
      <c r="U49" s="3"/>
      <c r="V49" s="3"/>
    </row>
    <row r="50" spans="1:35" x14ac:dyDescent="0.3">
      <c r="A50" s="1" t="s">
        <v>134</v>
      </c>
      <c r="B50" s="3">
        <v>7556990</v>
      </c>
      <c r="C50" s="3">
        <v>7834772</v>
      </c>
      <c r="D50" s="3">
        <v>8094290</v>
      </c>
      <c r="E50" s="3">
        <v>8234184</v>
      </c>
      <c r="F50" s="3">
        <v>7708436</v>
      </c>
      <c r="G50" s="3">
        <v>1888194</v>
      </c>
      <c r="H50" s="3">
        <v>3808347</v>
      </c>
      <c r="I50" s="3">
        <v>5767978</v>
      </c>
      <c r="J50" s="3">
        <v>7680282</v>
      </c>
      <c r="K50" s="3">
        <v>1920927</v>
      </c>
      <c r="L50" s="3">
        <v>3883505</v>
      </c>
      <c r="M50" s="3">
        <v>5812518</v>
      </c>
      <c r="N50" s="3">
        <v>7677597</v>
      </c>
      <c r="O50" s="3">
        <v>1873179</v>
      </c>
      <c r="P50" s="3">
        <v>3702278</v>
      </c>
      <c r="Q50" s="3">
        <v>5512144</v>
      </c>
      <c r="R50" s="3">
        <v>7390882</v>
      </c>
      <c r="S50" s="3">
        <v>1659231</v>
      </c>
      <c r="T50" s="3">
        <v>3327685</v>
      </c>
      <c r="U50" s="3">
        <v>4870177</v>
      </c>
      <c r="V50" s="3">
        <v>6478569</v>
      </c>
      <c r="W50" s="3">
        <v>1600351</v>
      </c>
      <c r="X50" s="3">
        <v>3210935</v>
      </c>
      <c r="Y50" s="3">
        <v>4808592</v>
      </c>
      <c r="Z50" s="3">
        <v>6462514</v>
      </c>
      <c r="AA50" s="3">
        <v>1726623</v>
      </c>
      <c r="AB50" s="3">
        <v>3565430</v>
      </c>
      <c r="AC50" s="3">
        <v>5620101</v>
      </c>
      <c r="AD50" s="3">
        <v>7780209</v>
      </c>
      <c r="AE50" s="3">
        <v>2260519</v>
      </c>
      <c r="AF50" s="3">
        <v>4557559</v>
      </c>
      <c r="AG50" s="3">
        <v>6861889</v>
      </c>
      <c r="AH50" s="3">
        <v>8628935</v>
      </c>
      <c r="AI50" s="3">
        <v>1963221</v>
      </c>
    </row>
    <row r="51" spans="1:35" x14ac:dyDescent="0.3">
      <c r="A51" s="1" t="s">
        <v>135</v>
      </c>
      <c r="B51" s="3">
        <v>-461232</v>
      </c>
      <c r="C51" s="3">
        <v>-569966</v>
      </c>
      <c r="D51" s="3">
        <v>-1667271</v>
      </c>
      <c r="E51" s="3">
        <v>-1810852</v>
      </c>
      <c r="F51" s="3">
        <v>-1758603</v>
      </c>
      <c r="G51" s="3">
        <v>-391706</v>
      </c>
      <c r="H51" s="3">
        <v>-807438</v>
      </c>
      <c r="I51" s="3">
        <v>-1250663</v>
      </c>
      <c r="J51" s="3">
        <v>-1683512</v>
      </c>
      <c r="K51" s="3">
        <v>-431063</v>
      </c>
      <c r="L51" s="3">
        <v>-873374</v>
      </c>
      <c r="M51" s="3">
        <v>-1286272</v>
      </c>
      <c r="N51" s="3">
        <v>-1792595</v>
      </c>
      <c r="O51" s="3">
        <v>-490889</v>
      </c>
      <c r="P51" s="3">
        <v>-991325</v>
      </c>
      <c r="Q51" s="3">
        <v>-1478510</v>
      </c>
      <c r="R51" s="3">
        <v>-2006280</v>
      </c>
      <c r="S51" s="3">
        <v>-568919</v>
      </c>
      <c r="T51" s="3">
        <v>-1189413</v>
      </c>
      <c r="U51" s="3">
        <v>-1827794</v>
      </c>
      <c r="V51" s="3">
        <v>-2476269</v>
      </c>
      <c r="W51" s="3">
        <v>-678893</v>
      </c>
      <c r="X51" s="3">
        <v>-1405768</v>
      </c>
      <c r="Y51" s="3">
        <v>-2118663</v>
      </c>
      <c r="Z51" s="3">
        <v>-3078246</v>
      </c>
      <c r="AA51" s="3">
        <v>-786057</v>
      </c>
      <c r="AB51" s="3">
        <v>-1430252</v>
      </c>
      <c r="AC51" s="3">
        <v>-2056722</v>
      </c>
      <c r="AD51" s="3">
        <v>-2693540</v>
      </c>
      <c r="AE51" s="3">
        <v>-648104</v>
      </c>
      <c r="AF51" s="3">
        <v>-1266234</v>
      </c>
      <c r="AG51" s="3">
        <v>-1907636</v>
      </c>
      <c r="AH51" s="3">
        <v>-2519810</v>
      </c>
      <c r="AI51" s="3">
        <v>-659198</v>
      </c>
    </row>
    <row r="52" spans="1:35" s="6" customFormat="1" x14ac:dyDescent="0.3">
      <c r="A52" s="6" t="s">
        <v>136</v>
      </c>
      <c r="B52" s="7">
        <f>+SUM(B50:B51)</f>
        <v>7095758</v>
      </c>
      <c r="C52" s="7">
        <f t="shared" ref="C52:Z52" si="63">+SUM(C50:C51)</f>
        <v>7264806</v>
      </c>
      <c r="D52" s="7">
        <f t="shared" si="63"/>
        <v>6427019</v>
      </c>
      <c r="E52" s="7">
        <f t="shared" si="63"/>
        <v>6423332</v>
      </c>
      <c r="F52" s="7">
        <f t="shared" si="63"/>
        <v>5949833</v>
      </c>
      <c r="G52" s="7">
        <f t="shared" si="63"/>
        <v>1496488</v>
      </c>
      <c r="H52" s="7">
        <f t="shared" si="63"/>
        <v>3000909</v>
      </c>
      <c r="I52" s="7">
        <f t="shared" si="63"/>
        <v>4517315</v>
      </c>
      <c r="J52" s="7">
        <f t="shared" si="63"/>
        <v>5996770</v>
      </c>
      <c r="K52" s="7">
        <f t="shared" si="63"/>
        <v>1489864</v>
      </c>
      <c r="L52" s="7">
        <f t="shared" si="63"/>
        <v>3010131</v>
      </c>
      <c r="M52" s="7">
        <f t="shared" si="63"/>
        <v>4526246</v>
      </c>
      <c r="N52" s="7">
        <f t="shared" si="63"/>
        <v>5885002</v>
      </c>
      <c r="O52" s="7">
        <f t="shared" si="63"/>
        <v>1382290</v>
      </c>
      <c r="P52" s="7">
        <f t="shared" si="63"/>
        <v>2710953</v>
      </c>
      <c r="Q52" s="7">
        <f t="shared" si="63"/>
        <v>4033634</v>
      </c>
      <c r="R52" s="7">
        <f t="shared" si="63"/>
        <v>5384602</v>
      </c>
      <c r="S52" s="7">
        <f t="shared" si="63"/>
        <v>1090312</v>
      </c>
      <c r="T52" s="7">
        <f t="shared" si="63"/>
        <v>2138272</v>
      </c>
      <c r="U52" s="7">
        <f t="shared" si="63"/>
        <v>3042383</v>
      </c>
      <c r="V52" s="7">
        <f t="shared" si="63"/>
        <v>4002300</v>
      </c>
      <c r="W52" s="7">
        <f t="shared" si="63"/>
        <v>921458</v>
      </c>
      <c r="X52" s="7">
        <f t="shared" si="63"/>
        <v>1805167</v>
      </c>
      <c r="Y52" s="7">
        <f t="shared" si="63"/>
        <v>2689929</v>
      </c>
      <c r="Z52" s="7">
        <f t="shared" si="63"/>
        <v>3384268</v>
      </c>
      <c r="AA52" s="7">
        <f t="shared" ref="AA52:AD52" si="64">+SUM(AA50:AA51)</f>
        <v>940566</v>
      </c>
      <c r="AB52" s="7">
        <f t="shared" si="64"/>
        <v>2135178</v>
      </c>
      <c r="AC52" s="7">
        <f t="shared" si="64"/>
        <v>3563379</v>
      </c>
      <c r="AD52" s="7">
        <f t="shared" si="64"/>
        <v>5086669</v>
      </c>
      <c r="AE52" s="7">
        <f t="shared" ref="AE52:AF52" si="65">+SUM(AE50:AE51)</f>
        <v>1612415</v>
      </c>
      <c r="AF52" s="7">
        <f t="shared" si="65"/>
        <v>3291325</v>
      </c>
      <c r="AG52" s="7">
        <f t="shared" ref="AG52:AH52" si="66">+SUM(AG50:AG51)</f>
        <v>4954253</v>
      </c>
      <c r="AH52" s="7">
        <f t="shared" si="66"/>
        <v>6109125</v>
      </c>
      <c r="AI52" s="7">
        <f t="shared" ref="AI52" si="67">+SUM(AI50:AI51)</f>
        <v>1304023</v>
      </c>
    </row>
    <row r="53" spans="1:35" x14ac:dyDescent="0.3">
      <c r="A53" s="1" t="s">
        <v>137</v>
      </c>
      <c r="B53" s="3">
        <v>0</v>
      </c>
      <c r="C53" s="3">
        <v>0</v>
      </c>
      <c r="D53" s="3">
        <v>0</v>
      </c>
      <c r="E53" s="14">
        <v>0</v>
      </c>
      <c r="F53" s="3">
        <v>0</v>
      </c>
      <c r="G53" s="3">
        <v>0</v>
      </c>
      <c r="H53" s="3">
        <v>0</v>
      </c>
      <c r="I53" s="3">
        <v>0</v>
      </c>
      <c r="J53" s="3">
        <v>0</v>
      </c>
      <c r="K53" s="3">
        <v>0</v>
      </c>
      <c r="L53" s="3">
        <v>0</v>
      </c>
      <c r="M53" s="3">
        <v>0</v>
      </c>
      <c r="N53" s="3">
        <v>8709</v>
      </c>
      <c r="O53" s="3">
        <v>46</v>
      </c>
      <c r="P53" s="3">
        <v>46</v>
      </c>
      <c r="Q53" s="3">
        <v>46</v>
      </c>
      <c r="R53" s="3">
        <v>4030942</v>
      </c>
      <c r="S53" s="3">
        <v>0</v>
      </c>
      <c r="T53" s="3">
        <v>3727</v>
      </c>
      <c r="U53" s="3">
        <v>3727</v>
      </c>
      <c r="V53" s="3">
        <v>0</v>
      </c>
      <c r="W53" s="3">
        <v>0</v>
      </c>
      <c r="X53" s="3">
        <v>0</v>
      </c>
      <c r="Y53" s="3">
        <v>53665</v>
      </c>
      <c r="Z53" s="3">
        <v>53664</v>
      </c>
      <c r="AA53" s="3">
        <v>3513</v>
      </c>
      <c r="AB53" s="3">
        <v>9863</v>
      </c>
      <c r="AC53" s="3">
        <v>65507</v>
      </c>
      <c r="AD53" s="3">
        <v>65630</v>
      </c>
      <c r="AE53" s="3">
        <v>0</v>
      </c>
      <c r="AF53" s="3">
        <v>0</v>
      </c>
      <c r="AG53" s="3">
        <v>2541</v>
      </c>
      <c r="AH53" s="3">
        <v>3129</v>
      </c>
      <c r="AI53" s="3">
        <v>693</v>
      </c>
    </row>
    <row r="54" spans="1:35" x14ac:dyDescent="0.3">
      <c r="A54" s="1" t="s">
        <v>138</v>
      </c>
      <c r="B54" s="3">
        <v>-139986</v>
      </c>
      <c r="C54" s="3">
        <v>-91258</v>
      </c>
      <c r="D54" s="3">
        <v>-57231</v>
      </c>
      <c r="E54" s="3">
        <v>-74896</v>
      </c>
      <c r="F54" s="3">
        <v>-93416</v>
      </c>
      <c r="G54" s="3">
        <v>-11457</v>
      </c>
      <c r="H54" s="3">
        <v>-26267</v>
      </c>
      <c r="I54" s="3">
        <v>-46568</v>
      </c>
      <c r="J54" s="3">
        <v>-83977</v>
      </c>
      <c r="K54" s="3">
        <v>-11233</v>
      </c>
      <c r="L54" s="3">
        <v>-27494</v>
      </c>
      <c r="M54" s="3">
        <v>-73716</v>
      </c>
      <c r="N54" s="3">
        <v>-110116</v>
      </c>
      <c r="O54" s="3">
        <v>-23329</v>
      </c>
      <c r="P54" s="3">
        <v>-90994</v>
      </c>
      <c r="Q54" s="3">
        <v>-100809</v>
      </c>
      <c r="R54" s="3">
        <v>-115314</v>
      </c>
      <c r="S54" s="3">
        <v>-21072</v>
      </c>
      <c r="T54" s="3">
        <v>-58944</v>
      </c>
      <c r="U54" s="3">
        <v>-92369</v>
      </c>
      <c r="V54" s="3">
        <v>-118819</v>
      </c>
      <c r="W54" s="3">
        <v>-18298</v>
      </c>
      <c r="X54" s="3">
        <v>-42719</v>
      </c>
      <c r="Y54" s="3">
        <v>-64122</v>
      </c>
      <c r="Z54" s="3">
        <v>-106914</v>
      </c>
      <c r="AA54" s="3">
        <v>-14584</v>
      </c>
      <c r="AB54" s="3">
        <v>-38358</v>
      </c>
      <c r="AC54" s="3">
        <v>-74580</v>
      </c>
      <c r="AD54" s="3">
        <v>-105949</v>
      </c>
      <c r="AE54" s="3">
        <v>-22447</v>
      </c>
      <c r="AF54" s="3">
        <v>-46524</v>
      </c>
      <c r="AG54" s="3">
        <v>-76920</v>
      </c>
      <c r="AH54" s="3">
        <v>-112022</v>
      </c>
      <c r="AI54" s="3">
        <v>-21503</v>
      </c>
    </row>
    <row r="55" spans="1:35" x14ac:dyDescent="0.3">
      <c r="A55" s="1" t="s">
        <v>139</v>
      </c>
      <c r="B55" s="3">
        <v>0</v>
      </c>
      <c r="C55" s="3">
        <v>0</v>
      </c>
      <c r="D55" s="3">
        <v>0</v>
      </c>
      <c r="E55" s="3">
        <v>0</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c r="AI55" s="3">
        <v>0</v>
      </c>
    </row>
    <row r="56" spans="1:35" x14ac:dyDescent="0.3">
      <c r="A56" s="1" t="s">
        <v>140</v>
      </c>
      <c r="B56" s="3">
        <v>0</v>
      </c>
      <c r="C56" s="3">
        <v>0</v>
      </c>
      <c r="D56" s="3">
        <v>0</v>
      </c>
      <c r="E56" s="3">
        <v>2171832</v>
      </c>
      <c r="F56" s="3">
        <v>162699</v>
      </c>
      <c r="G56" s="3">
        <v>0</v>
      </c>
      <c r="H56" s="3">
        <v>0</v>
      </c>
      <c r="I56" s="3">
        <v>972251</v>
      </c>
      <c r="J56" s="3">
        <v>1204521</v>
      </c>
      <c r="K56" s="3">
        <v>3823</v>
      </c>
      <c r="L56" s="3">
        <v>-9923</v>
      </c>
      <c r="M56" s="3">
        <v>-9923</v>
      </c>
      <c r="N56" s="3">
        <v>1118811</v>
      </c>
      <c r="O56" s="3">
        <v>0</v>
      </c>
      <c r="P56" s="3">
        <v>0</v>
      </c>
      <c r="Q56" s="3">
        <v>6407</v>
      </c>
      <c r="R56" s="3">
        <v>6407</v>
      </c>
      <c r="S56" s="3">
        <v>0</v>
      </c>
      <c r="T56" s="3">
        <v>0</v>
      </c>
      <c r="U56" s="3">
        <v>0</v>
      </c>
      <c r="V56" s="3">
        <f>3727+409</f>
        <v>4136</v>
      </c>
      <c r="W56" s="3">
        <v>0</v>
      </c>
      <c r="X56" s="3">
        <v>0</v>
      </c>
      <c r="Y56" s="3">
        <v>298678</v>
      </c>
      <c r="Z56" s="3">
        <v>312975</v>
      </c>
      <c r="AA56" s="3">
        <v>0</v>
      </c>
      <c r="AB56" s="3">
        <v>0</v>
      </c>
      <c r="AC56" s="3">
        <v>0</v>
      </c>
      <c r="AD56" s="3">
        <v>0</v>
      </c>
      <c r="AE56" s="3">
        <v>0</v>
      </c>
      <c r="AF56" s="3">
        <v>-79757</v>
      </c>
      <c r="AG56" s="3">
        <v>-79629</v>
      </c>
      <c r="AH56" s="3">
        <f>437754</f>
        <v>437754</v>
      </c>
      <c r="AI56" s="3">
        <v>145800</v>
      </c>
    </row>
    <row r="57" spans="1:35" s="6" customFormat="1" x14ac:dyDescent="0.3">
      <c r="A57" s="6" t="s">
        <v>141</v>
      </c>
      <c r="B57" s="7">
        <f>+SUM(B52:B56)</f>
        <v>6955772</v>
      </c>
      <c r="C57" s="7">
        <f t="shared" ref="C57:Z57" si="68">+SUM(C52:C56)</f>
        <v>7173548</v>
      </c>
      <c r="D57" s="7">
        <f t="shared" si="68"/>
        <v>6369788</v>
      </c>
      <c r="E57" s="7">
        <f t="shared" si="68"/>
        <v>8520268</v>
      </c>
      <c r="F57" s="7">
        <f t="shared" si="68"/>
        <v>6019116</v>
      </c>
      <c r="G57" s="7">
        <f t="shared" si="68"/>
        <v>1485031</v>
      </c>
      <c r="H57" s="7">
        <f t="shared" si="68"/>
        <v>2974642</v>
      </c>
      <c r="I57" s="7">
        <f t="shared" si="68"/>
        <v>5442998</v>
      </c>
      <c r="J57" s="7">
        <f t="shared" si="68"/>
        <v>7117314</v>
      </c>
      <c r="K57" s="7">
        <f t="shared" si="68"/>
        <v>1482454</v>
      </c>
      <c r="L57" s="7">
        <f t="shared" si="68"/>
        <v>2972714</v>
      </c>
      <c r="M57" s="7">
        <f t="shared" si="68"/>
        <v>4442607</v>
      </c>
      <c r="N57" s="7">
        <f t="shared" si="68"/>
        <v>6902406</v>
      </c>
      <c r="O57" s="7">
        <f t="shared" si="68"/>
        <v>1359007</v>
      </c>
      <c r="P57" s="7">
        <f t="shared" si="68"/>
        <v>2620005</v>
      </c>
      <c r="Q57" s="7">
        <f t="shared" si="68"/>
        <v>3939278</v>
      </c>
      <c r="R57" s="7">
        <f t="shared" si="68"/>
        <v>9306637</v>
      </c>
      <c r="S57" s="7">
        <f t="shared" si="68"/>
        <v>1069240</v>
      </c>
      <c r="T57" s="7">
        <f t="shared" si="68"/>
        <v>2083055</v>
      </c>
      <c r="U57" s="7">
        <f t="shared" si="68"/>
        <v>2953741</v>
      </c>
      <c r="V57" s="7">
        <f t="shared" si="68"/>
        <v>3887617</v>
      </c>
      <c r="W57" s="7">
        <f t="shared" si="68"/>
        <v>903160</v>
      </c>
      <c r="X57" s="7">
        <f t="shared" si="68"/>
        <v>1762448</v>
      </c>
      <c r="Y57" s="7">
        <f t="shared" si="68"/>
        <v>2978150</v>
      </c>
      <c r="Z57" s="7">
        <f t="shared" si="68"/>
        <v>3643993</v>
      </c>
      <c r="AA57" s="7">
        <f t="shared" ref="AA57:AB57" si="69">+SUM(AA52:AA56)</f>
        <v>929495</v>
      </c>
      <c r="AB57" s="7">
        <f t="shared" si="69"/>
        <v>2106683</v>
      </c>
      <c r="AC57" s="7">
        <f t="shared" ref="AC57:AD57" si="70">+SUM(AC52:AC56)</f>
        <v>3554306</v>
      </c>
      <c r="AD57" s="7">
        <f t="shared" si="70"/>
        <v>5046350</v>
      </c>
      <c r="AE57" s="7">
        <f t="shared" ref="AE57:AF57" si="71">+SUM(AE52:AE56)</f>
        <v>1589968</v>
      </c>
      <c r="AF57" s="7">
        <f t="shared" si="71"/>
        <v>3165044</v>
      </c>
      <c r="AG57" s="7">
        <f t="shared" ref="AG57:AH57" si="72">+SUM(AG52:AG56)</f>
        <v>4800245</v>
      </c>
      <c r="AH57" s="7">
        <f t="shared" si="72"/>
        <v>6437986</v>
      </c>
      <c r="AI57" s="7">
        <f t="shared" ref="AI57" si="73">+SUM(AI52:AI56)</f>
        <v>1429013</v>
      </c>
    </row>
    <row r="58" spans="1:35" x14ac:dyDescent="0.3">
      <c r="A58" s="1" t="s">
        <v>142</v>
      </c>
      <c r="B58" s="3">
        <v>20335</v>
      </c>
      <c r="C58" s="3">
        <v>205252</v>
      </c>
      <c r="D58" s="3">
        <v>280072</v>
      </c>
      <c r="E58" s="3">
        <v>299872</v>
      </c>
      <c r="F58" s="3">
        <v>136195</v>
      </c>
      <c r="G58" s="3">
        <v>2848</v>
      </c>
      <c r="H58" s="3">
        <v>7414</v>
      </c>
      <c r="I58" s="3">
        <v>12348</v>
      </c>
      <c r="J58" s="3">
        <v>36165</v>
      </c>
      <c r="K58" s="3">
        <v>12072</v>
      </c>
      <c r="L58" s="3">
        <v>17447</v>
      </c>
      <c r="M58" s="3">
        <v>18337</v>
      </c>
      <c r="N58" s="3">
        <v>19002</v>
      </c>
      <c r="O58" s="3">
        <v>2274</v>
      </c>
      <c r="P58" s="3">
        <v>2856</v>
      </c>
      <c r="Q58" s="3">
        <v>3618</v>
      </c>
      <c r="R58" s="3">
        <v>7914</v>
      </c>
      <c r="S58" s="3">
        <v>22659</v>
      </c>
      <c r="T58" s="3">
        <v>47629</v>
      </c>
      <c r="U58" s="3">
        <v>62193</v>
      </c>
      <c r="V58" s="3">
        <v>78490</v>
      </c>
      <c r="W58" s="3">
        <v>15980</v>
      </c>
      <c r="X58" s="3">
        <v>32503</v>
      </c>
      <c r="Y58" s="3">
        <v>40623</v>
      </c>
      <c r="Z58" s="3">
        <v>51853</v>
      </c>
      <c r="AA58" s="3">
        <v>6696</v>
      </c>
      <c r="AB58" s="3">
        <v>35309</v>
      </c>
      <c r="AC58" s="3">
        <v>46892</v>
      </c>
      <c r="AD58" s="3">
        <v>53461</v>
      </c>
      <c r="AE58" s="3">
        <v>5102</v>
      </c>
      <c r="AF58" s="3">
        <v>10246</v>
      </c>
      <c r="AG58" s="3">
        <v>15500</v>
      </c>
      <c r="AH58" s="3">
        <v>26449</v>
      </c>
      <c r="AI58" s="3">
        <v>55392</v>
      </c>
    </row>
    <row r="59" spans="1:35" x14ac:dyDescent="0.3">
      <c r="A59" s="1" t="s">
        <v>143</v>
      </c>
      <c r="B59" s="3">
        <v>-4855744</v>
      </c>
      <c r="C59" s="3">
        <v>-4538829</v>
      </c>
      <c r="D59" s="3">
        <v>-4841862</v>
      </c>
      <c r="E59" s="3">
        <v>-4711002</v>
      </c>
      <c r="F59" s="3">
        <v>-4789448</v>
      </c>
      <c r="G59" s="3">
        <v>-1163552</v>
      </c>
      <c r="H59" s="3">
        <v>-2351244</v>
      </c>
      <c r="I59" s="3">
        <v>-3478088</v>
      </c>
      <c r="J59" s="3">
        <v>-4613076</v>
      </c>
      <c r="K59" s="3">
        <v>-974913</v>
      </c>
      <c r="L59" s="3">
        <v>-1957867</v>
      </c>
      <c r="M59" s="3">
        <v>-2951036</v>
      </c>
      <c r="N59" s="3">
        <v>-3982773</v>
      </c>
      <c r="O59" s="3">
        <v>-955348</v>
      </c>
      <c r="P59" s="3">
        <v>-1932540</v>
      </c>
      <c r="Q59" s="3">
        <v>-2934798</v>
      </c>
      <c r="R59" s="3">
        <v>-3959530</v>
      </c>
      <c r="S59" s="3">
        <v>-1383148</v>
      </c>
      <c r="T59" s="3">
        <v>-2833053</v>
      </c>
      <c r="U59" s="3">
        <v>-4352046</v>
      </c>
      <c r="V59" s="3">
        <v>-5926177</v>
      </c>
      <c r="W59" s="3">
        <v>-1357478</v>
      </c>
      <c r="X59" s="3">
        <v>-2760252</v>
      </c>
      <c r="Y59" s="3">
        <v>-4191695</v>
      </c>
      <c r="Z59" s="3">
        <v>-5644966</v>
      </c>
      <c r="AA59" s="3">
        <v>-1578387</v>
      </c>
      <c r="AB59" s="3">
        <v>-3179238</v>
      </c>
      <c r="AC59" s="3">
        <v>-4811596</v>
      </c>
      <c r="AD59" s="3">
        <v>-6464082</v>
      </c>
      <c r="AE59" s="3">
        <v>-1598383</v>
      </c>
      <c r="AF59" s="3">
        <v>-3236920</v>
      </c>
      <c r="AG59" s="3">
        <v>-4814373</v>
      </c>
      <c r="AH59" s="3">
        <v>-6369177</v>
      </c>
      <c r="AI59" s="3">
        <v>-1525718</v>
      </c>
    </row>
    <row r="60" spans="1:35" ht="28.8" x14ac:dyDescent="0.3">
      <c r="A60" s="5" t="s">
        <v>144</v>
      </c>
      <c r="B60" s="3">
        <v>0</v>
      </c>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row>
    <row r="61" spans="1:35" x14ac:dyDescent="0.3">
      <c r="A61" s="1" t="s">
        <v>145</v>
      </c>
      <c r="B61" s="3">
        <v>0</v>
      </c>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409</v>
      </c>
      <c r="U61" s="3">
        <v>409</v>
      </c>
      <c r="V61" s="3">
        <v>0</v>
      </c>
      <c r="W61" s="3">
        <v>0</v>
      </c>
      <c r="X61" s="3">
        <v>0</v>
      </c>
      <c r="Y61" s="3">
        <v>0</v>
      </c>
      <c r="Z61" s="3">
        <v>0</v>
      </c>
      <c r="AA61" s="3">
        <v>0</v>
      </c>
      <c r="AB61" s="3">
        <v>0</v>
      </c>
      <c r="AC61" s="3">
        <v>0</v>
      </c>
      <c r="AD61" s="3">
        <v>0</v>
      </c>
      <c r="AE61" s="3">
        <v>0</v>
      </c>
      <c r="AF61" s="3">
        <v>0</v>
      </c>
      <c r="AG61" s="3">
        <v>0</v>
      </c>
      <c r="AH61" s="3">
        <v>0</v>
      </c>
      <c r="AI61" s="3">
        <v>0</v>
      </c>
    </row>
    <row r="62" spans="1:35" x14ac:dyDescent="0.3">
      <c r="A62" s="1" t="s">
        <v>146</v>
      </c>
      <c r="B62" s="3">
        <v>-4530900</v>
      </c>
      <c r="C62" s="3">
        <v>-3506760</v>
      </c>
      <c r="D62" s="3">
        <v>-2549212</v>
      </c>
      <c r="E62" s="3">
        <v>-1552617</v>
      </c>
      <c r="F62" s="3">
        <v>-2447830</v>
      </c>
      <c r="G62" s="3">
        <v>96</v>
      </c>
      <c r="H62" s="3">
        <v>-1071367</v>
      </c>
      <c r="I62" s="3">
        <v>-1533314</v>
      </c>
      <c r="J62" s="3">
        <v>-2364438</v>
      </c>
      <c r="K62" s="3">
        <v>-914646</v>
      </c>
      <c r="L62" s="3">
        <v>-1229422</v>
      </c>
      <c r="M62" s="3">
        <v>-1265768</v>
      </c>
      <c r="N62" s="3">
        <v>-2418784</v>
      </c>
      <c r="O62" s="3">
        <v>-1033586</v>
      </c>
      <c r="P62" s="3">
        <v>-2030280</v>
      </c>
      <c r="Q62" s="3">
        <v>-3236757</v>
      </c>
      <c r="R62" s="3">
        <v>-6114504</v>
      </c>
      <c r="S62" s="3">
        <v>-2344909</v>
      </c>
      <c r="T62" s="3">
        <v>-6663037</v>
      </c>
      <c r="U62" s="3">
        <v>-10394271</v>
      </c>
      <c r="V62" s="3">
        <v>-13109197</v>
      </c>
      <c r="W62" s="3">
        <v>-1412233</v>
      </c>
      <c r="X62" s="3">
        <v>-2958987</v>
      </c>
      <c r="Y62" s="3">
        <v>-3289191</v>
      </c>
      <c r="Z62" s="3">
        <v>-5109745</v>
      </c>
      <c r="AA62" s="3">
        <v>-936238</v>
      </c>
      <c r="AB62" s="3">
        <v>-2410091</v>
      </c>
      <c r="AC62" s="3">
        <v>-3452617</v>
      </c>
      <c r="AD62" s="3">
        <v>-5014865</v>
      </c>
      <c r="AE62" s="3">
        <v>-1457782</v>
      </c>
      <c r="AF62" s="3">
        <v>-2596682</v>
      </c>
      <c r="AG62" s="3">
        <v>-3171978</v>
      </c>
      <c r="AH62" s="3">
        <v>-3845919</v>
      </c>
      <c r="AI62" s="3">
        <v>-315970</v>
      </c>
    </row>
    <row r="63" spans="1:35" x14ac:dyDescent="0.3">
      <c r="A63" s="1" t="s">
        <v>147</v>
      </c>
      <c r="B63" s="3">
        <v>2843839</v>
      </c>
      <c r="C63" s="3">
        <v>4535460</v>
      </c>
      <c r="D63" s="3">
        <v>4706944</v>
      </c>
      <c r="E63" s="3">
        <v>7380927</v>
      </c>
      <c r="F63" s="3">
        <v>4989703</v>
      </c>
      <c r="G63" s="3">
        <v>-113</v>
      </c>
      <c r="H63" s="3">
        <v>1267516</v>
      </c>
      <c r="I63" s="3">
        <v>1803674</v>
      </c>
      <c r="J63" s="3">
        <v>3881290</v>
      </c>
      <c r="K63" s="3">
        <v>1039422</v>
      </c>
      <c r="L63" s="3">
        <v>1397175</v>
      </c>
      <c r="M63" s="3">
        <v>1438496</v>
      </c>
      <c r="N63" s="3">
        <v>5463497</v>
      </c>
      <c r="O63" s="3">
        <v>1196792</v>
      </c>
      <c r="P63" s="3">
        <v>2234647</v>
      </c>
      <c r="Q63" s="3">
        <v>3629419</v>
      </c>
      <c r="R63" s="3">
        <v>2886722</v>
      </c>
      <c r="S63" s="3">
        <v>2615186</v>
      </c>
      <c r="T63" s="3">
        <v>6028543</v>
      </c>
      <c r="U63" s="3">
        <v>10140686</v>
      </c>
      <c r="V63" s="3">
        <v>4713064</v>
      </c>
      <c r="W63" s="3">
        <v>1519196</v>
      </c>
      <c r="X63" s="3">
        <v>3200288</v>
      </c>
      <c r="Y63" s="3">
        <v>3553677</v>
      </c>
      <c r="Z63" s="3">
        <v>1436863</v>
      </c>
      <c r="AA63" s="3">
        <v>961284</v>
      </c>
      <c r="AB63" s="3">
        <v>2473055</v>
      </c>
      <c r="AC63" s="3">
        <v>3543060</v>
      </c>
      <c r="AD63" s="3">
        <v>2977120</v>
      </c>
      <c r="AE63" s="3">
        <v>1510462</v>
      </c>
      <c r="AF63" s="3">
        <v>2690433</v>
      </c>
      <c r="AG63" s="3">
        <v>3381976</v>
      </c>
      <c r="AH63" s="3">
        <v>5044844</v>
      </c>
      <c r="AI63" s="3">
        <v>355827</v>
      </c>
    </row>
    <row r="64" spans="1:35" s="6" customFormat="1" x14ac:dyDescent="0.3">
      <c r="A64" s="6" t="s">
        <v>148</v>
      </c>
      <c r="B64" s="7">
        <f>+SUM(B57:B63)</f>
        <v>433302</v>
      </c>
      <c r="C64" s="7">
        <f t="shared" ref="C64:Z64" si="74">+SUM(C57:C63)</f>
        <v>3868671</v>
      </c>
      <c r="D64" s="7">
        <f t="shared" si="74"/>
        <v>3965730</v>
      </c>
      <c r="E64" s="7">
        <f t="shared" si="74"/>
        <v>9937448</v>
      </c>
      <c r="F64" s="7">
        <f t="shared" si="74"/>
        <v>3907736</v>
      </c>
      <c r="G64" s="7">
        <f t="shared" si="74"/>
        <v>324310</v>
      </c>
      <c r="H64" s="7">
        <f t="shared" si="74"/>
        <v>826961</v>
      </c>
      <c r="I64" s="7">
        <f t="shared" si="74"/>
        <v>2247618</v>
      </c>
      <c r="J64" s="7">
        <f t="shared" si="74"/>
        <v>4057255</v>
      </c>
      <c r="K64" s="7">
        <f t="shared" si="74"/>
        <v>644389</v>
      </c>
      <c r="L64" s="7">
        <f t="shared" si="74"/>
        <v>1200047</v>
      </c>
      <c r="M64" s="7">
        <f t="shared" si="74"/>
        <v>1682636</v>
      </c>
      <c r="N64" s="7">
        <f t="shared" si="74"/>
        <v>5983348</v>
      </c>
      <c r="O64" s="7">
        <f t="shared" si="74"/>
        <v>569139</v>
      </c>
      <c r="P64" s="7">
        <f t="shared" si="74"/>
        <v>894688</v>
      </c>
      <c r="Q64" s="7">
        <f t="shared" si="74"/>
        <v>1400760</v>
      </c>
      <c r="R64" s="7">
        <f t="shared" si="74"/>
        <v>2127239</v>
      </c>
      <c r="S64" s="7">
        <f t="shared" si="74"/>
        <v>-20972</v>
      </c>
      <c r="T64" s="7">
        <f t="shared" si="74"/>
        <v>-1336454</v>
      </c>
      <c r="U64" s="7">
        <f t="shared" si="74"/>
        <v>-1589288</v>
      </c>
      <c r="V64" s="7">
        <f t="shared" si="74"/>
        <v>-10356203</v>
      </c>
      <c r="W64" s="7">
        <f t="shared" si="74"/>
        <v>-331375</v>
      </c>
      <c r="X64" s="7">
        <f t="shared" si="74"/>
        <v>-724000</v>
      </c>
      <c r="Y64" s="7">
        <f t="shared" si="74"/>
        <v>-908436</v>
      </c>
      <c r="Z64" s="7">
        <f t="shared" si="74"/>
        <v>-5622002</v>
      </c>
      <c r="AA64" s="7">
        <f t="shared" ref="AA64:AB64" si="75">+SUM(AA57:AA63)</f>
        <v>-617150</v>
      </c>
      <c r="AB64" s="7">
        <f t="shared" si="75"/>
        <v>-974282</v>
      </c>
      <c r="AC64" s="7">
        <f t="shared" ref="AC64:AD64" si="76">+SUM(AC57:AC63)</f>
        <v>-1119955</v>
      </c>
      <c r="AD64" s="7">
        <f t="shared" si="76"/>
        <v>-3402016</v>
      </c>
      <c r="AE64" s="7">
        <f t="shared" ref="AE64:AF64" si="77">+SUM(AE57:AE63)</f>
        <v>49367</v>
      </c>
      <c r="AF64" s="7">
        <f t="shared" si="77"/>
        <v>32121</v>
      </c>
      <c r="AG64" s="7">
        <f t="shared" ref="AG64:AH64" si="78">+SUM(AG57:AG63)</f>
        <v>211370</v>
      </c>
      <c r="AH64" s="7">
        <f t="shared" si="78"/>
        <v>1294183</v>
      </c>
      <c r="AI64" s="7">
        <f t="shared" ref="AI64" si="79">+SUM(AI57:AI63)</f>
        <v>-1456</v>
      </c>
    </row>
    <row r="65" spans="1:35" x14ac:dyDescent="0.3">
      <c r="A65" s="1" t="s">
        <v>149</v>
      </c>
      <c r="B65" s="3">
        <v>-111732</v>
      </c>
      <c r="C65" s="3">
        <v>-1046748</v>
      </c>
      <c r="D65" s="3">
        <v>-823325</v>
      </c>
      <c r="E65" s="3">
        <v>-2791683</v>
      </c>
      <c r="F65" s="3">
        <v>-1058825</v>
      </c>
      <c r="G65" s="3">
        <v>-87563</v>
      </c>
      <c r="H65" s="3">
        <v>-223279</v>
      </c>
      <c r="I65" s="3">
        <v>-606857</v>
      </c>
      <c r="J65" s="3">
        <v>-1095765</v>
      </c>
      <c r="K65" s="3">
        <v>-173985</v>
      </c>
      <c r="L65" s="3">
        <v>-333134</v>
      </c>
      <c r="M65" s="3">
        <v>-463433</v>
      </c>
      <c r="N65" s="3">
        <v>-1625201</v>
      </c>
      <c r="O65" s="3">
        <v>-153667</v>
      </c>
      <c r="P65" s="3">
        <v>-241566</v>
      </c>
      <c r="Q65" s="3">
        <v>-378205</v>
      </c>
      <c r="R65" s="3">
        <v>-605150</v>
      </c>
      <c r="S65" s="3">
        <v>5662</v>
      </c>
      <c r="T65" s="3">
        <v>333949</v>
      </c>
      <c r="U65" s="3">
        <v>394214</v>
      </c>
      <c r="V65" s="3">
        <v>2755878</v>
      </c>
      <c r="W65" s="3">
        <v>106771</v>
      </c>
      <c r="X65" s="3">
        <v>260704</v>
      </c>
      <c r="Y65" s="3">
        <v>295448</v>
      </c>
      <c r="Z65" s="3">
        <v>1600981</v>
      </c>
      <c r="AA65" s="3">
        <v>184607</v>
      </c>
      <c r="AB65" s="3">
        <v>327667</v>
      </c>
      <c r="AC65" s="3">
        <v>401780</v>
      </c>
      <c r="AD65" s="3">
        <v>1071041</v>
      </c>
      <c r="AE65" s="3">
        <v>44226</v>
      </c>
      <c r="AF65" s="3">
        <v>84996</v>
      </c>
      <c r="AG65" s="3">
        <v>109554</v>
      </c>
      <c r="AH65" s="3">
        <v>-125795</v>
      </c>
      <c r="AI65" s="3">
        <v>-29419</v>
      </c>
    </row>
    <row r="66" spans="1:35" x14ac:dyDescent="0.3">
      <c r="A66" s="1" t="s">
        <v>150</v>
      </c>
      <c r="B66" s="7">
        <f>+SUM(B64:B65)</f>
        <v>321570</v>
      </c>
      <c r="C66" s="7">
        <f t="shared" ref="C66:Z66" si="80">+SUM(C64:C65)</f>
        <v>2821923</v>
      </c>
      <c r="D66" s="7">
        <f t="shared" si="80"/>
        <v>3142405</v>
      </c>
      <c r="E66" s="7">
        <f t="shared" si="80"/>
        <v>7145765</v>
      </c>
      <c r="F66" s="7">
        <f t="shared" si="80"/>
        <v>2848911</v>
      </c>
      <c r="G66" s="7">
        <f t="shared" si="80"/>
        <v>236747</v>
      </c>
      <c r="H66" s="7">
        <f t="shared" si="80"/>
        <v>603682</v>
      </c>
      <c r="I66" s="7">
        <f t="shared" si="80"/>
        <v>1640761</v>
      </c>
      <c r="J66" s="7">
        <f t="shared" si="80"/>
        <v>2961490</v>
      </c>
      <c r="K66" s="7">
        <f t="shared" si="80"/>
        <v>470404</v>
      </c>
      <c r="L66" s="7">
        <f t="shared" si="80"/>
        <v>866913</v>
      </c>
      <c r="M66" s="7">
        <f t="shared" si="80"/>
        <v>1219203</v>
      </c>
      <c r="N66" s="7">
        <f t="shared" si="80"/>
        <v>4358147</v>
      </c>
      <c r="O66" s="7">
        <f t="shared" si="80"/>
        <v>415472</v>
      </c>
      <c r="P66" s="7">
        <f t="shared" si="80"/>
        <v>653122</v>
      </c>
      <c r="Q66" s="7">
        <f t="shared" si="80"/>
        <v>1022555</v>
      </c>
      <c r="R66" s="7">
        <f t="shared" si="80"/>
        <v>1522089</v>
      </c>
      <c r="S66" s="7">
        <f t="shared" si="80"/>
        <v>-15310</v>
      </c>
      <c r="T66" s="7">
        <f t="shared" si="80"/>
        <v>-1002505</v>
      </c>
      <c r="U66" s="7">
        <f t="shared" si="80"/>
        <v>-1195074</v>
      </c>
      <c r="V66" s="7">
        <f t="shared" si="80"/>
        <v>-7600325</v>
      </c>
      <c r="W66" s="7">
        <f t="shared" si="80"/>
        <v>-224604</v>
      </c>
      <c r="X66" s="7">
        <f t="shared" si="80"/>
        <v>-463296</v>
      </c>
      <c r="Y66" s="7">
        <f t="shared" si="80"/>
        <v>-612988</v>
      </c>
      <c r="Z66" s="7">
        <f t="shared" si="80"/>
        <v>-4021021</v>
      </c>
      <c r="AA66" s="7">
        <f t="shared" ref="AA66:AB66" si="81">+SUM(AA64:AA65)</f>
        <v>-432543</v>
      </c>
      <c r="AB66" s="7">
        <f t="shared" si="81"/>
        <v>-646615</v>
      </c>
      <c r="AC66" s="7">
        <f t="shared" ref="AC66:AD66" si="82">+SUM(AC64:AC65)</f>
        <v>-718175</v>
      </c>
      <c r="AD66" s="7">
        <f t="shared" si="82"/>
        <v>-2330975</v>
      </c>
      <c r="AE66" s="7">
        <f t="shared" ref="AE66:AF66" si="83">+SUM(AE64:AE65)</f>
        <v>93593</v>
      </c>
      <c r="AF66" s="7">
        <f t="shared" si="83"/>
        <v>117117</v>
      </c>
      <c r="AG66" s="7">
        <f t="shared" ref="AG66:AH66" si="84">+SUM(AG64:AG65)</f>
        <v>320924</v>
      </c>
      <c r="AH66" s="7">
        <f t="shared" si="84"/>
        <v>1168388</v>
      </c>
      <c r="AI66" s="7">
        <f t="shared" ref="AI66" si="85">+SUM(AI64:AI65)</f>
        <v>-30875</v>
      </c>
    </row>
    <row r="67" spans="1:35" x14ac:dyDescent="0.3">
      <c r="A67" s="1" t="s">
        <v>151</v>
      </c>
      <c r="B67" s="3">
        <v>0</v>
      </c>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row>
    <row r="68" spans="1:35" s="6" customFormat="1" x14ac:dyDescent="0.3">
      <c r="A68" s="6" t="s">
        <v>152</v>
      </c>
      <c r="B68" s="7">
        <f>+SUM(B66:B67)</f>
        <v>321570</v>
      </c>
      <c r="C68" s="7">
        <f t="shared" ref="C68:Z68" si="86">+SUM(C66:C67)</f>
        <v>2821923</v>
      </c>
      <c r="D68" s="7">
        <f t="shared" si="86"/>
        <v>3142405</v>
      </c>
      <c r="E68" s="7">
        <f t="shared" si="86"/>
        <v>7145765</v>
      </c>
      <c r="F68" s="7">
        <f t="shared" si="86"/>
        <v>2848911</v>
      </c>
      <c r="G68" s="7">
        <f t="shared" si="86"/>
        <v>236747</v>
      </c>
      <c r="H68" s="7">
        <f t="shared" si="86"/>
        <v>603682</v>
      </c>
      <c r="I68" s="7">
        <f t="shared" si="86"/>
        <v>1640761</v>
      </c>
      <c r="J68" s="7">
        <f t="shared" si="86"/>
        <v>2961490</v>
      </c>
      <c r="K68" s="7">
        <f t="shared" si="86"/>
        <v>470404</v>
      </c>
      <c r="L68" s="7">
        <f t="shared" si="86"/>
        <v>866913</v>
      </c>
      <c r="M68" s="7">
        <f t="shared" si="86"/>
        <v>1219203</v>
      </c>
      <c r="N68" s="7">
        <f t="shared" si="86"/>
        <v>4358147</v>
      </c>
      <c r="O68" s="7">
        <f t="shared" si="86"/>
        <v>415472</v>
      </c>
      <c r="P68" s="7">
        <f t="shared" si="86"/>
        <v>653122</v>
      </c>
      <c r="Q68" s="7">
        <f t="shared" si="86"/>
        <v>1022555</v>
      </c>
      <c r="R68" s="7">
        <f t="shared" si="86"/>
        <v>1522089</v>
      </c>
      <c r="S68" s="7">
        <f t="shared" si="86"/>
        <v>-15310</v>
      </c>
      <c r="T68" s="7">
        <f t="shared" si="86"/>
        <v>-1002505</v>
      </c>
      <c r="U68" s="7">
        <f t="shared" si="86"/>
        <v>-1195074</v>
      </c>
      <c r="V68" s="7">
        <f t="shared" si="86"/>
        <v>-7600325</v>
      </c>
      <c r="W68" s="7">
        <f t="shared" si="86"/>
        <v>-224604</v>
      </c>
      <c r="X68" s="7">
        <f t="shared" si="86"/>
        <v>-463296</v>
      </c>
      <c r="Y68" s="7">
        <f t="shared" si="86"/>
        <v>-612988</v>
      </c>
      <c r="Z68" s="7">
        <f t="shared" si="86"/>
        <v>-4021021</v>
      </c>
      <c r="AA68" s="7">
        <f t="shared" ref="AA68:AB68" si="87">+SUM(AA66:AA67)</f>
        <v>-432543</v>
      </c>
      <c r="AB68" s="7">
        <f t="shared" si="87"/>
        <v>-646615</v>
      </c>
      <c r="AC68" s="7">
        <f t="shared" ref="AC68:AD68" si="88">+SUM(AC66:AC67)</f>
        <v>-718175</v>
      </c>
      <c r="AD68" s="7">
        <f t="shared" si="88"/>
        <v>-2330975</v>
      </c>
      <c r="AE68" s="7">
        <f t="shared" ref="AE68:AF68" si="89">+SUM(AE66:AE67)</f>
        <v>93593</v>
      </c>
      <c r="AF68" s="7">
        <f t="shared" si="89"/>
        <v>117117</v>
      </c>
      <c r="AG68" s="7">
        <f t="shared" ref="AG68:AH68" si="90">+SUM(AG66:AG67)</f>
        <v>320924</v>
      </c>
      <c r="AH68" s="7">
        <f t="shared" si="90"/>
        <v>1168388</v>
      </c>
      <c r="AI68" s="7">
        <f t="shared" ref="AI68" si="91">+SUM(AI66:AI67)</f>
        <v>-30875</v>
      </c>
    </row>
    <row r="71" spans="1:35" x14ac:dyDescent="0.3">
      <c r="A71" s="6" t="s">
        <v>79</v>
      </c>
      <c r="B71" s="3"/>
      <c r="C71" s="3"/>
      <c r="D71" s="3"/>
      <c r="E71" s="3"/>
      <c r="F71" s="3"/>
      <c r="G71" s="3"/>
      <c r="H71" s="3"/>
      <c r="I71" s="3"/>
      <c r="J71" s="3"/>
      <c r="K71" s="3"/>
      <c r="L71" s="3"/>
      <c r="M71" s="3"/>
      <c r="N71" s="3"/>
      <c r="O71" s="3"/>
      <c r="P71" s="3"/>
      <c r="Q71" s="3"/>
      <c r="R71" s="3"/>
      <c r="S71" s="3"/>
      <c r="T71" s="3"/>
      <c r="U71" s="3"/>
      <c r="V71" s="3"/>
    </row>
    <row r="72" spans="1:35" x14ac:dyDescent="0.3">
      <c r="A72" s="1" t="s">
        <v>80</v>
      </c>
      <c r="B72" s="3">
        <v>0</v>
      </c>
      <c r="C72" s="3">
        <v>0</v>
      </c>
      <c r="D72" s="3">
        <v>817634</v>
      </c>
      <c r="E72" s="3">
        <v>907473</v>
      </c>
      <c r="F72" s="3">
        <v>837074</v>
      </c>
      <c r="G72" s="3">
        <v>196743</v>
      </c>
      <c r="H72" s="3">
        <v>395020</v>
      </c>
      <c r="I72" s="3">
        <v>594811</v>
      </c>
      <c r="J72" s="3">
        <v>795996</v>
      </c>
      <c r="K72" s="3">
        <v>194932</v>
      </c>
      <c r="L72" s="3">
        <v>391523</v>
      </c>
      <c r="M72" s="3">
        <v>588000</v>
      </c>
      <c r="N72" s="3">
        <v>786551</v>
      </c>
      <c r="O72" s="3">
        <v>204924</v>
      </c>
      <c r="P72" s="3">
        <v>412170</v>
      </c>
      <c r="Q72" s="3">
        <v>621622</v>
      </c>
      <c r="R72" s="3">
        <v>836598</v>
      </c>
      <c r="S72" s="3">
        <v>215487</v>
      </c>
      <c r="T72" s="3">
        <v>438970</v>
      </c>
      <c r="U72" s="3">
        <v>670925</v>
      </c>
      <c r="V72" s="3">
        <v>910029</v>
      </c>
      <c r="W72" s="3">
        <v>229053</v>
      </c>
      <c r="X72" s="3">
        <v>465205</v>
      </c>
      <c r="Y72" s="3">
        <v>700449</v>
      </c>
      <c r="Z72" s="3">
        <v>938637</v>
      </c>
      <c r="AA72" s="3">
        <v>256150</v>
      </c>
      <c r="AB72" s="3">
        <v>518422</v>
      </c>
      <c r="AC72" s="3">
        <v>784723</v>
      </c>
      <c r="AD72" s="3">
        <v>1058138</v>
      </c>
      <c r="AE72" s="3">
        <v>279813</v>
      </c>
      <c r="AF72" s="3">
        <v>562323</v>
      </c>
      <c r="AG72" s="3">
        <v>845852</v>
      </c>
      <c r="AH72" s="3">
        <v>1131589</v>
      </c>
      <c r="AI72" s="3">
        <v>289651</v>
      </c>
    </row>
    <row r="73" spans="1:35" x14ac:dyDescent="0.3">
      <c r="A73" s="1" t="s">
        <v>81</v>
      </c>
      <c r="B73" s="3">
        <v>0</v>
      </c>
      <c r="C73" s="3">
        <v>0</v>
      </c>
      <c r="D73" s="3">
        <v>0</v>
      </c>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c r="AI73" s="3">
        <v>0</v>
      </c>
    </row>
    <row r="74" spans="1:35" x14ac:dyDescent="0.3">
      <c r="A74" s="1" t="s">
        <v>82</v>
      </c>
      <c r="B74" s="3">
        <v>0</v>
      </c>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c r="AI74" s="3">
        <v>0</v>
      </c>
    </row>
    <row r="75" spans="1:35" x14ac:dyDescent="0.3">
      <c r="A75" s="1" t="s">
        <v>83</v>
      </c>
      <c r="B75" s="3">
        <v>0</v>
      </c>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c r="AI75" s="3">
        <v>0</v>
      </c>
    </row>
    <row r="76" spans="1:35" x14ac:dyDescent="0.3">
      <c r="A76" s="1" t="s">
        <v>84</v>
      </c>
      <c r="B76" s="3">
        <v>0</v>
      </c>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row>
    <row r="77" spans="1:35" x14ac:dyDescent="0.3">
      <c r="A77" s="1" t="s">
        <v>85</v>
      </c>
      <c r="B77" s="3">
        <v>0</v>
      </c>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row>
    <row r="78" spans="1:35" x14ac:dyDescent="0.3">
      <c r="A78" s="1" t="s">
        <v>86</v>
      </c>
      <c r="B78" s="3">
        <v>0</v>
      </c>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row>
    <row r="79" spans="1:35" x14ac:dyDescent="0.3">
      <c r="A79" s="1" t="s">
        <v>87</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c r="AI79" s="3">
        <v>0</v>
      </c>
    </row>
    <row r="80" spans="1:35" x14ac:dyDescent="0.3">
      <c r="A80" s="1" t="s">
        <v>88</v>
      </c>
      <c r="B80" s="3">
        <v>0</v>
      </c>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c r="AI80" s="3">
        <v>0</v>
      </c>
    </row>
    <row r="81" spans="1:35" x14ac:dyDescent="0.3">
      <c r="A81" s="1" t="s">
        <v>89</v>
      </c>
      <c r="B81" s="3">
        <v>0</v>
      </c>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c r="AI81" s="3">
        <v>0</v>
      </c>
    </row>
    <row r="82" spans="1:35" x14ac:dyDescent="0.3">
      <c r="A82" s="1" t="s">
        <v>153</v>
      </c>
      <c r="B82" s="3">
        <v>47263</v>
      </c>
      <c r="C82" s="3">
        <v>36134</v>
      </c>
      <c r="D82" s="3">
        <v>43898</v>
      </c>
      <c r="E82" s="3">
        <v>70969</v>
      </c>
      <c r="F82" s="3">
        <v>88397</v>
      </c>
      <c r="G82" s="3">
        <v>10528</v>
      </c>
      <c r="H82" s="3">
        <v>36202</v>
      </c>
      <c r="I82" s="3">
        <v>95223</v>
      </c>
      <c r="J82" s="3">
        <v>73081</v>
      </c>
      <c r="K82" s="3">
        <v>18156</v>
      </c>
      <c r="L82" s="3">
        <v>33953</v>
      </c>
      <c r="M82" s="3">
        <v>68866</v>
      </c>
      <c r="N82" s="3">
        <v>106875</v>
      </c>
      <c r="O82" s="3">
        <v>21012</v>
      </c>
      <c r="P82" s="3">
        <v>33707</v>
      </c>
      <c r="Q82" s="3">
        <v>42528</v>
      </c>
      <c r="R82" s="3">
        <f>48835</f>
        <v>48835</v>
      </c>
      <c r="S82" s="3">
        <v>25499</v>
      </c>
      <c r="T82" s="3">
        <v>35905</v>
      </c>
      <c r="U82" s="3">
        <v>59156</v>
      </c>
      <c r="V82" s="3">
        <f>57693</f>
        <v>57693</v>
      </c>
      <c r="W82" s="3">
        <v>10751</v>
      </c>
      <c r="X82" s="3">
        <v>23206</v>
      </c>
      <c r="Y82" s="3">
        <v>35908</v>
      </c>
      <c r="Z82" s="3">
        <f>68802</f>
        <v>68802</v>
      </c>
      <c r="AA82" s="3">
        <v>100781</v>
      </c>
      <c r="AB82" s="3">
        <v>112510</v>
      </c>
      <c r="AC82" s="3">
        <v>138592</v>
      </c>
      <c r="AD82" s="3">
        <f>105949</f>
        <v>105949</v>
      </c>
      <c r="AE82" s="3">
        <v>0</v>
      </c>
      <c r="AF82" s="3">
        <v>28238</v>
      </c>
      <c r="AG82" s="3">
        <f>47737</f>
        <v>47737</v>
      </c>
      <c r="AH82" s="3">
        <f>70341</f>
        <v>70341</v>
      </c>
      <c r="AI82" s="3">
        <v>44047</v>
      </c>
    </row>
    <row r="83" spans="1:35" x14ac:dyDescent="0.3">
      <c r="A83" s="1" t="s">
        <v>90</v>
      </c>
      <c r="B83" s="3">
        <v>6663</v>
      </c>
      <c r="C83" s="3">
        <v>2784</v>
      </c>
      <c r="D83" s="3">
        <v>13333</v>
      </c>
      <c r="E83" s="3">
        <v>3927</v>
      </c>
      <c r="F83" s="3">
        <f>82496+5019</f>
        <v>87515</v>
      </c>
      <c r="G83" s="3">
        <v>47499</v>
      </c>
      <c r="H83" s="3">
        <v>43223</v>
      </c>
      <c r="I83" s="3">
        <v>105041</v>
      </c>
      <c r="J83" s="3">
        <f>139219+10896</f>
        <v>150115</v>
      </c>
      <c r="K83" s="3">
        <v>25186</v>
      </c>
      <c r="L83" s="3">
        <v>43212</v>
      </c>
      <c r="M83" s="3">
        <v>70764</v>
      </c>
      <c r="N83" s="3">
        <f>190039+3241</f>
        <v>193280</v>
      </c>
      <c r="O83" s="3">
        <v>63842</v>
      </c>
      <c r="P83" s="3">
        <v>188627</v>
      </c>
      <c r="Q83" s="3">
        <v>257831</v>
      </c>
      <c r="R83" s="3">
        <f>198255+18360+43133+4986</f>
        <v>264734</v>
      </c>
      <c r="S83" s="3">
        <v>113180</v>
      </c>
      <c r="T83" s="3">
        <v>216543</v>
      </c>
      <c r="U83" s="3">
        <v>367282</v>
      </c>
      <c r="V83" s="3">
        <f>234456+19345-43133+5180+43133</f>
        <v>258981</v>
      </c>
      <c r="W83" s="58">
        <v>180755</v>
      </c>
      <c r="X83" s="3">
        <v>375214</v>
      </c>
      <c r="Y83" s="3">
        <v>576547</v>
      </c>
      <c r="Z83" s="3">
        <f>439212+33039+5073</f>
        <v>477324</v>
      </c>
      <c r="AA83" s="3">
        <v>3138</v>
      </c>
      <c r="AB83" s="3">
        <v>20244</v>
      </c>
      <c r="AC83" s="3">
        <v>23737</v>
      </c>
      <c r="AD83" s="3">
        <f>268557</f>
        <v>268557</v>
      </c>
      <c r="AE83" s="3">
        <v>21657</v>
      </c>
      <c r="AF83" s="3">
        <f>130475-17538</f>
        <v>112937</v>
      </c>
      <c r="AG83" s="3">
        <f>126603+922-105044</f>
        <v>22481</v>
      </c>
      <c r="AH83" s="3">
        <f>28099+13582+152048</f>
        <v>193729</v>
      </c>
      <c r="AI83" s="3">
        <v>48669</v>
      </c>
    </row>
    <row r="84" spans="1:35" x14ac:dyDescent="0.3">
      <c r="A84" s="1" t="s">
        <v>154</v>
      </c>
      <c r="B84" s="3">
        <v>379311</v>
      </c>
      <c r="C84" s="3">
        <v>349427</v>
      </c>
      <c r="D84" s="3">
        <v>563770</v>
      </c>
      <c r="E84" s="3">
        <v>546771</v>
      </c>
      <c r="F84" s="3">
        <v>515291</v>
      </c>
      <c r="G84" s="3">
        <v>129805</v>
      </c>
      <c r="H84" s="3">
        <v>282555</v>
      </c>
      <c r="I84" s="3">
        <v>395852</v>
      </c>
      <c r="J84" s="3">
        <v>524537</v>
      </c>
      <c r="K84" s="3">
        <v>157800</v>
      </c>
      <c r="L84" s="3">
        <v>336885</v>
      </c>
      <c r="M84" s="3">
        <v>507761</v>
      </c>
      <c r="N84" s="3">
        <v>682326</v>
      </c>
      <c r="O84" s="3">
        <v>171821</v>
      </c>
      <c r="P84" s="3">
        <v>348400</v>
      </c>
      <c r="Q84" s="3">
        <v>525089</v>
      </c>
      <c r="R84" s="3">
        <v>700510</v>
      </c>
      <c r="S84" s="3">
        <v>175421</v>
      </c>
      <c r="T84" s="3">
        <v>368119</v>
      </c>
      <c r="U84" s="3">
        <v>562618</v>
      </c>
      <c r="V84" s="3">
        <v>755258</v>
      </c>
      <c r="W84" s="58">
        <v>235292</v>
      </c>
      <c r="X84" s="3">
        <v>470585</v>
      </c>
      <c r="Y84" s="3">
        <v>707432</v>
      </c>
      <c r="Z84" s="3">
        <v>951094</v>
      </c>
      <c r="AA84" s="3">
        <v>250114</v>
      </c>
      <c r="AB84" s="3">
        <v>498917</v>
      </c>
      <c r="AC84" s="3">
        <v>730826</v>
      </c>
      <c r="AD84" s="3">
        <v>972021</v>
      </c>
      <c r="AE84" s="3">
        <v>247278</v>
      </c>
      <c r="AF84" s="3">
        <v>529757</v>
      </c>
      <c r="AG84" s="3">
        <v>785225</v>
      </c>
      <c r="AH84" s="3">
        <v>1021717</v>
      </c>
      <c r="AI84" s="3">
        <v>255469</v>
      </c>
    </row>
    <row r="85" spans="1:35" x14ac:dyDescent="0.3">
      <c r="A85" s="1" t="s">
        <v>155</v>
      </c>
      <c r="B85" s="3">
        <v>86060</v>
      </c>
      <c r="C85" s="3">
        <v>52340</v>
      </c>
      <c r="D85" s="3">
        <v>41161</v>
      </c>
      <c r="E85" s="3">
        <v>64593</v>
      </c>
      <c r="F85" s="3">
        <v>0</v>
      </c>
      <c r="G85" s="3">
        <v>7730</v>
      </c>
      <c r="H85" s="3">
        <v>15735</v>
      </c>
      <c r="I85" s="3">
        <v>23857</v>
      </c>
      <c r="J85" s="3">
        <v>0</v>
      </c>
      <c r="K85" s="3">
        <v>40719</v>
      </c>
      <c r="L85" s="3">
        <v>75631</v>
      </c>
      <c r="M85" s="3">
        <v>104932</v>
      </c>
      <c r="N85" s="3">
        <v>0</v>
      </c>
      <c r="O85" s="3">
        <v>44011</v>
      </c>
      <c r="P85" s="3">
        <v>88689</v>
      </c>
      <c r="Q85" s="3">
        <v>121522</v>
      </c>
      <c r="R85" s="3">
        <v>0</v>
      </c>
      <c r="S85" s="3">
        <v>52340</v>
      </c>
      <c r="T85" s="3">
        <v>104310</v>
      </c>
      <c r="U85" s="3">
        <v>154359</v>
      </c>
      <c r="V85" s="3">
        <v>0</v>
      </c>
      <c r="W85" s="58">
        <v>40895</v>
      </c>
      <c r="X85" s="3">
        <v>106908</v>
      </c>
      <c r="Y85" s="3">
        <v>151966</v>
      </c>
      <c r="Z85" s="3">
        <v>0</v>
      </c>
      <c r="AA85" s="3">
        <v>41788</v>
      </c>
      <c r="AB85" s="3">
        <v>84655</v>
      </c>
      <c r="AC85" s="3">
        <v>120095</v>
      </c>
      <c r="AD85" s="3">
        <v>0</v>
      </c>
      <c r="AE85" s="3">
        <v>34111</v>
      </c>
      <c r="AF85" s="3">
        <v>69259</v>
      </c>
      <c r="AG85" s="3">
        <v>105044</v>
      </c>
      <c r="AH85" s="3">
        <v>0</v>
      </c>
      <c r="AI85" s="3">
        <v>0</v>
      </c>
    </row>
    <row r="86" spans="1:35" x14ac:dyDescent="0.3">
      <c r="A86" s="1" t="s">
        <v>91</v>
      </c>
      <c r="B86" s="3">
        <v>0</v>
      </c>
      <c r="C86" s="3">
        <v>0</v>
      </c>
      <c r="D86" s="3">
        <v>0</v>
      </c>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c r="AI86" s="3">
        <v>0</v>
      </c>
    </row>
    <row r="87" spans="1:35" x14ac:dyDescent="0.3">
      <c r="A87" s="1" t="s">
        <v>156</v>
      </c>
      <c r="B87" s="3">
        <v>0</v>
      </c>
      <c r="C87" s="3">
        <v>0</v>
      </c>
      <c r="D87" s="3">
        <v>0</v>
      </c>
      <c r="E87" s="3">
        <v>0</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134760</v>
      </c>
      <c r="AB87" s="3">
        <v>221275</v>
      </c>
      <c r="AC87" s="3">
        <v>316280</v>
      </c>
      <c r="AD87" s="3">
        <v>0</v>
      </c>
      <c r="AE87" s="3">
        <v>84104</v>
      </c>
      <c r="AF87" s="3">
        <v>0</v>
      </c>
      <c r="AG87" s="3">
        <v>153292</v>
      </c>
      <c r="AH87" s="3">
        <v>0</v>
      </c>
      <c r="AI87" s="3">
        <v>40092</v>
      </c>
    </row>
    <row r="88" spans="1:35" x14ac:dyDescent="0.3">
      <c r="A88" s="1" t="s">
        <v>157</v>
      </c>
      <c r="B88" s="3">
        <v>27600</v>
      </c>
      <c r="C88" s="3">
        <v>17303</v>
      </c>
      <c r="D88" s="3">
        <v>43366</v>
      </c>
      <c r="E88" s="3">
        <v>178340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8987</v>
      </c>
      <c r="AH88" s="3">
        <v>0</v>
      </c>
      <c r="AI88" s="3">
        <v>0</v>
      </c>
    </row>
    <row r="89" spans="1:35" x14ac:dyDescent="0.3">
      <c r="A89" s="1" t="s">
        <v>158</v>
      </c>
      <c r="B89" s="3">
        <v>54321</v>
      </c>
      <c r="C89" s="3">
        <v>203236</v>
      </c>
      <c r="D89" s="3">
        <v>201340</v>
      </c>
      <c r="E89" s="3">
        <v>113675</v>
      </c>
      <c r="F89" s="3">
        <v>323742</v>
      </c>
      <c r="G89" s="3">
        <v>10859</v>
      </c>
      <c r="H89" s="3">
        <v>35342</v>
      </c>
      <c r="I89" s="3">
        <v>82447</v>
      </c>
      <c r="J89" s="3">
        <v>223760</v>
      </c>
      <c r="K89" s="3">
        <v>5504</v>
      </c>
      <c r="L89" s="3">
        <v>19665</v>
      </c>
      <c r="M89" s="3">
        <v>19665</v>
      </c>
      <c r="N89" s="3">
        <v>133679</v>
      </c>
      <c r="O89" s="3">
        <v>8609</v>
      </c>
      <c r="P89" s="3">
        <v>10727</v>
      </c>
      <c r="Q89" s="3">
        <v>10727</v>
      </c>
      <c r="R89" s="3">
        <v>270917</v>
      </c>
      <c r="S89" s="3">
        <v>8065</v>
      </c>
      <c r="T89" s="3">
        <v>84509</v>
      </c>
      <c r="U89" s="3">
        <v>105823</v>
      </c>
      <c r="V89" s="3">
        <f>576526+36601</f>
        <v>613127</v>
      </c>
      <c r="W89" s="3">
        <v>446</v>
      </c>
      <c r="X89" s="3">
        <v>7369</v>
      </c>
      <c r="Y89" s="3">
        <v>10483</v>
      </c>
      <c r="Z89" s="3">
        <f>749303</f>
        <v>749303</v>
      </c>
      <c r="AA89" s="3">
        <v>13910</v>
      </c>
      <c r="AB89" s="3">
        <v>11545</v>
      </c>
      <c r="AC89" s="3">
        <v>14906</v>
      </c>
      <c r="AD89" s="3">
        <f>394824</f>
        <v>394824</v>
      </c>
      <c r="AE89" s="3">
        <v>1407</v>
      </c>
      <c r="AF89" s="3">
        <v>4958</v>
      </c>
      <c r="AG89" s="3">
        <v>9235</v>
      </c>
      <c r="AH89" s="3">
        <v>214456</v>
      </c>
      <c r="AI89" s="3">
        <v>953</v>
      </c>
    </row>
    <row r="90" spans="1:35" x14ac:dyDescent="0.3">
      <c r="A90" s="1" t="s">
        <v>159</v>
      </c>
      <c r="B90" s="3">
        <v>0</v>
      </c>
      <c r="C90" s="3">
        <v>0</v>
      </c>
      <c r="D90" s="3">
        <v>0</v>
      </c>
      <c r="E90" s="3">
        <v>0</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1042</v>
      </c>
      <c r="AC90" s="3">
        <v>2143</v>
      </c>
      <c r="AD90" s="3">
        <v>0</v>
      </c>
      <c r="AE90" s="3">
        <v>2181</v>
      </c>
      <c r="AF90" s="3">
        <v>4362</v>
      </c>
      <c r="AG90" s="3">
        <v>6702</v>
      </c>
      <c r="AH90" s="3">
        <v>0</v>
      </c>
      <c r="AI90" s="3">
        <v>1818</v>
      </c>
    </row>
    <row r="91" spans="1:35" x14ac:dyDescent="0.3">
      <c r="B91" s="3"/>
      <c r="C91" s="3"/>
      <c r="D91" s="3"/>
      <c r="E91" s="3"/>
      <c r="F91" s="3"/>
      <c r="G91" s="3"/>
      <c r="H91" s="3"/>
      <c r="I91" s="3"/>
      <c r="J91" s="3"/>
      <c r="K91" s="3"/>
      <c r="L91" s="3"/>
      <c r="M91" s="3"/>
      <c r="N91" s="3"/>
      <c r="O91" s="3"/>
      <c r="P91" s="3"/>
      <c r="Q91" s="3"/>
      <c r="R91" s="3"/>
      <c r="S91" s="3"/>
      <c r="T91" s="3"/>
      <c r="U91" s="3"/>
      <c r="V91" s="3"/>
    </row>
    <row r="92" spans="1:35" x14ac:dyDescent="0.3">
      <c r="A92" s="6" t="s">
        <v>92</v>
      </c>
      <c r="B92" s="7">
        <f>SUM(B72:B91)</f>
        <v>601218</v>
      </c>
      <c r="C92" s="7">
        <f t="shared" ref="C92:Z92" si="92">SUM(C72:C91)</f>
        <v>661224</v>
      </c>
      <c r="D92" s="7">
        <f t="shared" si="92"/>
        <v>1724502</v>
      </c>
      <c r="E92" s="7">
        <f t="shared" si="92"/>
        <v>1885748</v>
      </c>
      <c r="F92" s="7">
        <f t="shared" si="92"/>
        <v>1852019</v>
      </c>
      <c r="G92" s="7">
        <f t="shared" si="92"/>
        <v>403164</v>
      </c>
      <c r="H92" s="7">
        <f t="shared" si="92"/>
        <v>808077</v>
      </c>
      <c r="I92" s="7">
        <f t="shared" si="92"/>
        <v>1297231</v>
      </c>
      <c r="J92" s="7">
        <f t="shared" si="92"/>
        <v>1767489</v>
      </c>
      <c r="K92" s="7">
        <f t="shared" si="92"/>
        <v>442297</v>
      </c>
      <c r="L92" s="7">
        <f t="shared" si="92"/>
        <v>900869</v>
      </c>
      <c r="M92" s="7">
        <f t="shared" si="92"/>
        <v>1359988</v>
      </c>
      <c r="N92" s="7">
        <f t="shared" si="92"/>
        <v>1902711</v>
      </c>
      <c r="O92" s="7">
        <f t="shared" si="92"/>
        <v>514219</v>
      </c>
      <c r="P92" s="7">
        <f t="shared" si="92"/>
        <v>1082320</v>
      </c>
      <c r="Q92" s="7">
        <f t="shared" si="92"/>
        <v>1579319</v>
      </c>
      <c r="R92" s="7">
        <f t="shared" si="92"/>
        <v>2121594</v>
      </c>
      <c r="S92" s="7">
        <f t="shared" si="92"/>
        <v>589992</v>
      </c>
      <c r="T92" s="7">
        <f t="shared" si="92"/>
        <v>1248356</v>
      </c>
      <c r="U92" s="7">
        <f t="shared" si="92"/>
        <v>1920163</v>
      </c>
      <c r="V92" s="7">
        <f t="shared" si="92"/>
        <v>2595088</v>
      </c>
      <c r="W92" s="7">
        <f t="shared" si="92"/>
        <v>697192</v>
      </c>
      <c r="X92" s="7">
        <f t="shared" si="92"/>
        <v>1448487</v>
      </c>
      <c r="Y92" s="7">
        <f t="shared" si="92"/>
        <v>2182785</v>
      </c>
      <c r="Z92" s="7">
        <f t="shared" si="92"/>
        <v>3185160</v>
      </c>
      <c r="AA92" s="7">
        <f t="shared" ref="AA92:AB92" si="93">SUM(AA72:AA91)</f>
        <v>800641</v>
      </c>
      <c r="AB92" s="7">
        <f t="shared" si="93"/>
        <v>1468610</v>
      </c>
      <c r="AC92" s="7">
        <f t="shared" ref="AC92:AD92" si="94">SUM(AC72:AC91)</f>
        <v>2131302</v>
      </c>
      <c r="AD92" s="7">
        <f t="shared" si="94"/>
        <v>2799489</v>
      </c>
      <c r="AE92" s="7">
        <f t="shared" ref="AE92:AF92" si="95">SUM(AE72:AE91)</f>
        <v>670551</v>
      </c>
      <c r="AF92" s="7">
        <f t="shared" si="95"/>
        <v>1311834</v>
      </c>
      <c r="AG92" s="7">
        <f t="shared" ref="AG92:AH92" si="96">SUM(AG72:AG91)</f>
        <v>1984555</v>
      </c>
      <c r="AH92" s="7">
        <f t="shared" si="96"/>
        <v>2631832</v>
      </c>
      <c r="AI92" s="7">
        <f t="shared" ref="AI92" si="97">SUM(AI72:AI91)</f>
        <v>680699</v>
      </c>
    </row>
    <row r="94" spans="1:35" x14ac:dyDescent="0.3">
      <c r="A94" s="6" t="s">
        <v>93</v>
      </c>
      <c r="B94" s="3"/>
      <c r="C94" s="3"/>
      <c r="D94" s="3"/>
      <c r="E94" s="3"/>
      <c r="F94" s="3"/>
      <c r="G94" s="3"/>
      <c r="H94" s="3"/>
      <c r="I94" s="3"/>
      <c r="J94" s="3"/>
      <c r="K94" s="3"/>
      <c r="L94" s="3"/>
      <c r="M94" s="3"/>
      <c r="N94" s="3"/>
      <c r="O94" s="3"/>
      <c r="P94" s="3"/>
      <c r="Q94" s="3"/>
      <c r="R94" s="3"/>
      <c r="S94" s="3"/>
      <c r="T94" s="3"/>
      <c r="U94" s="3"/>
      <c r="V94" s="3"/>
    </row>
    <row r="95" spans="1:35" x14ac:dyDescent="0.3">
      <c r="A95" s="1" t="s">
        <v>94</v>
      </c>
      <c r="B95" s="3">
        <v>4669468</v>
      </c>
      <c r="C95" s="3">
        <v>4430421</v>
      </c>
      <c r="D95" s="3">
        <v>4797440</v>
      </c>
      <c r="E95" s="3">
        <v>4701201</v>
      </c>
      <c r="F95" s="3">
        <v>4633192</v>
      </c>
      <c r="G95" s="3">
        <v>1084953</v>
      </c>
      <c r="H95" s="3">
        <v>2190705</v>
      </c>
      <c r="I95" s="3">
        <v>3317540</v>
      </c>
      <c r="J95" s="3">
        <v>4452470</v>
      </c>
      <c r="K95" s="3">
        <v>974903</v>
      </c>
      <c r="L95" s="3">
        <v>1957850</v>
      </c>
      <c r="M95" s="3">
        <v>2951020</v>
      </c>
      <c r="N95" s="3">
        <v>3958724</v>
      </c>
      <c r="O95" s="3">
        <v>955316</v>
      </c>
      <c r="P95" s="3">
        <v>1932395</v>
      </c>
      <c r="Q95" s="3">
        <v>2930870</v>
      </c>
      <c r="R95" s="3">
        <v>3955567</v>
      </c>
      <c r="S95" s="3">
        <v>1383147</v>
      </c>
      <c r="T95" s="3">
        <v>2833015</v>
      </c>
      <c r="U95" s="3">
        <v>4352007</v>
      </c>
      <c r="V95" s="3">
        <v>5918939</v>
      </c>
      <c r="W95" s="3">
        <v>1357477</v>
      </c>
      <c r="X95" s="3">
        <v>2754250</v>
      </c>
      <c r="Y95" s="3">
        <v>4175966</v>
      </c>
      <c r="Z95" s="3">
        <v>5629201</v>
      </c>
      <c r="AA95" s="3">
        <v>1578213</v>
      </c>
      <c r="AB95" s="3">
        <v>3179064</v>
      </c>
      <c r="AC95" s="3">
        <v>4811422</v>
      </c>
      <c r="AD95" s="3">
        <v>6463908</v>
      </c>
      <c r="AE95" s="3">
        <v>1598383</v>
      </c>
      <c r="AF95" s="3">
        <v>3237844</v>
      </c>
      <c r="AG95" s="3">
        <v>4814358</v>
      </c>
      <c r="AH95" s="3">
        <v>6361138</v>
      </c>
      <c r="AI95" s="3">
        <v>1525720</v>
      </c>
    </row>
    <row r="96" spans="1:35" x14ac:dyDescent="0.3">
      <c r="A96" s="1" t="s">
        <v>95</v>
      </c>
      <c r="B96" s="3">
        <v>0</v>
      </c>
      <c r="C96" s="3">
        <v>0</v>
      </c>
      <c r="D96" s="3">
        <v>0</v>
      </c>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8039</v>
      </c>
      <c r="AI96" s="3">
        <v>0</v>
      </c>
    </row>
    <row r="97" spans="1:35" x14ac:dyDescent="0.3">
      <c r="A97" s="1" t="s">
        <v>96</v>
      </c>
      <c r="B97" s="3">
        <v>143397</v>
      </c>
      <c r="C97" s="3">
        <v>107391</v>
      </c>
      <c r="D97" s="3">
        <v>44096</v>
      </c>
      <c r="E97" s="3">
        <v>0</v>
      </c>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0</v>
      </c>
      <c r="AI97" s="3">
        <v>0</v>
      </c>
    </row>
    <row r="98" spans="1:35" x14ac:dyDescent="0.3">
      <c r="A98" s="1" t="s">
        <v>97</v>
      </c>
      <c r="B98" s="3">
        <v>42879</v>
      </c>
      <c r="C98" s="3">
        <v>1017</v>
      </c>
      <c r="D98" s="3">
        <v>326</v>
      </c>
      <c r="E98" s="3">
        <v>9801</v>
      </c>
      <c r="F98" s="3">
        <v>156256</v>
      </c>
      <c r="G98" s="3">
        <v>78598</v>
      </c>
      <c r="H98" s="3">
        <v>186167</v>
      </c>
      <c r="I98" s="3">
        <v>160548</v>
      </c>
      <c r="J98" s="3">
        <v>160606</v>
      </c>
      <c r="K98" s="3">
        <v>9</v>
      </c>
      <c r="L98" s="3">
        <v>16</v>
      </c>
      <c r="M98" s="3">
        <v>16</v>
      </c>
      <c r="N98" s="3">
        <v>24049</v>
      </c>
      <c r="O98" s="3">
        <v>31</v>
      </c>
      <c r="P98" s="3">
        <v>144</v>
      </c>
      <c r="Q98" s="3">
        <v>3928</v>
      </c>
      <c r="R98" s="3">
        <v>3963</v>
      </c>
      <c r="S98" s="3">
        <v>0</v>
      </c>
      <c r="T98" s="3">
        <v>39</v>
      </c>
      <c r="U98" s="3">
        <v>39</v>
      </c>
      <c r="V98" s="3">
        <v>7238</v>
      </c>
      <c r="W98" s="3">
        <v>0</v>
      </c>
      <c r="X98" s="3">
        <v>6002</v>
      </c>
      <c r="Y98" s="3">
        <v>15729</v>
      </c>
      <c r="Z98" s="3">
        <v>15765</v>
      </c>
      <c r="AA98" s="3">
        <v>174</v>
      </c>
      <c r="AB98" s="3">
        <v>174</v>
      </c>
      <c r="AC98" s="3">
        <v>174</v>
      </c>
      <c r="AD98" s="3">
        <v>174</v>
      </c>
      <c r="AE98" s="3">
        <v>0</v>
      </c>
      <c r="AF98" s="3">
        <v>0</v>
      </c>
      <c r="AG98" s="3">
        <v>16</v>
      </c>
      <c r="AH98" s="3">
        <v>0</v>
      </c>
      <c r="AI98" s="3">
        <v>0</v>
      </c>
    </row>
    <row r="99" spans="1:35" x14ac:dyDescent="0.3">
      <c r="A99" s="6" t="s">
        <v>92</v>
      </c>
      <c r="B99" s="7">
        <f>SUM(B95:B98)</f>
        <v>4855744</v>
      </c>
      <c r="C99" s="7">
        <f>SUM(C95:C98)</f>
        <v>4538829</v>
      </c>
      <c r="D99" s="7">
        <f t="shared" ref="D99:Z99" si="98">SUM(D95:D98)</f>
        <v>4841862</v>
      </c>
      <c r="E99" s="7">
        <f t="shared" si="98"/>
        <v>4711002</v>
      </c>
      <c r="F99" s="7">
        <f t="shared" si="98"/>
        <v>4789448</v>
      </c>
      <c r="G99" s="7">
        <f t="shared" si="98"/>
        <v>1163551</v>
      </c>
      <c r="H99" s="7">
        <f t="shared" si="98"/>
        <v>2376872</v>
      </c>
      <c r="I99" s="7">
        <f t="shared" si="98"/>
        <v>3478088</v>
      </c>
      <c r="J99" s="7">
        <f t="shared" si="98"/>
        <v>4613076</v>
      </c>
      <c r="K99" s="7">
        <f t="shared" si="98"/>
        <v>974912</v>
      </c>
      <c r="L99" s="7">
        <f t="shared" si="98"/>
        <v>1957866</v>
      </c>
      <c r="M99" s="7">
        <f t="shared" si="98"/>
        <v>2951036</v>
      </c>
      <c r="N99" s="7">
        <f t="shared" si="98"/>
        <v>3982773</v>
      </c>
      <c r="O99" s="7">
        <f t="shared" si="98"/>
        <v>955347</v>
      </c>
      <c r="P99" s="7">
        <f t="shared" si="98"/>
        <v>1932539</v>
      </c>
      <c r="Q99" s="7">
        <f t="shared" si="98"/>
        <v>2934798</v>
      </c>
      <c r="R99" s="7">
        <f t="shared" si="98"/>
        <v>3959530</v>
      </c>
      <c r="S99" s="7">
        <f t="shared" si="98"/>
        <v>1383147</v>
      </c>
      <c r="T99" s="7">
        <f t="shared" si="98"/>
        <v>2833054</v>
      </c>
      <c r="U99" s="7">
        <f t="shared" si="98"/>
        <v>4352046</v>
      </c>
      <c r="V99" s="7">
        <f t="shared" si="98"/>
        <v>5926177</v>
      </c>
      <c r="W99" s="7">
        <f t="shared" si="98"/>
        <v>1357477</v>
      </c>
      <c r="X99" s="7">
        <f t="shared" si="98"/>
        <v>2760252</v>
      </c>
      <c r="Y99" s="7">
        <f t="shared" si="98"/>
        <v>4191695</v>
      </c>
      <c r="Z99" s="7">
        <f t="shared" si="98"/>
        <v>5644966</v>
      </c>
      <c r="AA99" s="7">
        <f t="shared" ref="AA99:AB99" si="99">SUM(AA95:AA98)</f>
        <v>1578387</v>
      </c>
      <c r="AB99" s="7">
        <f t="shared" si="99"/>
        <v>3179238</v>
      </c>
      <c r="AC99" s="7">
        <f t="shared" ref="AC99:AD99" si="100">SUM(AC95:AC98)</f>
        <v>4811596</v>
      </c>
      <c r="AD99" s="7">
        <f t="shared" si="100"/>
        <v>6464082</v>
      </c>
      <c r="AE99" s="7">
        <f t="shared" ref="AE99:AF99" si="101">SUM(AE95:AE98)</f>
        <v>1598383</v>
      </c>
      <c r="AF99" s="7">
        <f t="shared" si="101"/>
        <v>3237844</v>
      </c>
      <c r="AG99" s="7">
        <f t="shared" ref="AG99:AH99" si="102">SUM(AG95:AG98)</f>
        <v>4814374</v>
      </c>
      <c r="AH99" s="7">
        <f t="shared" si="102"/>
        <v>6369177</v>
      </c>
      <c r="AI99" s="7">
        <f t="shared" ref="AI99" si="103">SUM(AI95:AI98)</f>
        <v>1525720</v>
      </c>
    </row>
    <row r="101" spans="1:35" x14ac:dyDescent="0.3">
      <c r="A101" s="1" t="s">
        <v>98</v>
      </c>
      <c r="B101" s="3">
        <f>+B92+B99+B59+B51+B54</f>
        <v>0</v>
      </c>
      <c r="C101" s="3">
        <f t="shared" ref="C101:Z101" si="104">+C92+C99+C59+C51+C54</f>
        <v>0</v>
      </c>
      <c r="D101" s="3">
        <f t="shared" si="104"/>
        <v>0</v>
      </c>
      <c r="E101" s="3">
        <f t="shared" si="104"/>
        <v>0</v>
      </c>
      <c r="F101" s="3">
        <f t="shared" si="104"/>
        <v>0</v>
      </c>
      <c r="G101" s="3">
        <f t="shared" si="104"/>
        <v>0</v>
      </c>
      <c r="H101" s="3">
        <f t="shared" si="104"/>
        <v>0</v>
      </c>
      <c r="I101" s="3">
        <f t="shared" si="104"/>
        <v>0</v>
      </c>
      <c r="J101" s="3">
        <f t="shared" si="104"/>
        <v>0</v>
      </c>
      <c r="K101" s="3">
        <f t="shared" si="104"/>
        <v>0</v>
      </c>
      <c r="L101" s="3">
        <f t="shared" si="104"/>
        <v>0</v>
      </c>
      <c r="M101" s="3">
        <f t="shared" si="104"/>
        <v>0</v>
      </c>
      <c r="N101" s="3">
        <f t="shared" si="104"/>
        <v>0</v>
      </c>
      <c r="O101" s="3">
        <f t="shared" si="104"/>
        <v>0</v>
      </c>
      <c r="P101" s="3">
        <f t="shared" si="104"/>
        <v>0</v>
      </c>
      <c r="Q101" s="3">
        <f t="shared" si="104"/>
        <v>0</v>
      </c>
      <c r="R101" s="3">
        <f t="shared" si="104"/>
        <v>0</v>
      </c>
      <c r="S101" s="3">
        <f t="shared" si="104"/>
        <v>0</v>
      </c>
      <c r="T101" s="3">
        <f t="shared" si="104"/>
        <v>0</v>
      </c>
      <c r="U101" s="3">
        <f t="shared" si="104"/>
        <v>0</v>
      </c>
      <c r="V101" s="3">
        <f t="shared" si="104"/>
        <v>0</v>
      </c>
      <c r="W101" s="3">
        <f t="shared" si="104"/>
        <v>0</v>
      </c>
      <c r="X101" s="3">
        <f t="shared" si="104"/>
        <v>0</v>
      </c>
      <c r="Y101" s="3">
        <f t="shared" si="104"/>
        <v>0</v>
      </c>
      <c r="Z101" s="3">
        <f t="shared" si="104"/>
        <v>0</v>
      </c>
      <c r="AA101" s="3">
        <f t="shared" ref="AA101:AC101" si="105">+AA92+AA99+AA59+AA51+AA54</f>
        <v>0</v>
      </c>
      <c r="AB101" s="3">
        <f t="shared" si="105"/>
        <v>0</v>
      </c>
      <c r="AC101" s="3">
        <f t="shared" si="105"/>
        <v>0</v>
      </c>
      <c r="AD101" s="3">
        <f t="shared" ref="AD101:AE101" si="106">+AD92+AD99+AD59+AD51+AD54</f>
        <v>0</v>
      </c>
      <c r="AE101" s="3">
        <f t="shared" si="106"/>
        <v>0</v>
      </c>
      <c r="AF101" s="3">
        <f t="shared" ref="AF101:AG101" si="107">+AF92+AF99+AF59+AF51+AF54</f>
        <v>0</v>
      </c>
      <c r="AG101" s="3">
        <f t="shared" si="107"/>
        <v>0</v>
      </c>
      <c r="AH101" s="3">
        <f t="shared" ref="AH101:AI101" si="108">+AH92+AH99+AH59+AH51+AH54</f>
        <v>0</v>
      </c>
      <c r="AI101" s="3">
        <f t="shared" si="108"/>
        <v>0</v>
      </c>
    </row>
    <row r="102" spans="1:35" s="8" customFormat="1" x14ac:dyDescent="0.3">
      <c r="A102" s="8" t="s">
        <v>160</v>
      </c>
      <c r="B102" s="22">
        <v>1</v>
      </c>
      <c r="C102" s="22">
        <v>1</v>
      </c>
      <c r="D102" s="22">
        <v>1</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c r="AI102" s="22">
        <v>1</v>
      </c>
    </row>
    <row r="103" spans="1:35" x14ac:dyDescent="0.3">
      <c r="A103" s="1" t="s">
        <v>99</v>
      </c>
    </row>
    <row r="104" spans="1:35" x14ac:dyDescent="0.3">
      <c r="A104" s="1" t="s">
        <v>163</v>
      </c>
    </row>
    <row r="105" spans="1:35" x14ac:dyDescent="0.3">
      <c r="A105" s="1" t="s">
        <v>162</v>
      </c>
    </row>
  </sheetData>
  <pageMargins left="0.7" right="0.7" top="0.75" bottom="0.75" header="0.3" footer="0.3"/>
  <pageSetup scale="3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0846E-E0CF-46E5-84AD-757771AE4D78}">
  <sheetPr>
    <pageSetUpPr fitToPage="1"/>
  </sheetPr>
  <dimension ref="A1:AI106"/>
  <sheetViews>
    <sheetView workbookViewId="0">
      <pane xSplit="1" ySplit="1" topLeftCell="AA73" activePane="bottomRight" state="frozen"/>
      <selection pane="topRight" activeCell="E93" sqref="E93"/>
      <selection pane="bottomLeft" activeCell="E93" sqref="E93"/>
      <selection pane="bottomRight" activeCell="AI97" sqref="AI97"/>
    </sheetView>
  </sheetViews>
  <sheetFormatPr baseColWidth="10" defaultColWidth="11.44140625" defaultRowHeight="14.4" x14ac:dyDescent="0.3"/>
  <cols>
    <col min="1" max="1" width="71.88671875" style="1" bestFit="1" customWidth="1"/>
    <col min="2" max="22" width="12.88671875" style="1" customWidth="1"/>
    <col min="23" max="35" width="12.44140625" style="1" bestFit="1" customWidth="1"/>
    <col min="36" max="16384" width="11.44140625" style="1"/>
  </cols>
  <sheetData>
    <row r="1" spans="1:35"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f>+'Rentas SpA'!AB1</f>
        <v>45473</v>
      </c>
      <c r="AC1" s="2">
        <f>+'Rentas SpA'!AC1</f>
        <v>45565</v>
      </c>
      <c r="AD1" s="2">
        <v>45657</v>
      </c>
      <c r="AE1" s="2">
        <f>+'Rentas SpA'!AE1</f>
        <v>45747</v>
      </c>
      <c r="AF1" s="2">
        <f>+'Rentas SpA'!AF1</f>
        <v>45838</v>
      </c>
      <c r="AG1" s="2">
        <f>+'Rentas SpA'!AG1</f>
        <v>45930</v>
      </c>
      <c r="AH1" s="2">
        <f>+'Rentas SpA'!AH1</f>
        <v>46022</v>
      </c>
      <c r="AI1" s="2">
        <f>+'Rentas SpA'!AI1</f>
        <v>46112</v>
      </c>
    </row>
    <row r="2" spans="1:35" s="6" customFormat="1" x14ac:dyDescent="0.3">
      <c r="A2" s="6" t="s">
        <v>271</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c r="AH2" s="10"/>
      <c r="AI2" s="10"/>
    </row>
    <row r="3" spans="1:35"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x14ac:dyDescent="0.3">
      <c r="A5" s="1" t="s">
        <v>11</v>
      </c>
      <c r="B5" s="3"/>
      <c r="C5" s="3"/>
      <c r="D5" s="3"/>
      <c r="E5" s="3"/>
      <c r="F5" s="3">
        <v>224379</v>
      </c>
      <c r="G5" s="3">
        <v>433883</v>
      </c>
      <c r="H5" s="3">
        <v>538132</v>
      </c>
      <c r="I5" s="3">
        <v>1198802</v>
      </c>
      <c r="J5" s="3">
        <v>116887</v>
      </c>
      <c r="K5" s="3">
        <v>910366</v>
      </c>
      <c r="L5" s="3">
        <v>187861</v>
      </c>
      <c r="M5" s="3">
        <v>3586903</v>
      </c>
      <c r="N5" s="3">
        <v>2665825</v>
      </c>
      <c r="O5" s="3">
        <v>1091782</v>
      </c>
      <c r="P5" s="3">
        <v>415366</v>
      </c>
      <c r="Q5" s="3">
        <v>393692</v>
      </c>
      <c r="R5" s="3">
        <v>310791</v>
      </c>
      <c r="S5" s="3">
        <v>1239395</v>
      </c>
      <c r="T5" s="3">
        <v>22325</v>
      </c>
      <c r="U5" s="3">
        <v>400125</v>
      </c>
      <c r="V5" s="3">
        <v>357090</v>
      </c>
      <c r="W5" s="3">
        <v>1551164</v>
      </c>
      <c r="X5" s="3">
        <v>324423</v>
      </c>
      <c r="Y5" s="3">
        <v>113895</v>
      </c>
      <c r="Z5" s="3">
        <v>290832</v>
      </c>
      <c r="AA5" s="3">
        <v>112816</v>
      </c>
      <c r="AB5" s="3">
        <v>544986</v>
      </c>
      <c r="AC5" s="3">
        <v>201667</v>
      </c>
      <c r="AD5" s="3">
        <v>127794</v>
      </c>
      <c r="AE5" s="3">
        <v>200168</v>
      </c>
      <c r="AF5" s="3">
        <v>352356</v>
      </c>
      <c r="AG5" s="3">
        <v>157140</v>
      </c>
      <c r="AH5" s="3">
        <v>400914</v>
      </c>
      <c r="AI5" s="3">
        <v>681592</v>
      </c>
    </row>
    <row r="6" spans="1:35" x14ac:dyDescent="0.3">
      <c r="A6" s="1" t="s">
        <v>101</v>
      </c>
      <c r="B6" s="3"/>
      <c r="C6" s="3"/>
      <c r="D6" s="3"/>
      <c r="E6" s="3"/>
      <c r="F6" s="3">
        <v>11920</v>
      </c>
      <c r="G6" s="3">
        <v>2939</v>
      </c>
      <c r="H6" s="3">
        <v>5983</v>
      </c>
      <c r="I6" s="3">
        <v>9072</v>
      </c>
      <c r="J6" s="3">
        <v>12242</v>
      </c>
      <c r="K6" s="3">
        <v>6461</v>
      </c>
      <c r="L6" s="3">
        <v>0</v>
      </c>
      <c r="M6" s="3">
        <v>0</v>
      </c>
      <c r="N6" s="3">
        <v>15028</v>
      </c>
      <c r="O6" s="3">
        <v>2845</v>
      </c>
      <c r="P6" s="3">
        <v>0</v>
      </c>
      <c r="Q6" s="3">
        <v>0</v>
      </c>
      <c r="R6" s="3">
        <v>0</v>
      </c>
      <c r="S6" s="3">
        <v>0</v>
      </c>
      <c r="T6" s="3">
        <v>0</v>
      </c>
      <c r="U6" s="3">
        <v>228168</v>
      </c>
      <c r="V6" s="3">
        <v>236199</v>
      </c>
      <c r="W6" s="3">
        <v>241678.59899999999</v>
      </c>
      <c r="X6" s="3">
        <v>247609.19099999999</v>
      </c>
      <c r="Y6" s="3">
        <v>250848.22099999999</v>
      </c>
      <c r="Z6" s="3">
        <v>0</v>
      </c>
      <c r="AA6" s="3">
        <v>0</v>
      </c>
      <c r="AB6" s="3">
        <v>290717</v>
      </c>
      <c r="AC6" s="3">
        <v>294819</v>
      </c>
      <c r="AD6" s="3">
        <v>320501</v>
      </c>
      <c r="AE6" s="3">
        <v>305500.25199999998</v>
      </c>
      <c r="AF6" s="3">
        <v>0</v>
      </c>
      <c r="AG6" s="3">
        <v>0</v>
      </c>
      <c r="AH6" s="3">
        <v>20926</v>
      </c>
      <c r="AI6" s="3">
        <v>0</v>
      </c>
    </row>
    <row r="7" spans="1:35" x14ac:dyDescent="0.3">
      <c r="A7" s="1" t="s">
        <v>102</v>
      </c>
      <c r="B7" s="3"/>
      <c r="C7" s="3"/>
      <c r="D7" s="3"/>
      <c r="E7" s="3"/>
      <c r="F7" s="3">
        <v>155287</v>
      </c>
      <c r="G7" s="3">
        <v>95737</v>
      </c>
      <c r="H7" s="3">
        <v>95188</v>
      </c>
      <c r="I7" s="3">
        <v>94204</v>
      </c>
      <c r="J7" s="3">
        <v>0</v>
      </c>
      <c r="K7" s="3">
        <v>144373</v>
      </c>
      <c r="L7" s="3">
        <v>126160</v>
      </c>
      <c r="M7" s="3">
        <v>107285</v>
      </c>
      <c r="N7" s="3">
        <v>36970</v>
      </c>
      <c r="O7" s="3">
        <v>40520</v>
      </c>
      <c r="P7" s="3">
        <v>17918</v>
      </c>
      <c r="Q7" s="3">
        <v>113453</v>
      </c>
      <c r="R7" s="3">
        <v>125565</v>
      </c>
      <c r="S7" s="3">
        <v>98101</v>
      </c>
      <c r="T7" s="3">
        <v>70202</v>
      </c>
      <c r="U7" s="3">
        <v>39083</v>
      </c>
      <c r="V7" s="3">
        <v>5615</v>
      </c>
      <c r="W7" s="3">
        <v>177245</v>
      </c>
      <c r="X7" s="3">
        <v>145139</v>
      </c>
      <c r="Y7" s="3">
        <v>110422</v>
      </c>
      <c r="Z7" s="3">
        <v>76501</v>
      </c>
      <c r="AA7" s="3">
        <v>41504</v>
      </c>
      <c r="AB7" s="3">
        <v>5979</v>
      </c>
      <c r="AC7" s="3">
        <v>147679</v>
      </c>
      <c r="AD7" s="3">
        <v>120339</v>
      </c>
      <c r="AE7" s="3">
        <v>92979</v>
      </c>
      <c r="AF7" s="3">
        <v>64414</v>
      </c>
      <c r="AG7" s="3">
        <v>34828</v>
      </c>
      <c r="AH7" s="3">
        <v>4912</v>
      </c>
      <c r="AI7" s="3">
        <v>95434</v>
      </c>
    </row>
    <row r="8" spans="1:35" x14ac:dyDescent="0.3">
      <c r="A8" s="1" t="s">
        <v>103</v>
      </c>
      <c r="B8" s="3"/>
      <c r="C8" s="3"/>
      <c r="D8" s="3"/>
      <c r="E8" s="3"/>
      <c r="F8" s="3">
        <v>14074440</v>
      </c>
      <c r="G8" s="3">
        <v>9265</v>
      </c>
      <c r="H8" s="3">
        <v>9173</v>
      </c>
      <c r="I8" s="3">
        <v>59410</v>
      </c>
      <c r="J8" s="3">
        <v>51240</v>
      </c>
      <c r="K8" s="3">
        <v>57284</v>
      </c>
      <c r="L8" s="3">
        <v>413346</v>
      </c>
      <c r="M8" s="3">
        <v>438504</v>
      </c>
      <c r="N8" s="3">
        <v>863215</v>
      </c>
      <c r="O8" s="3">
        <v>262839</v>
      </c>
      <c r="P8" s="3">
        <v>146514</v>
      </c>
      <c r="Q8" s="3">
        <v>110035</v>
      </c>
      <c r="R8" s="3">
        <v>152896</v>
      </c>
      <c r="S8" s="3">
        <v>241190</v>
      </c>
      <c r="T8" s="3">
        <v>221221</v>
      </c>
      <c r="U8" s="3">
        <v>318865</v>
      </c>
      <c r="V8" s="3">
        <v>205789</v>
      </c>
      <c r="W8" s="3">
        <v>196748</v>
      </c>
      <c r="X8" s="3">
        <v>307016</v>
      </c>
      <c r="Y8" s="3">
        <v>57908</v>
      </c>
      <c r="Z8" s="3">
        <v>163043</v>
      </c>
      <c r="AA8" s="3">
        <v>104744</v>
      </c>
      <c r="AB8" s="3">
        <v>121187</v>
      </c>
      <c r="AC8" s="3">
        <v>59464</v>
      </c>
      <c r="AD8" s="3">
        <v>112746</v>
      </c>
      <c r="AE8" s="3">
        <v>26509</v>
      </c>
      <c r="AF8" s="3">
        <v>25397</v>
      </c>
      <c r="AG8" s="3">
        <v>41121</v>
      </c>
      <c r="AH8" s="3">
        <v>135484</v>
      </c>
      <c r="AI8" s="3">
        <v>505536</v>
      </c>
    </row>
    <row r="9" spans="1:35" x14ac:dyDescent="0.3">
      <c r="A9" s="1" t="s">
        <v>104</v>
      </c>
      <c r="B9" s="3"/>
      <c r="C9" s="3"/>
      <c r="D9" s="3"/>
      <c r="E9" s="3"/>
      <c r="F9" s="3">
        <v>0</v>
      </c>
      <c r="G9" s="3">
        <v>0</v>
      </c>
      <c r="H9" s="3">
        <v>308641</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row>
    <row r="10" spans="1:35" x14ac:dyDescent="0.3">
      <c r="A10" s="1" t="s">
        <v>105</v>
      </c>
      <c r="B10" s="3"/>
      <c r="C10" s="3"/>
      <c r="D10" s="3"/>
      <c r="E10" s="3"/>
      <c r="F10" s="3">
        <v>6128468</v>
      </c>
      <c r="G10" s="3">
        <v>6135824</v>
      </c>
      <c r="H10" s="3">
        <v>6230604</v>
      </c>
      <c r="I10" s="3">
        <v>6214814</v>
      </c>
      <c r="J10" s="3">
        <v>5947900</v>
      </c>
      <c r="K10" s="3">
        <v>5971870</v>
      </c>
      <c r="L10" s="3">
        <v>5955936</v>
      </c>
      <c r="M10" s="3">
        <v>5889531</v>
      </c>
      <c r="N10" s="3">
        <v>6040850</v>
      </c>
      <c r="O10" s="3">
        <v>6076782</v>
      </c>
      <c r="P10" s="3">
        <v>6109281</v>
      </c>
      <c r="Q10" s="3">
        <v>6094954</v>
      </c>
      <c r="R10" s="3">
        <v>6173295</v>
      </c>
      <c r="S10" s="3">
        <v>6267898</v>
      </c>
      <c r="T10" s="3">
        <v>6521740</v>
      </c>
      <c r="U10" s="3">
        <v>6700429</v>
      </c>
      <c r="V10" s="3">
        <v>6789371</v>
      </c>
      <c r="W10" s="3">
        <v>6807553</v>
      </c>
      <c r="X10" s="3">
        <v>6856385</v>
      </c>
      <c r="Y10" s="3">
        <v>6641719</v>
      </c>
      <c r="Z10" s="3">
        <v>6706051</v>
      </c>
      <c r="AA10" s="3">
        <v>6682758</v>
      </c>
      <c r="AB10" s="3">
        <v>6691106</v>
      </c>
      <c r="AC10" s="3">
        <v>6683621</v>
      </c>
      <c r="AD10" s="3">
        <v>6715899</v>
      </c>
      <c r="AE10" s="3">
        <v>6734386</v>
      </c>
      <c r="AF10" s="3">
        <v>6721466</v>
      </c>
      <c r="AG10" s="3">
        <v>6692491</v>
      </c>
      <c r="AH10" s="3">
        <v>6674689</v>
      </c>
      <c r="AI10" s="3">
        <v>6606017</v>
      </c>
    </row>
    <row r="11" spans="1:35" x14ac:dyDescent="0.3">
      <c r="A11" s="1" t="s">
        <v>106</v>
      </c>
      <c r="B11" s="3"/>
      <c r="C11" s="3"/>
      <c r="D11" s="3"/>
      <c r="E11" s="3"/>
      <c r="F11" s="3">
        <v>647272</v>
      </c>
      <c r="G11" s="3">
        <v>647272</v>
      </c>
      <c r="H11" s="3">
        <v>678416</v>
      </c>
      <c r="I11" s="3">
        <v>678578</v>
      </c>
      <c r="J11" s="3">
        <v>699712</v>
      </c>
      <c r="K11" s="3">
        <v>706818</v>
      </c>
      <c r="L11" s="3">
        <v>709264</v>
      </c>
      <c r="M11" s="3">
        <v>709546</v>
      </c>
      <c r="N11" s="3">
        <v>718505</v>
      </c>
      <c r="O11" s="3">
        <v>726524</v>
      </c>
      <c r="P11" s="3">
        <v>734311</v>
      </c>
      <c r="Q11" s="3">
        <v>743667</v>
      </c>
      <c r="R11" s="3">
        <v>765995</v>
      </c>
      <c r="S11" s="3">
        <v>784186</v>
      </c>
      <c r="T11" s="3">
        <v>817778</v>
      </c>
      <c r="U11" s="3">
        <v>846730</v>
      </c>
      <c r="V11" s="3">
        <v>867807</v>
      </c>
      <c r="W11" s="3">
        <v>879287</v>
      </c>
      <c r="X11" s="3">
        <v>891992</v>
      </c>
      <c r="Y11" s="3">
        <v>0</v>
      </c>
      <c r="Z11" s="3">
        <v>0</v>
      </c>
      <c r="AA11" s="3">
        <v>0</v>
      </c>
      <c r="AB11" s="3">
        <v>0</v>
      </c>
      <c r="AC11" s="3">
        <v>0</v>
      </c>
      <c r="AD11" s="3">
        <v>0</v>
      </c>
      <c r="AE11" s="3">
        <v>0</v>
      </c>
      <c r="AF11" s="3">
        <v>0</v>
      </c>
      <c r="AG11" s="3">
        <v>0</v>
      </c>
      <c r="AH11" s="3">
        <v>0</v>
      </c>
      <c r="AI11" s="3">
        <v>0</v>
      </c>
    </row>
    <row r="12" spans="1:35" s="6" customFormat="1" x14ac:dyDescent="0.3">
      <c r="A12" s="6" t="s">
        <v>15</v>
      </c>
      <c r="B12" s="7">
        <f>+SUM(B2:B11)</f>
        <v>0</v>
      </c>
      <c r="C12" s="7">
        <f t="shared" ref="C12:Z12" si="0">+SUM(C2:C11)</f>
        <v>0</v>
      </c>
      <c r="D12" s="7">
        <f t="shared" si="0"/>
        <v>0</v>
      </c>
      <c r="E12" s="7">
        <f t="shared" si="0"/>
        <v>0</v>
      </c>
      <c r="F12" s="7">
        <f t="shared" si="0"/>
        <v>21241766</v>
      </c>
      <c r="G12" s="7">
        <f t="shared" si="0"/>
        <v>7324920</v>
      </c>
      <c r="H12" s="7">
        <f t="shared" si="0"/>
        <v>7866137</v>
      </c>
      <c r="I12" s="7">
        <f t="shared" si="0"/>
        <v>8254880</v>
      </c>
      <c r="J12" s="7">
        <f t="shared" si="0"/>
        <v>6827981</v>
      </c>
      <c r="K12" s="7">
        <f t="shared" si="0"/>
        <v>7797172</v>
      </c>
      <c r="L12" s="7">
        <f t="shared" si="0"/>
        <v>7392567</v>
      </c>
      <c r="M12" s="7">
        <f t="shared" si="0"/>
        <v>10731769</v>
      </c>
      <c r="N12" s="7">
        <f t="shared" si="0"/>
        <v>10340393</v>
      </c>
      <c r="O12" s="7">
        <f t="shared" si="0"/>
        <v>8201292</v>
      </c>
      <c r="P12" s="7">
        <f t="shared" si="0"/>
        <v>7423390</v>
      </c>
      <c r="Q12" s="7">
        <f t="shared" si="0"/>
        <v>7455801</v>
      </c>
      <c r="R12" s="7">
        <f t="shared" si="0"/>
        <v>7528542</v>
      </c>
      <c r="S12" s="7">
        <f t="shared" si="0"/>
        <v>8630770</v>
      </c>
      <c r="T12" s="7">
        <f t="shared" si="0"/>
        <v>7653266</v>
      </c>
      <c r="U12" s="7">
        <f t="shared" si="0"/>
        <v>8533400</v>
      </c>
      <c r="V12" s="7">
        <f t="shared" si="0"/>
        <v>8461871</v>
      </c>
      <c r="W12" s="7">
        <f t="shared" si="0"/>
        <v>9853675.5989999995</v>
      </c>
      <c r="X12" s="7">
        <f t="shared" si="0"/>
        <v>8772564.1909999996</v>
      </c>
      <c r="Y12" s="7">
        <f t="shared" si="0"/>
        <v>7174792.2209999999</v>
      </c>
      <c r="Z12" s="7">
        <f t="shared" si="0"/>
        <v>7236427</v>
      </c>
      <c r="AA12" s="7">
        <f t="shared" ref="AA12:AB12" si="1">+SUM(AA2:AA11)</f>
        <v>6941822</v>
      </c>
      <c r="AB12" s="7">
        <f t="shared" si="1"/>
        <v>7653975</v>
      </c>
      <c r="AC12" s="7">
        <f t="shared" ref="AC12:AD12" si="2">+SUM(AC2:AC11)</f>
        <v>7387250</v>
      </c>
      <c r="AD12" s="7">
        <f t="shared" si="2"/>
        <v>7397279</v>
      </c>
      <c r="AE12" s="7">
        <f t="shared" ref="AE12:AF12" si="3">+SUM(AE2:AE11)</f>
        <v>7359542.2520000003</v>
      </c>
      <c r="AF12" s="7">
        <f t="shared" si="3"/>
        <v>7163633</v>
      </c>
      <c r="AG12" s="7">
        <f t="shared" ref="AG12:AH12" si="4">+SUM(AG2:AG11)</f>
        <v>6925580</v>
      </c>
      <c r="AH12" s="7">
        <f t="shared" si="4"/>
        <v>7236925</v>
      </c>
      <c r="AI12" s="7">
        <f t="shared" ref="AI12" si="5">+SUM(AI2:AI11)</f>
        <v>7888579</v>
      </c>
    </row>
    <row r="13" spans="1:35" x14ac:dyDescent="0.3">
      <c r="A13" s="1" t="s">
        <v>16</v>
      </c>
      <c r="B13" s="3"/>
      <c r="C13" s="3"/>
      <c r="D13" s="3"/>
      <c r="E13" s="3"/>
      <c r="F13" s="3"/>
      <c r="G13" s="3"/>
      <c r="H13" s="3"/>
      <c r="I13" s="3"/>
      <c r="J13" s="3"/>
      <c r="K13" s="3"/>
      <c r="L13" s="3"/>
      <c r="M13" s="3"/>
      <c r="N13" s="3"/>
      <c r="O13" s="3"/>
      <c r="P13" s="3"/>
      <c r="Q13" s="3"/>
      <c r="R13" s="3"/>
      <c r="S13" s="3"/>
      <c r="T13" s="3"/>
      <c r="U13" s="3"/>
      <c r="V13" s="3"/>
    </row>
    <row r="14" spans="1:35" x14ac:dyDescent="0.3">
      <c r="A14" s="1" t="s">
        <v>107</v>
      </c>
      <c r="B14" s="3"/>
      <c r="C14" s="3"/>
      <c r="D14" s="3"/>
      <c r="E14" s="3"/>
      <c r="F14" s="3">
        <v>445150</v>
      </c>
      <c r="G14" s="3">
        <v>457070</v>
      </c>
      <c r="H14" s="3">
        <v>462667</v>
      </c>
      <c r="I14" s="3">
        <v>465074</v>
      </c>
      <c r="J14" s="3">
        <v>469409</v>
      </c>
      <c r="K14" s="3">
        <v>369237</v>
      </c>
      <c r="L14" s="3">
        <v>379739</v>
      </c>
      <c r="M14" s="3">
        <v>382685</v>
      </c>
      <c r="N14" s="3">
        <v>375342</v>
      </c>
      <c r="O14" s="3">
        <v>394727</v>
      </c>
      <c r="P14" s="3">
        <v>404764</v>
      </c>
      <c r="Q14" s="3">
        <v>412947</v>
      </c>
      <c r="R14" s="3">
        <v>428488</v>
      </c>
      <c r="S14" s="3">
        <v>441836</v>
      </c>
      <c r="T14" s="3">
        <v>464134</v>
      </c>
      <c r="U14" s="3">
        <v>255957</v>
      </c>
      <c r="V14" s="3">
        <v>263655</v>
      </c>
      <c r="W14" s="3">
        <v>268462.40100000001</v>
      </c>
      <c r="X14" s="3">
        <v>273702.80900000001</v>
      </c>
      <c r="Y14" s="3">
        <v>275909.77899999998</v>
      </c>
      <c r="Z14" s="3">
        <v>281838</v>
      </c>
      <c r="AA14" s="3">
        <v>285588</v>
      </c>
      <c r="AB14" s="3">
        <v>0</v>
      </c>
      <c r="AC14" s="3">
        <v>0</v>
      </c>
      <c r="AD14" s="3">
        <v>0</v>
      </c>
      <c r="AE14" s="3">
        <v>20486.748000000021</v>
      </c>
      <c r="AF14" s="3">
        <v>20683</v>
      </c>
      <c r="AG14" s="3">
        <v>20798</v>
      </c>
      <c r="AH14" s="3">
        <v>0</v>
      </c>
      <c r="AI14" s="3">
        <v>0</v>
      </c>
    </row>
    <row r="15" spans="1:35" x14ac:dyDescent="0.3">
      <c r="A15" s="1" t="s">
        <v>108</v>
      </c>
      <c r="B15" s="3"/>
      <c r="C15" s="3"/>
      <c r="D15" s="3"/>
      <c r="E15" s="3"/>
      <c r="F15" s="3">
        <v>0</v>
      </c>
      <c r="G15" s="3">
        <v>0</v>
      </c>
      <c r="H15" s="3">
        <v>0</v>
      </c>
      <c r="I15" s="3">
        <v>0</v>
      </c>
      <c r="J15" s="3">
        <v>352170</v>
      </c>
      <c r="K15" s="3">
        <v>258747</v>
      </c>
      <c r="L15" s="3">
        <v>258747</v>
      </c>
      <c r="M15" s="3">
        <v>258747</v>
      </c>
      <c r="N15" s="3">
        <v>368272</v>
      </c>
      <c r="O15" s="3">
        <v>369343</v>
      </c>
      <c r="P15" s="3">
        <v>356789</v>
      </c>
      <c r="Q15" s="3">
        <v>365580</v>
      </c>
      <c r="R15" s="3">
        <v>102273</v>
      </c>
      <c r="S15" s="3">
        <v>104702</v>
      </c>
      <c r="T15" s="3">
        <v>109187</v>
      </c>
      <c r="U15" s="3">
        <v>113052</v>
      </c>
      <c r="V15" s="3">
        <v>115866</v>
      </c>
      <c r="W15" s="3">
        <v>117399</v>
      </c>
      <c r="X15" s="3">
        <v>119098</v>
      </c>
      <c r="Y15" s="3">
        <v>1407444</v>
      </c>
      <c r="Z15" s="3">
        <v>121408</v>
      </c>
      <c r="AA15" s="3">
        <v>122409</v>
      </c>
      <c r="AB15" s="3">
        <v>123987</v>
      </c>
      <c r="AC15" s="3">
        <v>125104</v>
      </c>
      <c r="AD15" s="3">
        <v>126775</v>
      </c>
      <c r="AE15" s="3">
        <v>128351</v>
      </c>
      <c r="AF15" s="3">
        <v>129581</v>
      </c>
      <c r="AG15" s="3">
        <v>130303</v>
      </c>
      <c r="AH15" s="3">
        <v>131102</v>
      </c>
      <c r="AI15" s="3">
        <v>131478</v>
      </c>
    </row>
    <row r="16" spans="1:35" x14ac:dyDescent="0.3">
      <c r="A16" s="1" t="s">
        <v>109</v>
      </c>
      <c r="B16" s="3"/>
      <c r="C16" s="3"/>
      <c r="D16" s="3"/>
      <c r="E16" s="3"/>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row>
    <row r="17" spans="1:35" x14ac:dyDescent="0.3">
      <c r="A17" s="13" t="s">
        <v>110</v>
      </c>
      <c r="B17" s="3"/>
      <c r="C17" s="3"/>
      <c r="D17" s="3"/>
      <c r="E17" s="3"/>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3872353</v>
      </c>
      <c r="AA17" s="3">
        <v>3903617</v>
      </c>
      <c r="AB17" s="3">
        <v>3479022</v>
      </c>
      <c r="AC17" s="3">
        <v>3494017</v>
      </c>
      <c r="AD17" s="3">
        <v>2813285</v>
      </c>
      <c r="AE17" s="3">
        <v>2825462</v>
      </c>
      <c r="AF17" s="3">
        <v>2672212</v>
      </c>
      <c r="AG17" s="3">
        <v>2661687</v>
      </c>
      <c r="AH17" s="3">
        <v>2688783</v>
      </c>
      <c r="AI17" s="3">
        <v>2669493</v>
      </c>
    </row>
    <row r="18" spans="1:35" x14ac:dyDescent="0.3">
      <c r="A18" s="13" t="s">
        <v>111</v>
      </c>
      <c r="B18" s="3"/>
      <c r="C18" s="3"/>
      <c r="D18" s="3"/>
      <c r="E18" s="3"/>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row>
    <row r="19" spans="1:35" x14ac:dyDescent="0.3">
      <c r="A19" s="1" t="s">
        <v>112</v>
      </c>
      <c r="B19" s="3"/>
      <c r="C19" s="3"/>
      <c r="D19" s="3"/>
      <c r="E19" s="3"/>
      <c r="F19" s="3">
        <v>83741239</v>
      </c>
      <c r="G19" s="3">
        <v>95367698</v>
      </c>
      <c r="H19" s="3">
        <v>96555150</v>
      </c>
      <c r="I19" s="3">
        <v>101140060</v>
      </c>
      <c r="J19" s="3">
        <v>101845895</v>
      </c>
      <c r="K19" s="3">
        <v>103097970</v>
      </c>
      <c r="L19" s="3">
        <v>103465863</v>
      </c>
      <c r="M19" s="3">
        <v>103622651</v>
      </c>
      <c r="N19" s="3">
        <v>107686983</v>
      </c>
      <c r="O19" s="3">
        <v>109288521</v>
      </c>
      <c r="P19" s="3">
        <v>110929479</v>
      </c>
      <c r="Q19" s="3">
        <v>109101067</v>
      </c>
      <c r="R19" s="3">
        <v>112416024</v>
      </c>
      <c r="S19" s="3">
        <v>115097215</v>
      </c>
      <c r="T19" s="3">
        <v>120203764</v>
      </c>
      <c r="U19" s="3">
        <v>122572125</v>
      </c>
      <c r="V19" s="3">
        <v>125880655</v>
      </c>
      <c r="W19" s="3">
        <v>127832283</v>
      </c>
      <c r="X19" s="3">
        <v>129849760</v>
      </c>
      <c r="Y19" s="3">
        <v>129016052</v>
      </c>
      <c r="Z19" s="3">
        <v>127522743</v>
      </c>
      <c r="AA19" s="3">
        <v>128569181</v>
      </c>
      <c r="AB19" s="3">
        <v>130321463</v>
      </c>
      <c r="AC19" s="3">
        <v>131838755</v>
      </c>
      <c r="AD19" s="3">
        <v>133909765</v>
      </c>
      <c r="AE19" s="3">
        <v>135764810</v>
      </c>
      <c r="AF19" s="3">
        <v>137088396</v>
      </c>
      <c r="AG19" s="3">
        <v>134452365</v>
      </c>
      <c r="AH19" s="3">
        <v>135506439</v>
      </c>
      <c r="AI19" s="3">
        <v>135919696</v>
      </c>
    </row>
    <row r="20" spans="1:35" x14ac:dyDescent="0.3">
      <c r="A20" s="1" t="s">
        <v>113</v>
      </c>
      <c r="B20" s="3"/>
      <c r="C20" s="3"/>
      <c r="D20" s="3"/>
      <c r="E20" s="3"/>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row>
    <row r="21" spans="1:35" s="6" customFormat="1" x14ac:dyDescent="0.3">
      <c r="A21" s="6" t="s">
        <v>18</v>
      </c>
      <c r="B21" s="7">
        <f>+SUM(B13:B20)</f>
        <v>0</v>
      </c>
      <c r="C21" s="7">
        <f>+SUM(C13:C20)</f>
        <v>0</v>
      </c>
      <c r="D21" s="7">
        <f t="shared" ref="D21:F21" si="6">+SUM(D13:D20)</f>
        <v>0</v>
      </c>
      <c r="E21" s="7">
        <f t="shared" si="6"/>
        <v>0</v>
      </c>
      <c r="F21" s="7">
        <f t="shared" si="6"/>
        <v>84186389</v>
      </c>
      <c r="G21" s="7">
        <f t="shared" ref="G21:V21" si="7">+SUM(G13:G20)</f>
        <v>95824768</v>
      </c>
      <c r="H21" s="7">
        <f t="shared" si="7"/>
        <v>97017817</v>
      </c>
      <c r="I21" s="7">
        <f t="shared" si="7"/>
        <v>101605134</v>
      </c>
      <c r="J21" s="7">
        <f t="shared" si="7"/>
        <v>102667474</v>
      </c>
      <c r="K21" s="7">
        <f t="shared" si="7"/>
        <v>103725954</v>
      </c>
      <c r="L21" s="7">
        <f t="shared" si="7"/>
        <v>104104349</v>
      </c>
      <c r="M21" s="7">
        <f t="shared" si="7"/>
        <v>104264083</v>
      </c>
      <c r="N21" s="7">
        <f t="shared" si="7"/>
        <v>108430597</v>
      </c>
      <c r="O21" s="7">
        <f t="shared" si="7"/>
        <v>110052591</v>
      </c>
      <c r="P21" s="7">
        <f t="shared" si="7"/>
        <v>111691032</v>
      </c>
      <c r="Q21" s="7">
        <f t="shared" si="7"/>
        <v>109879594</v>
      </c>
      <c r="R21" s="7">
        <f t="shared" si="7"/>
        <v>112946785</v>
      </c>
      <c r="S21" s="7">
        <f t="shared" si="7"/>
        <v>115643753</v>
      </c>
      <c r="T21" s="7">
        <f t="shared" si="7"/>
        <v>120777085</v>
      </c>
      <c r="U21" s="7">
        <f t="shared" si="7"/>
        <v>122941134</v>
      </c>
      <c r="V21" s="7">
        <f t="shared" si="7"/>
        <v>126260176</v>
      </c>
      <c r="W21" s="7">
        <f t="shared" ref="W21:Z21" si="8">+SUM(W13:W20)</f>
        <v>128218144.40099999</v>
      </c>
      <c r="X21" s="7">
        <f t="shared" si="8"/>
        <v>130242560.809</v>
      </c>
      <c r="Y21" s="7">
        <f t="shared" si="8"/>
        <v>130699405.779</v>
      </c>
      <c r="Z21" s="7">
        <f t="shared" si="8"/>
        <v>131798342</v>
      </c>
      <c r="AA21" s="7">
        <f t="shared" ref="AA21:AB21" si="9">+SUM(AA13:AA20)</f>
        <v>132880795</v>
      </c>
      <c r="AB21" s="7">
        <f t="shared" si="9"/>
        <v>133924472</v>
      </c>
      <c r="AC21" s="7">
        <f t="shared" ref="AC21:AD21" si="10">+SUM(AC13:AC20)</f>
        <v>135457876</v>
      </c>
      <c r="AD21" s="7">
        <f t="shared" si="10"/>
        <v>136849825</v>
      </c>
      <c r="AE21" s="7">
        <f t="shared" ref="AE21:AF21" si="11">+SUM(AE13:AE20)</f>
        <v>138739109.748</v>
      </c>
      <c r="AF21" s="7">
        <f t="shared" si="11"/>
        <v>139910872</v>
      </c>
      <c r="AG21" s="7">
        <f t="shared" ref="AG21:AH21" si="12">+SUM(AG13:AG20)</f>
        <v>137265153</v>
      </c>
      <c r="AH21" s="7">
        <f t="shared" si="12"/>
        <v>138326324</v>
      </c>
      <c r="AI21" s="7">
        <f t="shared" ref="AI21" si="13">+SUM(AI13:AI20)</f>
        <v>138720667</v>
      </c>
    </row>
    <row r="22" spans="1:35" s="6" customFormat="1" x14ac:dyDescent="0.3">
      <c r="A22" s="6" t="s">
        <v>19</v>
      </c>
      <c r="B22" s="7">
        <f t="shared" ref="B22:F22" si="14">+B21+B12</f>
        <v>0</v>
      </c>
      <c r="C22" s="7">
        <f t="shared" si="14"/>
        <v>0</v>
      </c>
      <c r="D22" s="7">
        <f t="shared" si="14"/>
        <v>0</v>
      </c>
      <c r="E22" s="7">
        <f t="shared" si="14"/>
        <v>0</v>
      </c>
      <c r="F22" s="7">
        <f t="shared" si="14"/>
        <v>105428155</v>
      </c>
      <c r="G22" s="7">
        <f t="shared" ref="G22:V22" si="15">+G21+G12</f>
        <v>103149688</v>
      </c>
      <c r="H22" s="7">
        <f t="shared" si="15"/>
        <v>104883954</v>
      </c>
      <c r="I22" s="7">
        <f t="shared" si="15"/>
        <v>109860014</v>
      </c>
      <c r="J22" s="7">
        <f t="shared" si="15"/>
        <v>109495455</v>
      </c>
      <c r="K22" s="7">
        <f t="shared" si="15"/>
        <v>111523126</v>
      </c>
      <c r="L22" s="7">
        <f t="shared" si="15"/>
        <v>111496916</v>
      </c>
      <c r="M22" s="7">
        <f t="shared" si="15"/>
        <v>114995852</v>
      </c>
      <c r="N22" s="7">
        <f t="shared" si="15"/>
        <v>118770990</v>
      </c>
      <c r="O22" s="7">
        <f t="shared" si="15"/>
        <v>118253883</v>
      </c>
      <c r="P22" s="7">
        <f t="shared" si="15"/>
        <v>119114422</v>
      </c>
      <c r="Q22" s="7">
        <f t="shared" si="15"/>
        <v>117335395</v>
      </c>
      <c r="R22" s="7">
        <f t="shared" si="15"/>
        <v>120475327</v>
      </c>
      <c r="S22" s="7">
        <f t="shared" si="15"/>
        <v>124274523</v>
      </c>
      <c r="T22" s="7">
        <f t="shared" si="15"/>
        <v>128430351</v>
      </c>
      <c r="U22" s="7">
        <f t="shared" si="15"/>
        <v>131474534</v>
      </c>
      <c r="V22" s="7">
        <f t="shared" si="15"/>
        <v>134722047</v>
      </c>
      <c r="W22" s="7">
        <f t="shared" ref="W22:Z22" si="16">+W21+W12</f>
        <v>138071820</v>
      </c>
      <c r="X22" s="7">
        <f t="shared" si="16"/>
        <v>139015125</v>
      </c>
      <c r="Y22" s="7">
        <f t="shared" si="16"/>
        <v>137874198</v>
      </c>
      <c r="Z22" s="7">
        <f t="shared" si="16"/>
        <v>139034769</v>
      </c>
      <c r="AA22" s="7">
        <f t="shared" ref="AA22:AB22" si="17">+AA21+AA12</f>
        <v>139822617</v>
      </c>
      <c r="AB22" s="7">
        <f t="shared" si="17"/>
        <v>141578447</v>
      </c>
      <c r="AC22" s="7">
        <f t="shared" ref="AC22:AD22" si="18">+AC21+AC12</f>
        <v>142845126</v>
      </c>
      <c r="AD22" s="7">
        <f t="shared" si="18"/>
        <v>144247104</v>
      </c>
      <c r="AE22" s="7">
        <f t="shared" ref="AE22:AF22" si="19">+AE21+AE12</f>
        <v>146098652</v>
      </c>
      <c r="AF22" s="7">
        <f t="shared" si="19"/>
        <v>147074505</v>
      </c>
      <c r="AG22" s="7">
        <f t="shared" ref="AG22:AH22" si="20">+AG21+AG12</f>
        <v>144190733</v>
      </c>
      <c r="AH22" s="7">
        <f t="shared" si="20"/>
        <v>145563249</v>
      </c>
      <c r="AI22" s="7">
        <f t="shared" ref="AI22" si="21">+AI21+AI12</f>
        <v>146609246</v>
      </c>
    </row>
    <row r="23" spans="1:35" x14ac:dyDescent="0.3">
      <c r="A23" s="1" t="s">
        <v>114</v>
      </c>
      <c r="B23" s="3"/>
      <c r="C23" s="3"/>
      <c r="D23" s="3"/>
      <c r="E23" s="3"/>
      <c r="F23" s="3"/>
      <c r="G23" s="3"/>
      <c r="H23" s="3"/>
      <c r="I23" s="3"/>
      <c r="J23" s="3"/>
      <c r="K23" s="3"/>
      <c r="L23" s="3"/>
      <c r="M23" s="3"/>
      <c r="N23" s="3"/>
      <c r="O23" s="3"/>
      <c r="P23" s="3"/>
      <c r="Q23" s="3"/>
      <c r="R23" s="3"/>
      <c r="S23" s="3"/>
      <c r="T23" s="3"/>
      <c r="U23" s="3"/>
      <c r="V23" s="3"/>
    </row>
    <row r="24" spans="1:35" x14ac:dyDescent="0.3">
      <c r="A24" s="1" t="s">
        <v>21</v>
      </c>
      <c r="B24" s="3"/>
      <c r="C24" s="3"/>
      <c r="D24" s="3"/>
      <c r="E24" s="3"/>
      <c r="F24" s="3"/>
      <c r="G24" s="3"/>
      <c r="H24" s="3"/>
      <c r="I24" s="3"/>
      <c r="J24" s="3"/>
      <c r="K24" s="3"/>
      <c r="L24" s="3"/>
      <c r="M24" s="3"/>
      <c r="N24" s="3"/>
      <c r="O24" s="3"/>
      <c r="P24" s="3"/>
      <c r="Q24" s="3"/>
      <c r="R24" s="3"/>
      <c r="S24" s="3"/>
      <c r="T24" s="3"/>
      <c r="U24" s="3"/>
      <c r="V24" s="3"/>
    </row>
    <row r="25" spans="1:35" x14ac:dyDescent="0.3">
      <c r="A25" s="1" t="s">
        <v>115</v>
      </c>
      <c r="B25" s="3"/>
      <c r="C25" s="3"/>
      <c r="D25" s="3"/>
      <c r="E25" s="3"/>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row>
    <row r="26" spans="1:35" x14ac:dyDescent="0.3">
      <c r="A26" s="1" t="s">
        <v>116</v>
      </c>
      <c r="B26" s="3"/>
      <c r="C26" s="3"/>
      <c r="D26" s="3"/>
      <c r="E26" s="3"/>
      <c r="F26" s="3">
        <v>446472</v>
      </c>
      <c r="G26" s="3">
        <v>310307</v>
      </c>
      <c r="H26" s="3">
        <v>347773</v>
      </c>
      <c r="I26" s="3">
        <v>283741</v>
      </c>
      <c r="J26" s="3">
        <v>319453</v>
      </c>
      <c r="K26" s="3">
        <v>351006</v>
      </c>
      <c r="L26" s="3">
        <v>613746</v>
      </c>
      <c r="M26" s="3">
        <v>663624</v>
      </c>
      <c r="N26" s="3">
        <v>816372</v>
      </c>
      <c r="O26" s="3">
        <v>236536</v>
      </c>
      <c r="P26" s="3">
        <v>266143</v>
      </c>
      <c r="Q26" s="3">
        <v>344810</v>
      </c>
      <c r="R26" s="3">
        <v>341392</v>
      </c>
      <c r="S26" s="3">
        <v>239139</v>
      </c>
      <c r="T26" s="3">
        <v>291477</v>
      </c>
      <c r="U26" s="3">
        <v>160671</v>
      </c>
      <c r="V26" s="3">
        <v>353191</v>
      </c>
      <c r="W26" s="3">
        <v>402403</v>
      </c>
      <c r="X26" s="3">
        <v>285658</v>
      </c>
      <c r="Y26" s="3">
        <v>190453</v>
      </c>
      <c r="Z26" s="3">
        <v>247727</v>
      </c>
      <c r="AA26" s="3">
        <v>210524</v>
      </c>
      <c r="AB26" s="3">
        <v>159305</v>
      </c>
      <c r="AC26" s="3">
        <v>358175</v>
      </c>
      <c r="AD26" s="3">
        <v>223587</v>
      </c>
      <c r="AE26" s="3">
        <v>176952</v>
      </c>
      <c r="AF26" s="3">
        <v>257304</v>
      </c>
      <c r="AG26" s="3">
        <v>283747</v>
      </c>
      <c r="AH26" s="3">
        <v>365277</v>
      </c>
      <c r="AI26" s="3">
        <v>412512</v>
      </c>
    </row>
    <row r="27" spans="1:35" x14ac:dyDescent="0.3">
      <c r="A27" s="1" t="s">
        <v>117</v>
      </c>
      <c r="B27" s="3"/>
      <c r="C27" s="3"/>
      <c r="D27" s="3"/>
      <c r="E27" s="3"/>
      <c r="F27" s="3">
        <v>2167100</v>
      </c>
      <c r="G27" s="3">
        <v>0</v>
      </c>
      <c r="H27" s="3">
        <v>0</v>
      </c>
      <c r="I27" s="3">
        <v>0</v>
      </c>
      <c r="J27" s="3">
        <v>0</v>
      </c>
      <c r="K27" s="3">
        <v>0</v>
      </c>
      <c r="L27" s="3">
        <v>0</v>
      </c>
      <c r="M27" s="3">
        <v>0</v>
      </c>
      <c r="N27" s="3">
        <v>0</v>
      </c>
      <c r="O27" s="3">
        <v>0</v>
      </c>
      <c r="P27" s="3">
        <v>0</v>
      </c>
      <c r="Q27" s="3">
        <v>0</v>
      </c>
      <c r="R27" s="3">
        <v>0</v>
      </c>
      <c r="S27" s="3">
        <v>0</v>
      </c>
      <c r="T27" s="3">
        <v>30000</v>
      </c>
      <c r="U27" s="3">
        <v>0</v>
      </c>
      <c r="V27" s="3">
        <v>0</v>
      </c>
      <c r="W27" s="3">
        <v>0</v>
      </c>
      <c r="X27" s="3">
        <v>0</v>
      </c>
      <c r="Y27" s="3">
        <v>0</v>
      </c>
      <c r="Z27" s="3">
        <v>0</v>
      </c>
      <c r="AA27" s="3">
        <v>0</v>
      </c>
      <c r="AB27" s="3">
        <v>0</v>
      </c>
      <c r="AC27" s="3">
        <v>0</v>
      </c>
      <c r="AD27" s="3">
        <v>0</v>
      </c>
      <c r="AE27" s="3">
        <v>0</v>
      </c>
      <c r="AF27" s="3">
        <v>135000</v>
      </c>
      <c r="AG27" s="3">
        <v>135000</v>
      </c>
      <c r="AH27" s="3">
        <f>106000</f>
        <v>106000</v>
      </c>
      <c r="AI27" s="3">
        <v>106000</v>
      </c>
    </row>
    <row r="28" spans="1:35" x14ac:dyDescent="0.3">
      <c r="A28" s="1" t="s">
        <v>118</v>
      </c>
      <c r="B28" s="3"/>
      <c r="C28" s="3"/>
      <c r="D28" s="3"/>
      <c r="E28" s="3"/>
      <c r="F28" s="3">
        <v>33111</v>
      </c>
      <c r="G28" s="3">
        <v>29571</v>
      </c>
      <c r="H28" s="3">
        <v>33143</v>
      </c>
      <c r="I28" s="3">
        <v>33135</v>
      </c>
      <c r="J28" s="3">
        <v>32455</v>
      </c>
      <c r="K28" s="3">
        <v>38172</v>
      </c>
      <c r="L28" s="3">
        <v>37285</v>
      </c>
      <c r="M28" s="3">
        <v>36021</v>
      </c>
      <c r="N28" s="3">
        <v>42680</v>
      </c>
      <c r="O28" s="3">
        <v>38865</v>
      </c>
      <c r="P28" s="3">
        <v>38394</v>
      </c>
      <c r="Q28" s="3">
        <v>38503</v>
      </c>
      <c r="R28" s="3">
        <v>0</v>
      </c>
      <c r="S28" s="3">
        <v>35150</v>
      </c>
      <c r="T28" s="3">
        <v>31091</v>
      </c>
      <c r="U28" s="3">
        <v>33434</v>
      </c>
      <c r="V28" s="3">
        <v>0</v>
      </c>
      <c r="W28" s="3">
        <v>0</v>
      </c>
      <c r="X28" s="3">
        <v>30</v>
      </c>
      <c r="Y28" s="3">
        <v>0</v>
      </c>
      <c r="Z28" s="3">
        <v>0</v>
      </c>
      <c r="AA28" s="3">
        <v>0</v>
      </c>
      <c r="AB28" s="3">
        <v>0</v>
      </c>
      <c r="AC28" s="3">
        <v>241</v>
      </c>
      <c r="AD28" s="3">
        <v>0</v>
      </c>
      <c r="AE28" s="3">
        <v>0</v>
      </c>
      <c r="AF28" s="3">
        <v>0</v>
      </c>
      <c r="AG28" s="3">
        <v>0</v>
      </c>
      <c r="AH28" s="3">
        <v>0</v>
      </c>
      <c r="AI28" s="3">
        <v>0</v>
      </c>
    </row>
    <row r="29" spans="1:35" x14ac:dyDescent="0.3">
      <c r="A29" s="1" t="s">
        <v>119</v>
      </c>
      <c r="B29" s="3"/>
      <c r="C29" s="3"/>
      <c r="D29" s="3"/>
      <c r="E29" s="3"/>
      <c r="F29" s="3">
        <v>315197</v>
      </c>
      <c r="G29" s="3">
        <v>209325</v>
      </c>
      <c r="H29" s="3">
        <v>73166</v>
      </c>
      <c r="I29" s="3">
        <v>540200</v>
      </c>
      <c r="J29" s="3">
        <v>782853</v>
      </c>
      <c r="K29" s="3">
        <v>621984</v>
      </c>
      <c r="L29" s="3">
        <v>512736</v>
      </c>
      <c r="M29" s="3">
        <v>495621</v>
      </c>
      <c r="N29" s="3">
        <v>1327734</v>
      </c>
      <c r="O29" s="3">
        <v>303607</v>
      </c>
      <c r="P29" s="3">
        <v>63049</v>
      </c>
      <c r="Q29" s="3">
        <v>111093</v>
      </c>
      <c r="R29" s="3">
        <v>73942</v>
      </c>
      <c r="S29" s="3">
        <v>357905</v>
      </c>
      <c r="T29" s="3">
        <v>62361</v>
      </c>
      <c r="U29" s="3">
        <v>59395</v>
      </c>
      <c r="V29" s="3">
        <v>69893</v>
      </c>
      <c r="W29" s="3">
        <v>439021</v>
      </c>
      <c r="X29" s="3">
        <v>65270</v>
      </c>
      <c r="Y29" s="3">
        <v>65155</v>
      </c>
      <c r="Z29" s="3">
        <v>65835</v>
      </c>
      <c r="AA29" s="3">
        <v>459636</v>
      </c>
      <c r="AB29" s="3">
        <v>163769</v>
      </c>
      <c r="AC29" s="3">
        <v>68040</v>
      </c>
      <c r="AD29" s="3">
        <v>72731</v>
      </c>
      <c r="AE29" s="3">
        <v>423059</v>
      </c>
      <c r="AF29" s="3">
        <v>63825</v>
      </c>
      <c r="AG29" s="3">
        <v>65462</v>
      </c>
      <c r="AH29" s="3">
        <v>81259</v>
      </c>
      <c r="AI29" s="3">
        <v>429834</v>
      </c>
    </row>
    <row r="30" spans="1:35" x14ac:dyDescent="0.3">
      <c r="A30" s="1" t="s">
        <v>120</v>
      </c>
      <c r="B30" s="3"/>
      <c r="C30" s="3"/>
      <c r="D30" s="3"/>
      <c r="E30" s="3"/>
      <c r="F30" s="3">
        <v>107860</v>
      </c>
      <c r="G30" s="3">
        <v>114687</v>
      </c>
      <c r="H30" s="3">
        <v>116292</v>
      </c>
      <c r="I30" s="3">
        <v>115205</v>
      </c>
      <c r="J30" s="3">
        <v>96471</v>
      </c>
      <c r="K30" s="3">
        <v>102521</v>
      </c>
      <c r="L30" s="3">
        <v>99433</v>
      </c>
      <c r="M30" s="3">
        <v>97717</v>
      </c>
      <c r="N30" s="3">
        <v>169945</v>
      </c>
      <c r="O30" s="3">
        <v>126848</v>
      </c>
      <c r="P30" s="3">
        <v>128047</v>
      </c>
      <c r="Q30" s="3">
        <v>133343</v>
      </c>
      <c r="R30" s="3">
        <v>129792</v>
      </c>
      <c r="S30" s="3">
        <v>90575</v>
      </c>
      <c r="T30" s="3">
        <v>93814</v>
      </c>
      <c r="U30" s="3">
        <v>97690</v>
      </c>
      <c r="V30" s="3">
        <v>34089</v>
      </c>
      <c r="W30" s="3">
        <v>214843</v>
      </c>
      <c r="X30" s="3">
        <v>212274</v>
      </c>
      <c r="Y30" s="3">
        <v>106561</v>
      </c>
      <c r="Z30" s="3">
        <v>81008</v>
      </c>
      <c r="AA30" s="3">
        <v>74559</v>
      </c>
      <c r="AB30" s="3">
        <v>56022</v>
      </c>
      <c r="AC30" s="3">
        <v>208998</v>
      </c>
      <c r="AD30" s="3">
        <v>39059</v>
      </c>
      <c r="AE30" s="3">
        <v>114154</v>
      </c>
      <c r="AF30" s="3">
        <v>37248</v>
      </c>
      <c r="AG30" s="3">
        <v>32565</v>
      </c>
      <c r="AH30" s="3">
        <v>73266</v>
      </c>
      <c r="AI30" s="3">
        <v>189616</v>
      </c>
    </row>
    <row r="31" spans="1:35" x14ac:dyDescent="0.3">
      <c r="A31" s="1" t="s">
        <v>121</v>
      </c>
      <c r="B31" s="3"/>
      <c r="C31" s="3"/>
      <c r="D31" s="3"/>
      <c r="E31" s="3"/>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row>
    <row r="32" spans="1:35" s="6" customFormat="1" x14ac:dyDescent="0.3">
      <c r="A32" s="6" t="s">
        <v>122</v>
      </c>
      <c r="B32" s="7">
        <f t="shared" ref="B32:C32" si="22">+SUM(B23:B31)</f>
        <v>0</v>
      </c>
      <c r="C32" s="7">
        <f t="shared" si="22"/>
        <v>0</v>
      </c>
      <c r="D32" s="7">
        <f>+SUM(D23:D31)</f>
        <v>0</v>
      </c>
      <c r="E32" s="7">
        <f t="shared" ref="E32:Z32" si="23">+SUM(E23:E31)</f>
        <v>0</v>
      </c>
      <c r="F32" s="7">
        <f t="shared" si="23"/>
        <v>3069740</v>
      </c>
      <c r="G32" s="7">
        <f t="shared" si="23"/>
        <v>663890</v>
      </c>
      <c r="H32" s="7">
        <f t="shared" si="23"/>
        <v>570374</v>
      </c>
      <c r="I32" s="7">
        <f t="shared" si="23"/>
        <v>972281</v>
      </c>
      <c r="J32" s="7">
        <f t="shared" si="23"/>
        <v>1231232</v>
      </c>
      <c r="K32" s="7">
        <f t="shared" si="23"/>
        <v>1113683</v>
      </c>
      <c r="L32" s="7">
        <f t="shared" si="23"/>
        <v>1263200</v>
      </c>
      <c r="M32" s="7">
        <f t="shared" si="23"/>
        <v>1292983</v>
      </c>
      <c r="N32" s="7">
        <f t="shared" si="23"/>
        <v>2356731</v>
      </c>
      <c r="O32" s="7">
        <f t="shared" si="23"/>
        <v>705856</v>
      </c>
      <c r="P32" s="7">
        <f t="shared" si="23"/>
        <v>495633</v>
      </c>
      <c r="Q32" s="7">
        <f t="shared" si="23"/>
        <v>627749</v>
      </c>
      <c r="R32" s="7">
        <f t="shared" si="23"/>
        <v>545126</v>
      </c>
      <c r="S32" s="7">
        <f t="shared" si="23"/>
        <v>722769</v>
      </c>
      <c r="T32" s="7">
        <f t="shared" si="23"/>
        <v>508743</v>
      </c>
      <c r="U32" s="7">
        <f t="shared" si="23"/>
        <v>351190</v>
      </c>
      <c r="V32" s="7">
        <f t="shared" si="23"/>
        <v>457173</v>
      </c>
      <c r="W32" s="7">
        <f t="shared" si="23"/>
        <v>1056267</v>
      </c>
      <c r="X32" s="7">
        <f t="shared" si="23"/>
        <v>563232</v>
      </c>
      <c r="Y32" s="7">
        <f t="shared" si="23"/>
        <v>362169</v>
      </c>
      <c r="Z32" s="7">
        <f t="shared" si="23"/>
        <v>394570</v>
      </c>
      <c r="AA32" s="7">
        <f t="shared" ref="AA32:AB32" si="24">+SUM(AA23:AA31)</f>
        <v>744719</v>
      </c>
      <c r="AB32" s="7">
        <f t="shared" si="24"/>
        <v>379096</v>
      </c>
      <c r="AC32" s="7">
        <f t="shared" ref="AC32:AD32" si="25">+SUM(AC23:AC31)</f>
        <v>635454</v>
      </c>
      <c r="AD32" s="7">
        <f t="shared" si="25"/>
        <v>335377</v>
      </c>
      <c r="AE32" s="7">
        <f t="shared" ref="AE32:AF32" si="26">+SUM(AE23:AE31)</f>
        <v>714165</v>
      </c>
      <c r="AF32" s="7">
        <f t="shared" si="26"/>
        <v>493377</v>
      </c>
      <c r="AG32" s="7">
        <f t="shared" ref="AG32:AH32" si="27">+SUM(AG23:AG31)</f>
        <v>516774</v>
      </c>
      <c r="AH32" s="7">
        <f t="shared" si="27"/>
        <v>625802</v>
      </c>
      <c r="AI32" s="7">
        <f t="shared" ref="AI32" si="28">+SUM(AI23:AI31)</f>
        <v>1137962</v>
      </c>
    </row>
    <row r="33" spans="1:35" x14ac:dyDescent="0.3">
      <c r="A33" s="1" t="s">
        <v>27</v>
      </c>
      <c r="B33" s="3"/>
      <c r="C33" s="3"/>
      <c r="D33" s="3"/>
      <c r="E33" s="3"/>
      <c r="F33" s="3"/>
      <c r="G33" s="3"/>
      <c r="H33" s="3"/>
      <c r="I33" s="3"/>
      <c r="J33" s="3"/>
      <c r="K33" s="3"/>
      <c r="L33" s="3"/>
      <c r="M33" s="3"/>
      <c r="N33" s="3"/>
      <c r="O33" s="3"/>
      <c r="P33" s="3"/>
      <c r="Q33" s="3"/>
      <c r="R33" s="3"/>
      <c r="S33" s="3"/>
      <c r="T33" s="3"/>
      <c r="U33" s="3"/>
      <c r="V33" s="3"/>
    </row>
    <row r="34" spans="1:35" x14ac:dyDescent="0.3">
      <c r="A34" s="1" t="s">
        <v>123</v>
      </c>
      <c r="B34" s="3"/>
      <c r="C34" s="3"/>
      <c r="D34" s="3"/>
      <c r="E34" s="3"/>
      <c r="F34" s="3"/>
      <c r="G34" s="3"/>
      <c r="H34" s="3"/>
      <c r="I34" s="3"/>
      <c r="J34" s="3"/>
      <c r="K34" s="3"/>
      <c r="L34" s="3"/>
      <c r="M34" s="3"/>
      <c r="N34" s="3"/>
      <c r="O34" s="3"/>
      <c r="P34" s="3"/>
      <c r="Q34" s="3"/>
      <c r="R34" s="3"/>
      <c r="S34" s="3"/>
      <c r="T34" s="3"/>
      <c r="U34" s="3"/>
      <c r="V34" s="3"/>
    </row>
    <row r="35" spans="1:35" x14ac:dyDescent="0.3">
      <c r="A35" s="1" t="s">
        <v>124</v>
      </c>
      <c r="B35" s="3"/>
      <c r="C35" s="3"/>
      <c r="D35" s="3"/>
      <c r="E35" s="3"/>
      <c r="F35" s="3">
        <v>92276131</v>
      </c>
      <c r="G35" s="3">
        <v>81601593</v>
      </c>
      <c r="H35" s="3">
        <v>83995962</v>
      </c>
      <c r="I35" s="3">
        <v>85835567</v>
      </c>
      <c r="J35" s="3">
        <v>86635548</v>
      </c>
      <c r="K35" s="3">
        <v>88802317</v>
      </c>
      <c r="L35" s="3">
        <v>89109613</v>
      </c>
      <c r="M35" s="3">
        <v>93020666</v>
      </c>
      <c r="N35" s="3">
        <v>94195192</v>
      </c>
      <c r="O35" s="3">
        <v>95246459</v>
      </c>
      <c r="P35" s="3">
        <v>96267333</v>
      </c>
      <c r="Q35" s="3">
        <v>97493898</v>
      </c>
      <c r="R35" s="3">
        <v>100421044</v>
      </c>
      <c r="S35" s="3">
        <v>104538204</v>
      </c>
      <c r="T35" s="3">
        <v>109016205</v>
      </c>
      <c r="U35" s="3">
        <v>114511065</v>
      </c>
      <c r="V35" s="3">
        <v>118014519</v>
      </c>
      <c r="W35" s="3">
        <v>121141110</v>
      </c>
      <c r="X35" s="3">
        <v>122891376</v>
      </c>
      <c r="Y35" s="3">
        <v>123809306</v>
      </c>
      <c r="Z35" s="3">
        <v>125274597</v>
      </c>
      <c r="AA35" s="3">
        <v>126310318</v>
      </c>
      <c r="AB35" s="3">
        <v>129554745</v>
      </c>
      <c r="AC35" s="3">
        <v>131372162</v>
      </c>
      <c r="AD35" s="3">
        <v>134345626</v>
      </c>
      <c r="AE35" s="3">
        <v>136506637</v>
      </c>
      <c r="AF35" s="3">
        <v>77243531</v>
      </c>
      <c r="AG35" s="3">
        <v>77673506</v>
      </c>
      <c r="AH35" s="3">
        <v>78150162</v>
      </c>
      <c r="AI35" s="3">
        <v>78373943</v>
      </c>
    </row>
    <row r="36" spans="1:35" x14ac:dyDescent="0.3">
      <c r="A36" s="1" t="s">
        <v>125</v>
      </c>
      <c r="B36" s="3"/>
      <c r="C36" s="3"/>
      <c r="D36" s="3"/>
      <c r="E36" s="3"/>
      <c r="F36" s="3">
        <v>5681099</v>
      </c>
      <c r="G36" s="3">
        <v>8596654</v>
      </c>
      <c r="H36" s="3">
        <v>8403894</v>
      </c>
      <c r="I36" s="3">
        <v>9138151</v>
      </c>
      <c r="J36" s="3">
        <v>8821657</v>
      </c>
      <c r="K36" s="3">
        <v>8773588</v>
      </c>
      <c r="L36" s="3">
        <v>8635965</v>
      </c>
      <c r="M36" s="3">
        <v>8513046</v>
      </c>
      <c r="N36" s="3">
        <v>8909451</v>
      </c>
      <c r="O36" s="3">
        <v>8886821</v>
      </c>
      <c r="P36" s="3">
        <v>8857764</v>
      </c>
      <c r="Q36" s="3">
        <v>7960875</v>
      </c>
      <c r="R36" s="3">
        <v>7916025</v>
      </c>
      <c r="S36" s="3">
        <v>7641083</v>
      </c>
      <c r="T36" s="3">
        <v>7322646</v>
      </c>
      <c r="U36" s="3">
        <v>6501680</v>
      </c>
      <c r="V36" s="3">
        <v>6234108</v>
      </c>
      <c r="W36" s="3">
        <v>6051044</v>
      </c>
      <c r="X36" s="3">
        <v>5805319</v>
      </c>
      <c r="Y36" s="3">
        <v>5256806</v>
      </c>
      <c r="Z36" s="3">
        <v>4974873</v>
      </c>
      <c r="AA36" s="3">
        <v>4723462</v>
      </c>
      <c r="AB36" s="3">
        <v>4398615</v>
      </c>
      <c r="AC36" s="3">
        <v>4118300</v>
      </c>
      <c r="AD36" s="3">
        <v>3755931</v>
      </c>
      <c r="AE36" s="3">
        <v>3387332</v>
      </c>
      <c r="AF36" s="3">
        <v>3115958</v>
      </c>
      <c r="AG36" s="3">
        <v>2057984</v>
      </c>
      <c r="AH36" s="3">
        <v>1943918</v>
      </c>
      <c r="AI36" s="3">
        <v>1992476</v>
      </c>
    </row>
    <row r="37" spans="1:35" x14ac:dyDescent="0.3">
      <c r="A37" s="1" t="s">
        <v>126</v>
      </c>
      <c r="B37" s="3"/>
      <c r="C37" s="3"/>
      <c r="D37" s="3"/>
      <c r="E37" s="3"/>
      <c r="F37" s="3">
        <v>96649</v>
      </c>
      <c r="G37" s="3">
        <v>100221</v>
      </c>
      <c r="H37" s="3">
        <v>104120</v>
      </c>
      <c r="I37" s="3">
        <v>109953</v>
      </c>
      <c r="J37" s="3">
        <v>140429</v>
      </c>
      <c r="K37" s="3">
        <v>201601</v>
      </c>
      <c r="L37" s="3">
        <v>202299</v>
      </c>
      <c r="M37" s="3">
        <v>206993</v>
      </c>
      <c r="N37" s="3">
        <v>171713</v>
      </c>
      <c r="O37" s="3">
        <v>168170</v>
      </c>
      <c r="P37" s="3">
        <v>169973</v>
      </c>
      <c r="Q37" s="3">
        <v>184221</v>
      </c>
      <c r="R37" s="3">
        <v>192782</v>
      </c>
      <c r="S37" s="3">
        <v>218521</v>
      </c>
      <c r="T37" s="3">
        <v>226096</v>
      </c>
      <c r="U37" s="3">
        <v>244067</v>
      </c>
      <c r="V37" s="3">
        <v>319870</v>
      </c>
      <c r="W37" s="3">
        <v>253028</v>
      </c>
      <c r="X37" s="3">
        <v>264011</v>
      </c>
      <c r="Y37" s="3">
        <v>328027</v>
      </c>
      <c r="Z37" s="3">
        <v>322424</v>
      </c>
      <c r="AA37" s="3">
        <v>336478</v>
      </c>
      <c r="AB37" s="3">
        <v>347205</v>
      </c>
      <c r="AC37" s="3">
        <v>193255</v>
      </c>
      <c r="AD37" s="3">
        <v>369482</v>
      </c>
      <c r="AE37" s="3">
        <v>291273</v>
      </c>
      <c r="AF37" s="3">
        <v>391645</v>
      </c>
      <c r="AG37" s="3">
        <v>413792</v>
      </c>
      <c r="AH37" s="3">
        <v>398442</v>
      </c>
      <c r="AI37" s="3">
        <v>421569</v>
      </c>
    </row>
    <row r="38" spans="1:35" s="6" customFormat="1" x14ac:dyDescent="0.3">
      <c r="A38" s="6" t="s">
        <v>28</v>
      </c>
      <c r="B38" s="7">
        <f>+SUM(B33:B37)</f>
        <v>0</v>
      </c>
      <c r="C38" s="7">
        <f t="shared" ref="C38:F38" si="29">+SUM(C33:C37)</f>
        <v>0</v>
      </c>
      <c r="D38" s="7">
        <f t="shared" si="29"/>
        <v>0</v>
      </c>
      <c r="E38" s="7">
        <f t="shared" si="29"/>
        <v>0</v>
      </c>
      <c r="F38" s="7">
        <f t="shared" si="29"/>
        <v>98053879</v>
      </c>
      <c r="G38" s="7">
        <f t="shared" ref="G38:V38" si="30">+SUM(G33:G37)</f>
        <v>90298468</v>
      </c>
      <c r="H38" s="7">
        <f t="shared" si="30"/>
        <v>92503976</v>
      </c>
      <c r="I38" s="7">
        <f t="shared" si="30"/>
        <v>95083671</v>
      </c>
      <c r="J38" s="7">
        <f t="shared" si="30"/>
        <v>95597634</v>
      </c>
      <c r="K38" s="7">
        <f t="shared" si="30"/>
        <v>97777506</v>
      </c>
      <c r="L38" s="7">
        <f t="shared" si="30"/>
        <v>97947877</v>
      </c>
      <c r="M38" s="7">
        <f t="shared" si="30"/>
        <v>101740705</v>
      </c>
      <c r="N38" s="7">
        <f t="shared" si="30"/>
        <v>103276356</v>
      </c>
      <c r="O38" s="7">
        <f t="shared" si="30"/>
        <v>104301450</v>
      </c>
      <c r="P38" s="7">
        <f t="shared" si="30"/>
        <v>105295070</v>
      </c>
      <c r="Q38" s="7">
        <f t="shared" si="30"/>
        <v>105638994</v>
      </c>
      <c r="R38" s="7">
        <f t="shared" si="30"/>
        <v>108529851</v>
      </c>
      <c r="S38" s="7">
        <f t="shared" si="30"/>
        <v>112397808</v>
      </c>
      <c r="T38" s="7">
        <f t="shared" si="30"/>
        <v>116564947</v>
      </c>
      <c r="U38" s="7">
        <f t="shared" si="30"/>
        <v>121256812</v>
      </c>
      <c r="V38" s="7">
        <f t="shared" si="30"/>
        <v>124568497</v>
      </c>
      <c r="W38" s="7">
        <f t="shared" ref="W38:Z38" si="31">+SUM(W33:W37)</f>
        <v>127445182</v>
      </c>
      <c r="X38" s="7">
        <f t="shared" si="31"/>
        <v>128960706</v>
      </c>
      <c r="Y38" s="7">
        <f t="shared" si="31"/>
        <v>129394139</v>
      </c>
      <c r="Z38" s="7">
        <f t="shared" si="31"/>
        <v>130571894</v>
      </c>
      <c r="AA38" s="7">
        <f t="shared" ref="AA38:AB38" si="32">+SUM(AA33:AA37)</f>
        <v>131370258</v>
      </c>
      <c r="AB38" s="7">
        <f t="shared" si="32"/>
        <v>134300565</v>
      </c>
      <c r="AC38" s="7">
        <f t="shared" ref="AC38:AD38" si="33">+SUM(AC33:AC37)</f>
        <v>135683717</v>
      </c>
      <c r="AD38" s="7">
        <f t="shared" si="33"/>
        <v>138471039</v>
      </c>
      <c r="AE38" s="7">
        <f t="shared" ref="AE38:AF38" si="34">+SUM(AE33:AE37)</f>
        <v>140185242</v>
      </c>
      <c r="AF38" s="7">
        <f t="shared" si="34"/>
        <v>80751134</v>
      </c>
      <c r="AG38" s="7">
        <f t="shared" ref="AG38:AH38" si="35">+SUM(AG33:AG37)</f>
        <v>80145282</v>
      </c>
      <c r="AH38" s="7">
        <f t="shared" si="35"/>
        <v>80492522</v>
      </c>
      <c r="AI38" s="7">
        <f t="shared" ref="AI38" si="36">+SUM(AI33:AI37)</f>
        <v>80787988</v>
      </c>
    </row>
    <row r="39" spans="1:35" x14ac:dyDescent="0.3">
      <c r="A39" s="6" t="s">
        <v>29</v>
      </c>
      <c r="B39" s="7">
        <f>+B38+B32</f>
        <v>0</v>
      </c>
      <c r="C39" s="7">
        <f t="shared" ref="C39:F39" si="37">+C38+C32</f>
        <v>0</v>
      </c>
      <c r="D39" s="7">
        <f t="shared" si="37"/>
        <v>0</v>
      </c>
      <c r="E39" s="7">
        <f t="shared" si="37"/>
        <v>0</v>
      </c>
      <c r="F39" s="7">
        <f t="shared" si="37"/>
        <v>101123619</v>
      </c>
      <c r="G39" s="7">
        <f t="shared" ref="G39:V39" si="38">+G38+G32</f>
        <v>90962358</v>
      </c>
      <c r="H39" s="7">
        <f t="shared" si="38"/>
        <v>93074350</v>
      </c>
      <c r="I39" s="7">
        <f t="shared" si="38"/>
        <v>96055952</v>
      </c>
      <c r="J39" s="7">
        <f t="shared" si="38"/>
        <v>96828866</v>
      </c>
      <c r="K39" s="7">
        <f t="shared" si="38"/>
        <v>98891189</v>
      </c>
      <c r="L39" s="7">
        <f t="shared" si="38"/>
        <v>99211077</v>
      </c>
      <c r="M39" s="7">
        <f t="shared" si="38"/>
        <v>103033688</v>
      </c>
      <c r="N39" s="7">
        <f t="shared" si="38"/>
        <v>105633087</v>
      </c>
      <c r="O39" s="7">
        <f t="shared" si="38"/>
        <v>105007306</v>
      </c>
      <c r="P39" s="7">
        <f t="shared" si="38"/>
        <v>105790703</v>
      </c>
      <c r="Q39" s="7">
        <f t="shared" si="38"/>
        <v>106266743</v>
      </c>
      <c r="R39" s="7">
        <f t="shared" si="38"/>
        <v>109074977</v>
      </c>
      <c r="S39" s="7">
        <f t="shared" si="38"/>
        <v>113120577</v>
      </c>
      <c r="T39" s="7">
        <f t="shared" si="38"/>
        <v>117073690</v>
      </c>
      <c r="U39" s="7">
        <f t="shared" si="38"/>
        <v>121608002</v>
      </c>
      <c r="V39" s="7">
        <f t="shared" si="38"/>
        <v>125025670</v>
      </c>
      <c r="W39" s="7">
        <f t="shared" ref="W39:Z39" si="39">+W38+W32</f>
        <v>128501449</v>
      </c>
      <c r="X39" s="7">
        <f t="shared" si="39"/>
        <v>129523938</v>
      </c>
      <c r="Y39" s="7">
        <f t="shared" si="39"/>
        <v>129756308</v>
      </c>
      <c r="Z39" s="7">
        <f t="shared" si="39"/>
        <v>130966464</v>
      </c>
      <c r="AA39" s="7">
        <f t="shared" ref="AA39:AB39" si="40">+AA38+AA32</f>
        <v>132114977</v>
      </c>
      <c r="AB39" s="7">
        <f t="shared" si="40"/>
        <v>134679661</v>
      </c>
      <c r="AC39" s="7">
        <f t="shared" ref="AC39:AD39" si="41">+AC38+AC32</f>
        <v>136319171</v>
      </c>
      <c r="AD39" s="7">
        <f t="shared" si="41"/>
        <v>138806416</v>
      </c>
      <c r="AE39" s="7">
        <f t="shared" ref="AE39:AF39" si="42">+AE38+AE32</f>
        <v>140899407</v>
      </c>
      <c r="AF39" s="7">
        <f t="shared" si="42"/>
        <v>81244511</v>
      </c>
      <c r="AG39" s="7">
        <f t="shared" ref="AG39:AH39" si="43">+AG38+AG32</f>
        <v>80662056</v>
      </c>
      <c r="AH39" s="7">
        <f t="shared" si="43"/>
        <v>81118324</v>
      </c>
      <c r="AI39" s="7">
        <f t="shared" ref="AI39" si="44">+AI38+AI32</f>
        <v>81925950</v>
      </c>
    </row>
    <row r="40" spans="1:35" x14ac:dyDescent="0.3">
      <c r="A40" s="6" t="s">
        <v>127</v>
      </c>
      <c r="B40" s="3"/>
      <c r="C40" s="3"/>
      <c r="D40" s="3"/>
      <c r="E40" s="3"/>
      <c r="F40" s="3"/>
      <c r="G40" s="3"/>
      <c r="H40" s="3"/>
      <c r="I40" s="3"/>
      <c r="J40" s="3"/>
      <c r="K40" s="3"/>
      <c r="L40" s="3"/>
      <c r="M40" s="3"/>
      <c r="N40" s="3"/>
      <c r="O40" s="3"/>
      <c r="P40" s="3"/>
      <c r="Q40" s="3"/>
      <c r="R40" s="3"/>
      <c r="S40" s="3"/>
      <c r="T40" s="3"/>
      <c r="U40" s="3"/>
      <c r="V40" s="3"/>
    </row>
    <row r="41" spans="1:35" x14ac:dyDescent="0.3">
      <c r="A41" s="1" t="s">
        <v>128</v>
      </c>
      <c r="B41" s="3"/>
      <c r="C41" s="3"/>
      <c r="D41" s="3"/>
      <c r="E41" s="3"/>
      <c r="F41" s="3">
        <v>161967</v>
      </c>
      <c r="G41" s="3">
        <v>161967</v>
      </c>
      <c r="H41" s="3">
        <v>161967</v>
      </c>
      <c r="I41" s="3">
        <v>161967</v>
      </c>
      <c r="J41" s="3">
        <v>161967</v>
      </c>
      <c r="K41" s="3">
        <v>161967</v>
      </c>
      <c r="L41" s="3">
        <v>161967</v>
      </c>
      <c r="M41" s="3">
        <v>161967</v>
      </c>
      <c r="N41" s="3">
        <v>161967</v>
      </c>
      <c r="O41" s="3">
        <v>161967</v>
      </c>
      <c r="P41" s="3">
        <v>161967</v>
      </c>
      <c r="Q41" s="3">
        <v>161967</v>
      </c>
      <c r="R41" s="3">
        <v>161967</v>
      </c>
      <c r="S41" s="3">
        <v>161967</v>
      </c>
      <c r="T41" s="3">
        <v>161967</v>
      </c>
      <c r="U41" s="3">
        <v>161967</v>
      </c>
      <c r="V41" s="3">
        <v>161967</v>
      </c>
      <c r="W41" s="3">
        <v>161967</v>
      </c>
      <c r="X41" s="3">
        <v>161967</v>
      </c>
      <c r="Y41" s="3">
        <v>161967</v>
      </c>
      <c r="Z41" s="3">
        <v>161967</v>
      </c>
      <c r="AA41" s="3">
        <v>161967</v>
      </c>
      <c r="AB41" s="3">
        <v>161967</v>
      </c>
      <c r="AC41" s="3">
        <v>161967</v>
      </c>
      <c r="AD41" s="3">
        <v>161967</v>
      </c>
      <c r="AE41" s="3">
        <v>161967</v>
      </c>
      <c r="AF41" s="3">
        <v>61117145</v>
      </c>
      <c r="AG41" s="3">
        <v>61117145</v>
      </c>
      <c r="AH41" s="3">
        <v>61517145</v>
      </c>
      <c r="AI41" s="3">
        <v>61517145</v>
      </c>
    </row>
    <row r="42" spans="1:35" x14ac:dyDescent="0.3">
      <c r="A42" s="1" t="s">
        <v>32</v>
      </c>
      <c r="B42" s="3"/>
      <c r="C42" s="3"/>
      <c r="D42" s="3"/>
      <c r="E42" s="3"/>
      <c r="F42" s="3">
        <v>-57700</v>
      </c>
      <c r="G42" s="3">
        <v>-57700</v>
      </c>
      <c r="H42" s="3">
        <v>-57700</v>
      </c>
      <c r="I42" s="3">
        <v>-57700</v>
      </c>
      <c r="J42" s="3">
        <v>-57700</v>
      </c>
      <c r="K42" s="3">
        <v>-57700</v>
      </c>
      <c r="L42" s="3">
        <v>-57700</v>
      </c>
      <c r="M42" s="3">
        <v>-57700</v>
      </c>
      <c r="N42" s="3">
        <v>-57700</v>
      </c>
      <c r="O42" s="3">
        <v>-57700</v>
      </c>
      <c r="P42" s="3">
        <v>-57700</v>
      </c>
      <c r="Q42" s="3">
        <v>-57700</v>
      </c>
      <c r="R42" s="3">
        <v>-57700</v>
      </c>
      <c r="S42" s="3">
        <v>-57700</v>
      </c>
      <c r="T42" s="3">
        <v>-57700</v>
      </c>
      <c r="U42" s="3">
        <v>-57700</v>
      </c>
      <c r="V42" s="3">
        <v>-57700</v>
      </c>
      <c r="W42" s="3">
        <v>-57700</v>
      </c>
      <c r="X42" s="3">
        <v>-57700</v>
      </c>
      <c r="Y42" s="3">
        <v>-57700</v>
      </c>
      <c r="Z42" s="3">
        <v>-57700</v>
      </c>
      <c r="AA42" s="3">
        <v>-57700</v>
      </c>
      <c r="AB42" s="3">
        <v>-57700</v>
      </c>
      <c r="AC42" s="3">
        <v>-57700</v>
      </c>
      <c r="AD42" s="3">
        <v>-57700</v>
      </c>
      <c r="AE42" s="3">
        <v>-57700</v>
      </c>
      <c r="AF42" s="3">
        <v>-57700</v>
      </c>
      <c r="AG42" s="3">
        <v>-57700</v>
      </c>
      <c r="AH42" s="3">
        <v>-57700</v>
      </c>
      <c r="AI42" s="3">
        <v>-57700</v>
      </c>
    </row>
    <row r="43" spans="1:35" x14ac:dyDescent="0.3">
      <c r="A43" s="1" t="s">
        <v>33</v>
      </c>
      <c r="B43" s="3"/>
      <c r="C43" s="3"/>
      <c r="D43" s="3"/>
      <c r="E43" s="3"/>
      <c r="F43" s="3">
        <v>4200269</v>
      </c>
      <c r="G43" s="3">
        <v>12083063</v>
      </c>
      <c r="H43" s="3">
        <v>11705337</v>
      </c>
      <c r="I43" s="3">
        <v>13699795</v>
      </c>
      <c r="J43" s="3">
        <v>12562322</v>
      </c>
      <c r="K43" s="3">
        <v>12527670</v>
      </c>
      <c r="L43" s="3">
        <v>12181572</v>
      </c>
      <c r="M43" s="3">
        <v>11857897</v>
      </c>
      <c r="N43" s="3">
        <v>13033636</v>
      </c>
      <c r="O43" s="3">
        <v>13142310</v>
      </c>
      <c r="P43" s="3">
        <v>13219452</v>
      </c>
      <c r="Q43" s="3">
        <v>10964385</v>
      </c>
      <c r="R43" s="3">
        <v>11296083</v>
      </c>
      <c r="S43" s="3">
        <v>11049679</v>
      </c>
      <c r="T43" s="3">
        <v>11252394</v>
      </c>
      <c r="U43" s="3">
        <v>9762265</v>
      </c>
      <c r="V43" s="3">
        <v>9592110</v>
      </c>
      <c r="W43" s="3">
        <v>9466104</v>
      </c>
      <c r="X43" s="3">
        <v>9386920</v>
      </c>
      <c r="Y43" s="3">
        <v>8013623</v>
      </c>
      <c r="Z43" s="3">
        <v>7964038</v>
      </c>
      <c r="AA43" s="3">
        <v>7603373</v>
      </c>
      <c r="AB43" s="3">
        <v>6794519</v>
      </c>
      <c r="AC43" s="3">
        <v>6421688</v>
      </c>
      <c r="AD43" s="3">
        <v>5336421</v>
      </c>
      <c r="AE43" s="3">
        <v>5094978</v>
      </c>
      <c r="AF43" s="3">
        <v>4770549</v>
      </c>
      <c r="AG43" s="3">
        <v>2469232</v>
      </c>
      <c r="AH43" s="3">
        <v>2985480</v>
      </c>
      <c r="AI43" s="3">
        <v>3223851</v>
      </c>
    </row>
    <row r="44" spans="1:35" s="6" customFormat="1" x14ac:dyDescent="0.3">
      <c r="A44" s="6" t="s">
        <v>129</v>
      </c>
      <c r="B44" s="7">
        <f t="shared" ref="B44:F44" si="45">+SUM(B40:B43)</f>
        <v>0</v>
      </c>
      <c r="C44" s="7">
        <f t="shared" si="45"/>
        <v>0</v>
      </c>
      <c r="D44" s="7">
        <f t="shared" si="45"/>
        <v>0</v>
      </c>
      <c r="E44" s="7">
        <f t="shared" si="45"/>
        <v>0</v>
      </c>
      <c r="F44" s="7">
        <f t="shared" si="45"/>
        <v>4304536</v>
      </c>
      <c r="G44" s="7">
        <f t="shared" ref="G44:V44" si="46">+SUM(G40:G43)</f>
        <v>12187330</v>
      </c>
      <c r="H44" s="7">
        <f t="shared" si="46"/>
        <v>11809604</v>
      </c>
      <c r="I44" s="7">
        <f t="shared" si="46"/>
        <v>13804062</v>
      </c>
      <c r="J44" s="7">
        <f t="shared" si="46"/>
        <v>12666589</v>
      </c>
      <c r="K44" s="7">
        <f t="shared" si="46"/>
        <v>12631937</v>
      </c>
      <c r="L44" s="7">
        <f t="shared" si="46"/>
        <v>12285839</v>
      </c>
      <c r="M44" s="7">
        <f t="shared" si="46"/>
        <v>11962164</v>
      </c>
      <c r="N44" s="7">
        <f t="shared" si="46"/>
        <v>13137903</v>
      </c>
      <c r="O44" s="7">
        <f t="shared" si="46"/>
        <v>13246577</v>
      </c>
      <c r="P44" s="7">
        <f t="shared" si="46"/>
        <v>13323719</v>
      </c>
      <c r="Q44" s="7">
        <f t="shared" si="46"/>
        <v>11068652</v>
      </c>
      <c r="R44" s="7">
        <f t="shared" si="46"/>
        <v>11400350</v>
      </c>
      <c r="S44" s="7">
        <f t="shared" si="46"/>
        <v>11153946</v>
      </c>
      <c r="T44" s="7">
        <f t="shared" si="46"/>
        <v>11356661</v>
      </c>
      <c r="U44" s="7">
        <f t="shared" si="46"/>
        <v>9866532</v>
      </c>
      <c r="V44" s="7">
        <f t="shared" si="46"/>
        <v>9696377</v>
      </c>
      <c r="W44" s="7">
        <f t="shared" ref="W44:Z44" si="47">+SUM(W40:W43)</f>
        <v>9570371</v>
      </c>
      <c r="X44" s="7">
        <f t="shared" si="47"/>
        <v>9491187</v>
      </c>
      <c r="Y44" s="7">
        <f t="shared" si="47"/>
        <v>8117890</v>
      </c>
      <c r="Z44" s="7">
        <f t="shared" si="47"/>
        <v>8068305</v>
      </c>
      <c r="AA44" s="7">
        <f t="shared" ref="AA44:AB44" si="48">+SUM(AA40:AA43)</f>
        <v>7707640</v>
      </c>
      <c r="AB44" s="7">
        <f t="shared" si="48"/>
        <v>6898786</v>
      </c>
      <c r="AC44" s="7">
        <f t="shared" ref="AC44:AD44" si="49">+SUM(AC40:AC43)</f>
        <v>6525955</v>
      </c>
      <c r="AD44" s="7">
        <f t="shared" si="49"/>
        <v>5440688</v>
      </c>
      <c r="AE44" s="7">
        <f t="shared" ref="AE44:AF44" si="50">+SUM(AE40:AE43)</f>
        <v>5199245</v>
      </c>
      <c r="AF44" s="7">
        <f t="shared" si="50"/>
        <v>65829994</v>
      </c>
      <c r="AG44" s="7">
        <f t="shared" ref="AG44:AH44" si="51">+SUM(AG40:AG43)</f>
        <v>63528677</v>
      </c>
      <c r="AH44" s="7">
        <f t="shared" si="51"/>
        <v>64444925</v>
      </c>
      <c r="AI44" s="7">
        <f t="shared" ref="AI44" si="52">+SUM(AI40:AI43)</f>
        <v>64683296</v>
      </c>
    </row>
    <row r="45" spans="1:35"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3">
      <c r="A46" s="6" t="s">
        <v>131</v>
      </c>
      <c r="B46" s="7">
        <f>+B44+B39+B45</f>
        <v>0</v>
      </c>
      <c r="C46" s="7">
        <f t="shared" ref="C46:F46" si="53">+C44+C39+C45</f>
        <v>0</v>
      </c>
      <c r="D46" s="7">
        <f t="shared" si="53"/>
        <v>0</v>
      </c>
      <c r="E46" s="7">
        <f t="shared" si="53"/>
        <v>0</v>
      </c>
      <c r="F46" s="7">
        <f t="shared" si="53"/>
        <v>105428155</v>
      </c>
      <c r="G46" s="7">
        <f t="shared" ref="G46:V46" si="54">+G44+G39+G45</f>
        <v>103149688</v>
      </c>
      <c r="H46" s="7">
        <f t="shared" si="54"/>
        <v>104883954</v>
      </c>
      <c r="I46" s="7">
        <f t="shared" si="54"/>
        <v>109860014</v>
      </c>
      <c r="J46" s="7">
        <f t="shared" si="54"/>
        <v>109495455</v>
      </c>
      <c r="K46" s="7">
        <f t="shared" si="54"/>
        <v>111523126</v>
      </c>
      <c r="L46" s="7">
        <f t="shared" si="54"/>
        <v>111496916</v>
      </c>
      <c r="M46" s="7">
        <f t="shared" si="54"/>
        <v>114995852</v>
      </c>
      <c r="N46" s="7">
        <f t="shared" si="54"/>
        <v>118770990</v>
      </c>
      <c r="O46" s="7">
        <f t="shared" si="54"/>
        <v>118253883</v>
      </c>
      <c r="P46" s="7">
        <f t="shared" si="54"/>
        <v>119114422</v>
      </c>
      <c r="Q46" s="7">
        <f t="shared" si="54"/>
        <v>117335395</v>
      </c>
      <c r="R46" s="7">
        <f t="shared" si="54"/>
        <v>120475327</v>
      </c>
      <c r="S46" s="7">
        <f t="shared" si="54"/>
        <v>124274523</v>
      </c>
      <c r="T46" s="7">
        <f t="shared" si="54"/>
        <v>128430351</v>
      </c>
      <c r="U46" s="7">
        <f t="shared" si="54"/>
        <v>131474534</v>
      </c>
      <c r="V46" s="7">
        <f t="shared" si="54"/>
        <v>134722047</v>
      </c>
      <c r="W46" s="7">
        <f t="shared" ref="W46:Z46" si="55">+W44+W39+W45</f>
        <v>138071820</v>
      </c>
      <c r="X46" s="7">
        <f t="shared" si="55"/>
        <v>139015125</v>
      </c>
      <c r="Y46" s="7">
        <f t="shared" si="55"/>
        <v>137874198</v>
      </c>
      <c r="Z46" s="7">
        <f t="shared" si="55"/>
        <v>139034769</v>
      </c>
      <c r="AA46" s="7">
        <f t="shared" ref="AA46:AB46" si="56">+AA44+AA39+AA45</f>
        <v>139822617</v>
      </c>
      <c r="AB46" s="7">
        <f t="shared" si="56"/>
        <v>141578447</v>
      </c>
      <c r="AC46" s="7">
        <f t="shared" ref="AC46:AD46" si="57">+AC44+AC39+AC45</f>
        <v>142845126</v>
      </c>
      <c r="AD46" s="7">
        <f t="shared" si="57"/>
        <v>144247104</v>
      </c>
      <c r="AE46" s="7">
        <f t="shared" ref="AE46:AF46" si="58">+AE44+AE39+AE45</f>
        <v>146098652</v>
      </c>
      <c r="AF46" s="7">
        <f t="shared" si="58"/>
        <v>147074505</v>
      </c>
      <c r="AG46" s="7">
        <f t="shared" ref="AG46:AH46" si="59">+AG44+AG39+AG45</f>
        <v>144190733</v>
      </c>
      <c r="AH46" s="7">
        <f t="shared" si="59"/>
        <v>145563249</v>
      </c>
      <c r="AI46" s="7">
        <f t="shared" ref="AI46" si="60">+AI44+AI39+AI45</f>
        <v>146609246</v>
      </c>
    </row>
    <row r="47" spans="1:35" x14ac:dyDescent="0.3">
      <c r="A47" s="1" t="s">
        <v>38</v>
      </c>
      <c r="B47" s="4" t="str">
        <f>IF((+B46-B22)=0,"ok","error")</f>
        <v>ok</v>
      </c>
      <c r="C47" s="4" t="str">
        <f t="shared" ref="C47:F47" si="61">IF((+C46-C22)=0,"ok","error")</f>
        <v>ok</v>
      </c>
      <c r="D47" s="4" t="str">
        <f t="shared" si="61"/>
        <v>ok</v>
      </c>
      <c r="E47" s="4" t="str">
        <f t="shared" si="61"/>
        <v>ok</v>
      </c>
      <c r="F47" s="4" t="str">
        <f t="shared" si="61"/>
        <v>ok</v>
      </c>
      <c r="G47" s="4" t="str">
        <f t="shared" ref="G47:V47" si="62">IF((+G46-G22)=0,"ok","error")</f>
        <v>ok</v>
      </c>
      <c r="H47" s="4" t="str">
        <f t="shared" si="62"/>
        <v>ok</v>
      </c>
      <c r="I47" s="4" t="str">
        <f t="shared" si="62"/>
        <v>ok</v>
      </c>
      <c r="J47" s="4" t="str">
        <f t="shared" si="62"/>
        <v>ok</v>
      </c>
      <c r="K47" s="4" t="str">
        <f t="shared" si="62"/>
        <v>ok</v>
      </c>
      <c r="L47" s="4" t="str">
        <f t="shared" si="62"/>
        <v>ok</v>
      </c>
      <c r="M47" s="4" t="str">
        <f t="shared" si="62"/>
        <v>ok</v>
      </c>
      <c r="N47" s="4" t="str">
        <f t="shared" si="62"/>
        <v>ok</v>
      </c>
      <c r="O47" s="4" t="str">
        <f t="shared" si="62"/>
        <v>ok</v>
      </c>
      <c r="P47" s="4" t="str">
        <f t="shared" si="62"/>
        <v>ok</v>
      </c>
      <c r="Q47" s="4" t="str">
        <f t="shared" si="62"/>
        <v>ok</v>
      </c>
      <c r="R47" s="4" t="str">
        <f t="shared" si="62"/>
        <v>ok</v>
      </c>
      <c r="S47" s="4" t="str">
        <f t="shared" si="62"/>
        <v>ok</v>
      </c>
      <c r="T47" s="4" t="str">
        <f t="shared" si="62"/>
        <v>ok</v>
      </c>
      <c r="U47" s="4" t="str">
        <f t="shared" si="62"/>
        <v>ok</v>
      </c>
      <c r="V47" s="4" t="str">
        <f t="shared" si="62"/>
        <v>ok</v>
      </c>
      <c r="W47" s="4" t="str">
        <f t="shared" ref="W47:Z47" si="63">IF((+W46-W22)=0,"ok","error")</f>
        <v>ok</v>
      </c>
      <c r="X47" s="4" t="str">
        <f t="shared" si="63"/>
        <v>ok</v>
      </c>
      <c r="Y47" s="4" t="str">
        <f t="shared" si="63"/>
        <v>ok</v>
      </c>
      <c r="Z47" s="4" t="str">
        <f t="shared" si="63"/>
        <v>ok</v>
      </c>
      <c r="AA47" s="4" t="str">
        <f t="shared" ref="AA47:AB47" si="64">IF((+AA46-AA22)=0,"ok","error")</f>
        <v>ok</v>
      </c>
      <c r="AB47" s="4" t="str">
        <f t="shared" si="64"/>
        <v>ok</v>
      </c>
      <c r="AC47" s="4" t="str">
        <f t="shared" ref="AC47:AD47" si="65">IF((+AC46-AC22)=0,"ok","error")</f>
        <v>ok</v>
      </c>
      <c r="AD47" s="4" t="str">
        <f t="shared" si="65"/>
        <v>ok</v>
      </c>
      <c r="AE47" s="4" t="str">
        <f t="shared" ref="AE47:AF47" si="66">IF((+AE46-AE22)=0,"ok","error")</f>
        <v>ok</v>
      </c>
      <c r="AF47" s="4" t="str">
        <f t="shared" si="66"/>
        <v>ok</v>
      </c>
      <c r="AG47" s="4" t="str">
        <f t="shared" ref="AG47:AH47" si="67">IF((+AG46-AG22)=0,"ok","error")</f>
        <v>ok</v>
      </c>
      <c r="AH47" s="4" t="str">
        <f t="shared" si="67"/>
        <v>ok</v>
      </c>
      <c r="AI47" s="4" t="str">
        <f t="shared" ref="AI47" si="68">IF((+AI46-AI22)=0,"ok","error")</f>
        <v>ok</v>
      </c>
    </row>
    <row r="48" spans="1:35"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5" x14ac:dyDescent="0.3">
      <c r="A49" s="1" t="s">
        <v>133</v>
      </c>
      <c r="B49" s="3"/>
      <c r="C49" s="3"/>
      <c r="D49" s="3"/>
      <c r="E49" s="3"/>
      <c r="F49" s="3"/>
      <c r="G49" s="3"/>
      <c r="H49" s="3"/>
      <c r="I49" s="3"/>
      <c r="J49" s="3"/>
      <c r="K49" s="3"/>
      <c r="L49" s="3"/>
      <c r="M49" s="3"/>
      <c r="N49" s="3"/>
      <c r="O49" s="3"/>
      <c r="P49" s="3"/>
      <c r="Q49" s="3"/>
      <c r="R49" s="3"/>
      <c r="S49" s="3"/>
      <c r="T49" s="3"/>
      <c r="U49" s="3"/>
      <c r="V49" s="3"/>
    </row>
    <row r="50" spans="1:35" x14ac:dyDescent="0.3">
      <c r="A50" s="1" t="s">
        <v>134</v>
      </c>
      <c r="B50" s="3"/>
      <c r="C50" s="3"/>
      <c r="D50" s="3"/>
      <c r="E50" s="3"/>
      <c r="F50" s="3">
        <v>3016920</v>
      </c>
      <c r="G50" s="3">
        <v>729367</v>
      </c>
      <c r="H50" s="3">
        <v>1493979</v>
      </c>
      <c r="I50" s="3">
        <v>2296205</v>
      </c>
      <c r="J50" s="3">
        <v>3120467</v>
      </c>
      <c r="K50" s="3">
        <v>882856</v>
      </c>
      <c r="L50" s="3">
        <v>1764083</v>
      </c>
      <c r="M50" s="3">
        <v>2593998</v>
      </c>
      <c r="N50" s="3">
        <v>4257785</v>
      </c>
      <c r="O50" s="3">
        <v>1163253</v>
      </c>
      <c r="P50" s="3">
        <v>2369745</v>
      </c>
      <c r="Q50" s="3">
        <v>3595912</v>
      </c>
      <c r="R50" s="3">
        <v>4726578</v>
      </c>
      <c r="S50" s="3">
        <v>1060307</v>
      </c>
      <c r="T50" s="3">
        <v>2295551</v>
      </c>
      <c r="U50" s="3">
        <v>3633023</v>
      </c>
      <c r="V50" s="3">
        <v>5063007</v>
      </c>
      <c r="W50" s="3">
        <v>1549013</v>
      </c>
      <c r="X50" s="3">
        <v>3135337</v>
      </c>
      <c r="Y50" s="3">
        <v>4699724</v>
      </c>
      <c r="Z50" s="3">
        <v>6272732</v>
      </c>
      <c r="AA50" s="3">
        <v>1680273</v>
      </c>
      <c r="AB50" s="3">
        <v>3375342</v>
      </c>
      <c r="AC50" s="3">
        <v>5092316</v>
      </c>
      <c r="AD50" s="3">
        <v>6842893</v>
      </c>
      <c r="AE50" s="3">
        <v>1782715</v>
      </c>
      <c r="AF50" s="3">
        <v>3499855</v>
      </c>
      <c r="AG50" s="3">
        <v>5274203</v>
      </c>
      <c r="AH50" s="3">
        <v>7153307</v>
      </c>
      <c r="AI50" s="3">
        <v>1978473</v>
      </c>
    </row>
    <row r="51" spans="1:35" x14ac:dyDescent="0.3">
      <c r="A51" s="1" t="s">
        <v>135</v>
      </c>
      <c r="B51" s="3"/>
      <c r="C51" s="3"/>
      <c r="D51" s="3"/>
      <c r="E51" s="3"/>
      <c r="F51" s="3">
        <v>-1516527</v>
      </c>
      <c r="G51" s="3">
        <v>-443553</v>
      </c>
      <c r="H51" s="3">
        <v>-922343</v>
      </c>
      <c r="I51" s="3">
        <v>-1402332</v>
      </c>
      <c r="J51" s="3">
        <v>-2335065</v>
      </c>
      <c r="K51" s="3">
        <v>-487275</v>
      </c>
      <c r="L51" s="3">
        <v>-1207704</v>
      </c>
      <c r="M51" s="3">
        <v>-1758218</v>
      </c>
      <c r="N51" s="3">
        <v>-2259462</v>
      </c>
      <c r="O51" s="3">
        <v>-640608</v>
      </c>
      <c r="P51" s="3">
        <v>-1299491</v>
      </c>
      <c r="Q51" s="3">
        <v>-1891622</v>
      </c>
      <c r="R51" s="3">
        <v>-2559039</v>
      </c>
      <c r="S51" s="3">
        <v>-690596</v>
      </c>
      <c r="T51" s="3">
        <v>-1458722</v>
      </c>
      <c r="U51" s="3">
        <v>-2189602</v>
      </c>
      <c r="V51" s="3">
        <v>-2903362</v>
      </c>
      <c r="W51" s="3">
        <v>-805409</v>
      </c>
      <c r="X51" s="3">
        <v>-1640552</v>
      </c>
      <c r="Y51" s="3">
        <v>-2441509</v>
      </c>
      <c r="Z51" s="3">
        <v>-3265344</v>
      </c>
      <c r="AA51" s="3">
        <v>-858913</v>
      </c>
      <c r="AB51" s="3">
        <v>-1705813</v>
      </c>
      <c r="AC51" s="3">
        <v>-2655779</v>
      </c>
      <c r="AD51" s="3">
        <v>-3528439</v>
      </c>
      <c r="AE51" s="3">
        <v>-852394</v>
      </c>
      <c r="AF51" s="3">
        <v>-1727318</v>
      </c>
      <c r="AG51" s="3">
        <v>-2615790</v>
      </c>
      <c r="AH51" s="3">
        <v>-3489480</v>
      </c>
      <c r="AI51" s="3">
        <v>-878476</v>
      </c>
    </row>
    <row r="52" spans="1:35" s="6" customFormat="1" x14ac:dyDescent="0.3">
      <c r="A52" s="6" t="s">
        <v>136</v>
      </c>
      <c r="B52" s="7">
        <f>+SUM(B50:B51)</f>
        <v>0</v>
      </c>
      <c r="C52" s="7">
        <f t="shared" ref="C52:V52" si="69">+SUM(C50:C51)</f>
        <v>0</v>
      </c>
      <c r="D52" s="7">
        <f t="shared" si="69"/>
        <v>0</v>
      </c>
      <c r="E52" s="7">
        <f t="shared" si="69"/>
        <v>0</v>
      </c>
      <c r="F52" s="7">
        <f t="shared" si="69"/>
        <v>1500393</v>
      </c>
      <c r="G52" s="7">
        <f t="shared" si="69"/>
        <v>285814</v>
      </c>
      <c r="H52" s="7">
        <f t="shared" si="69"/>
        <v>571636</v>
      </c>
      <c r="I52" s="7">
        <f t="shared" si="69"/>
        <v>893873</v>
      </c>
      <c r="J52" s="7">
        <f t="shared" si="69"/>
        <v>785402</v>
      </c>
      <c r="K52" s="7">
        <f t="shared" si="69"/>
        <v>395581</v>
      </c>
      <c r="L52" s="7">
        <f t="shared" si="69"/>
        <v>556379</v>
      </c>
      <c r="M52" s="7">
        <f t="shared" si="69"/>
        <v>835780</v>
      </c>
      <c r="N52" s="7">
        <f t="shared" si="69"/>
        <v>1998323</v>
      </c>
      <c r="O52" s="7">
        <f t="shared" si="69"/>
        <v>522645</v>
      </c>
      <c r="P52" s="7">
        <f t="shared" si="69"/>
        <v>1070254</v>
      </c>
      <c r="Q52" s="7">
        <f t="shared" si="69"/>
        <v>1704290</v>
      </c>
      <c r="R52" s="7">
        <f t="shared" si="69"/>
        <v>2167539</v>
      </c>
      <c r="S52" s="7">
        <f t="shared" si="69"/>
        <v>369711</v>
      </c>
      <c r="T52" s="7">
        <f t="shared" si="69"/>
        <v>836829</v>
      </c>
      <c r="U52" s="7">
        <f t="shared" si="69"/>
        <v>1443421</v>
      </c>
      <c r="V52" s="7">
        <f t="shared" si="69"/>
        <v>2159645</v>
      </c>
      <c r="W52" s="7">
        <f t="shared" ref="W52:Z52" si="70">+SUM(W50:W51)</f>
        <v>743604</v>
      </c>
      <c r="X52" s="7">
        <f t="shared" si="70"/>
        <v>1494785</v>
      </c>
      <c r="Y52" s="7">
        <f t="shared" si="70"/>
        <v>2258215</v>
      </c>
      <c r="Z52" s="7">
        <f t="shared" si="70"/>
        <v>3007388</v>
      </c>
      <c r="AA52" s="7">
        <f t="shared" ref="AA52:AC52" si="71">+SUM(AA50:AA51)</f>
        <v>821360</v>
      </c>
      <c r="AB52" s="7">
        <f t="shared" si="71"/>
        <v>1669529</v>
      </c>
      <c r="AC52" s="7">
        <f t="shared" si="71"/>
        <v>2436537</v>
      </c>
      <c r="AD52" s="7">
        <f t="shared" ref="AD52:AE52" si="72">+SUM(AD50:AD51)</f>
        <v>3314454</v>
      </c>
      <c r="AE52" s="7">
        <f t="shared" si="72"/>
        <v>930321</v>
      </c>
      <c r="AF52" s="7">
        <f t="shared" ref="AF52:AG52" si="73">+SUM(AF50:AF51)</f>
        <v>1772537</v>
      </c>
      <c r="AG52" s="7">
        <f t="shared" si="73"/>
        <v>2658413</v>
      </c>
      <c r="AH52" s="7">
        <f t="shared" ref="AH52:AI52" si="74">+SUM(AH50:AH51)</f>
        <v>3663827</v>
      </c>
      <c r="AI52" s="7">
        <f t="shared" si="74"/>
        <v>1099997</v>
      </c>
    </row>
    <row r="53" spans="1:35" x14ac:dyDescent="0.3">
      <c r="A53" s="1" t="s">
        <v>137</v>
      </c>
      <c r="B53" s="3">
        <v>0</v>
      </c>
      <c r="C53" s="3">
        <v>0</v>
      </c>
      <c r="D53" s="3">
        <v>0</v>
      </c>
      <c r="E53" s="3">
        <v>0</v>
      </c>
      <c r="F53" s="3">
        <v>0</v>
      </c>
      <c r="G53" s="3">
        <v>102557</v>
      </c>
      <c r="H53" s="3">
        <v>108416</v>
      </c>
      <c r="I53" s="3">
        <v>115776</v>
      </c>
      <c r="J53" s="3">
        <v>28068</v>
      </c>
      <c r="K53" s="3">
        <v>7826</v>
      </c>
      <c r="L53" s="3">
        <v>16034</v>
      </c>
      <c r="M53" s="3">
        <v>21917</v>
      </c>
      <c r="N53" s="3">
        <v>28179</v>
      </c>
      <c r="O53" s="3">
        <v>5668</v>
      </c>
      <c r="P53" s="3">
        <v>10937</v>
      </c>
      <c r="Q53" s="3">
        <v>13497</v>
      </c>
      <c r="R53" s="3">
        <v>15412</v>
      </c>
      <c r="S53" s="3">
        <v>1650</v>
      </c>
      <c r="T53" s="3">
        <v>2265</v>
      </c>
      <c r="U53" s="3">
        <v>2265</v>
      </c>
      <c r="V53" s="3">
        <v>6668</v>
      </c>
      <c r="W53" s="3">
        <v>148</v>
      </c>
      <c r="X53" s="3">
        <v>648</v>
      </c>
      <c r="Y53" s="3">
        <v>205434</v>
      </c>
      <c r="Z53" s="3">
        <v>205435</v>
      </c>
      <c r="AA53" s="3">
        <v>500</v>
      </c>
      <c r="AB53" s="3">
        <v>500</v>
      </c>
      <c r="AC53" s="3">
        <v>500</v>
      </c>
      <c r="AD53" s="3">
        <v>500</v>
      </c>
      <c r="AE53" s="3">
        <v>0</v>
      </c>
      <c r="AF53" s="3">
        <v>0</v>
      </c>
      <c r="AG53" s="3">
        <v>0</v>
      </c>
      <c r="AH53" s="3">
        <v>0</v>
      </c>
      <c r="AI53" s="3">
        <v>0</v>
      </c>
    </row>
    <row r="54" spans="1:35" x14ac:dyDescent="0.3">
      <c r="A54" s="1" t="s">
        <v>138</v>
      </c>
      <c r="B54" s="3"/>
      <c r="C54" s="3"/>
      <c r="D54" s="3"/>
      <c r="E54" s="3"/>
      <c r="F54" s="3">
        <v>-217158</v>
      </c>
      <c r="G54" s="3">
        <v>-26332</v>
      </c>
      <c r="H54" s="3">
        <v>-105256</v>
      </c>
      <c r="I54" s="3">
        <v>-201080</v>
      </c>
      <c r="J54" s="3">
        <v>-294509</v>
      </c>
      <c r="K54" s="3">
        <v>-47095</v>
      </c>
      <c r="L54" s="3">
        <v>-105210</v>
      </c>
      <c r="M54" s="3">
        <v>-165480</v>
      </c>
      <c r="N54" s="3">
        <v>-409129</v>
      </c>
      <c r="O54" s="3">
        <v>-47269</v>
      </c>
      <c r="P54" s="3">
        <v>-132596</v>
      </c>
      <c r="Q54" s="3">
        <v>-281951</v>
      </c>
      <c r="R54" s="3">
        <v>-352884</v>
      </c>
      <c r="S54" s="3">
        <v>-75013</v>
      </c>
      <c r="T54" s="3">
        <v>-152534</v>
      </c>
      <c r="U54" s="3">
        <v>-234650</v>
      </c>
      <c r="V54" s="3">
        <v>-340795</v>
      </c>
      <c r="W54" s="3">
        <v>-59285</v>
      </c>
      <c r="X54" s="3">
        <v>-155045</v>
      </c>
      <c r="Y54" s="3">
        <v>-252902</v>
      </c>
      <c r="Z54" s="3">
        <v>-396417</v>
      </c>
      <c r="AA54" s="3">
        <v>-61776</v>
      </c>
      <c r="AB54" s="3">
        <v>-213951</v>
      </c>
      <c r="AC54" s="3">
        <v>-348045</v>
      </c>
      <c r="AD54" s="3">
        <v>-485953</v>
      </c>
      <c r="AE54" s="3">
        <v>-112458</v>
      </c>
      <c r="AF54" s="3">
        <v>-215889</v>
      </c>
      <c r="AG54" s="3">
        <v>-284022</v>
      </c>
      <c r="AH54" s="3">
        <v>-368843</v>
      </c>
      <c r="AI54" s="3">
        <v>-63273</v>
      </c>
    </row>
    <row r="55" spans="1:35" x14ac:dyDescent="0.3">
      <c r="A55" s="1" t="s">
        <v>139</v>
      </c>
      <c r="B55" s="3"/>
      <c r="C55" s="3"/>
      <c r="D55" s="3"/>
      <c r="E55" s="3"/>
      <c r="F55" s="3">
        <v>0</v>
      </c>
      <c r="G55" s="3">
        <v>-36736</v>
      </c>
      <c r="H55" s="3">
        <v>-90827</v>
      </c>
      <c r="I55" s="3">
        <v>-378806</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c r="AI55" s="3">
        <v>0</v>
      </c>
    </row>
    <row r="56" spans="1:35" x14ac:dyDescent="0.3">
      <c r="A56" s="1" t="s">
        <v>140</v>
      </c>
      <c r="B56" s="3"/>
      <c r="C56" s="3"/>
      <c r="D56" s="3"/>
      <c r="E56" s="3"/>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27491</v>
      </c>
      <c r="AA56" s="3">
        <v>0</v>
      </c>
      <c r="AB56" s="3">
        <v>0</v>
      </c>
      <c r="AC56" s="3">
        <v>0</v>
      </c>
      <c r="AD56" s="3">
        <v>0</v>
      </c>
      <c r="AE56" s="3">
        <v>0</v>
      </c>
      <c r="AF56" s="3">
        <v>0</v>
      </c>
      <c r="AG56" s="3">
        <v>0</v>
      </c>
      <c r="AH56" s="3">
        <v>0</v>
      </c>
      <c r="AI56" s="3">
        <v>0</v>
      </c>
    </row>
    <row r="57" spans="1:35" s="6" customFormat="1" x14ac:dyDescent="0.3">
      <c r="A57" s="6" t="s">
        <v>141</v>
      </c>
      <c r="B57" s="7">
        <f>+SUM(B52:B56)</f>
        <v>0</v>
      </c>
      <c r="C57" s="7">
        <f t="shared" ref="C57:V57" si="75">+SUM(C52:C56)</f>
        <v>0</v>
      </c>
      <c r="D57" s="7">
        <f t="shared" si="75"/>
        <v>0</v>
      </c>
      <c r="E57" s="7">
        <f t="shared" si="75"/>
        <v>0</v>
      </c>
      <c r="F57" s="7">
        <f t="shared" si="75"/>
        <v>1283235</v>
      </c>
      <c r="G57" s="7">
        <f t="shared" si="75"/>
        <v>325303</v>
      </c>
      <c r="H57" s="7">
        <f t="shared" si="75"/>
        <v>483969</v>
      </c>
      <c r="I57" s="7">
        <f t="shared" si="75"/>
        <v>429763</v>
      </c>
      <c r="J57" s="7">
        <f t="shared" si="75"/>
        <v>518961</v>
      </c>
      <c r="K57" s="7">
        <f t="shared" si="75"/>
        <v>356312</v>
      </c>
      <c r="L57" s="7">
        <f t="shared" si="75"/>
        <v>467203</v>
      </c>
      <c r="M57" s="7">
        <f t="shared" si="75"/>
        <v>692217</v>
      </c>
      <c r="N57" s="7">
        <f t="shared" si="75"/>
        <v>1617373</v>
      </c>
      <c r="O57" s="7">
        <f t="shared" si="75"/>
        <v>481044</v>
      </c>
      <c r="P57" s="7">
        <f t="shared" si="75"/>
        <v>948595</v>
      </c>
      <c r="Q57" s="7">
        <f t="shared" si="75"/>
        <v>1435836</v>
      </c>
      <c r="R57" s="7">
        <f t="shared" si="75"/>
        <v>1830067</v>
      </c>
      <c r="S57" s="7">
        <f t="shared" si="75"/>
        <v>296348</v>
      </c>
      <c r="T57" s="7">
        <f t="shared" si="75"/>
        <v>686560</v>
      </c>
      <c r="U57" s="7">
        <f t="shared" si="75"/>
        <v>1211036</v>
      </c>
      <c r="V57" s="7">
        <f t="shared" si="75"/>
        <v>1825518</v>
      </c>
      <c r="W57" s="7">
        <f t="shared" ref="W57:Z57" si="76">+SUM(W52:W56)</f>
        <v>684467</v>
      </c>
      <c r="X57" s="7">
        <f t="shared" si="76"/>
        <v>1340388</v>
      </c>
      <c r="Y57" s="7">
        <f t="shared" si="76"/>
        <v>2210747</v>
      </c>
      <c r="Z57" s="7">
        <f t="shared" si="76"/>
        <v>2843897</v>
      </c>
      <c r="AA57" s="7">
        <f t="shared" ref="AA57:AB57" si="77">+SUM(AA52:AA56)</f>
        <v>760084</v>
      </c>
      <c r="AB57" s="7">
        <f t="shared" si="77"/>
        <v>1456078</v>
      </c>
      <c r="AC57" s="7">
        <f t="shared" ref="AC57:AD57" si="78">+SUM(AC52:AC56)</f>
        <v>2088992</v>
      </c>
      <c r="AD57" s="7">
        <f t="shared" si="78"/>
        <v>2829001</v>
      </c>
      <c r="AE57" s="7">
        <f t="shared" ref="AE57:AF57" si="79">+SUM(AE52:AE56)</f>
        <v>817863</v>
      </c>
      <c r="AF57" s="7">
        <f t="shared" si="79"/>
        <v>1556648</v>
      </c>
      <c r="AG57" s="7">
        <f t="shared" ref="AG57:AH57" si="80">+SUM(AG52:AG56)</f>
        <v>2374391</v>
      </c>
      <c r="AH57" s="7">
        <f t="shared" si="80"/>
        <v>3294984</v>
      </c>
      <c r="AI57" s="7">
        <f t="shared" ref="AI57" si="81">+SUM(AI52:AI56)</f>
        <v>1036724</v>
      </c>
    </row>
    <row r="58" spans="1:35" x14ac:dyDescent="0.3">
      <c r="A58" s="1" t="s">
        <v>142</v>
      </c>
      <c r="B58" s="3"/>
      <c r="C58" s="3"/>
      <c r="D58" s="3"/>
      <c r="E58" s="3"/>
      <c r="F58" s="3">
        <v>21593</v>
      </c>
      <c r="G58" s="3">
        <v>6078</v>
      </c>
      <c r="H58" s="3">
        <v>14609</v>
      </c>
      <c r="I58" s="3">
        <v>23767</v>
      </c>
      <c r="J58" s="3">
        <v>126839</v>
      </c>
      <c r="K58" s="3">
        <v>15612</v>
      </c>
      <c r="L58" s="3">
        <v>19973</v>
      </c>
      <c r="M58" s="3">
        <v>24063</v>
      </c>
      <c r="N58" s="3">
        <v>28293</v>
      </c>
      <c r="O58" s="3">
        <v>3810</v>
      </c>
      <c r="P58" s="3">
        <v>7082</v>
      </c>
      <c r="Q58" s="3">
        <v>10255</v>
      </c>
      <c r="R58" s="3">
        <v>16243</v>
      </c>
      <c r="S58" s="3">
        <v>17597</v>
      </c>
      <c r="T58" s="3">
        <v>33233</v>
      </c>
      <c r="U58" s="3">
        <v>55441</v>
      </c>
      <c r="V58" s="3">
        <v>69868</v>
      </c>
      <c r="W58" s="3">
        <v>21012</v>
      </c>
      <c r="X58" s="3">
        <v>52157</v>
      </c>
      <c r="Y58" s="3">
        <v>61166</v>
      </c>
      <c r="Z58" s="3">
        <v>93725</v>
      </c>
      <c r="AA58" s="3">
        <v>5847</v>
      </c>
      <c r="AB58" s="3">
        <v>11731</v>
      </c>
      <c r="AC58" s="3">
        <v>17680</v>
      </c>
      <c r="AD58" s="3">
        <v>28481</v>
      </c>
      <c r="AE58" s="3">
        <v>4311</v>
      </c>
      <c r="AF58" s="3">
        <v>8537</v>
      </c>
      <c r="AG58" s="3">
        <v>12555</v>
      </c>
      <c r="AH58" s="3">
        <f>15630</f>
        <v>15630</v>
      </c>
      <c r="AI58" s="3">
        <v>4487</v>
      </c>
    </row>
    <row r="59" spans="1:35" x14ac:dyDescent="0.3">
      <c r="A59" s="1" t="s">
        <v>143</v>
      </c>
      <c r="B59" s="3"/>
      <c r="C59" s="3"/>
      <c r="D59" s="3"/>
      <c r="E59" s="3"/>
      <c r="F59" s="3">
        <v>-3506054</v>
      </c>
      <c r="G59" s="3">
        <v>-948984</v>
      </c>
      <c r="H59" s="3">
        <v>-1924651</v>
      </c>
      <c r="I59" s="3">
        <v>-2843711</v>
      </c>
      <c r="J59" s="3">
        <v>-3748899</v>
      </c>
      <c r="K59" s="3">
        <v>-662050</v>
      </c>
      <c r="L59" s="3">
        <v>-1321636</v>
      </c>
      <c r="M59" s="3">
        <v>-2004825</v>
      </c>
      <c r="N59" s="3">
        <v>-2701206</v>
      </c>
      <c r="O59" s="3">
        <v>-608809</v>
      </c>
      <c r="P59" s="3">
        <v>-1231306</v>
      </c>
      <c r="Q59" s="3">
        <v>-1867398</v>
      </c>
      <c r="R59" s="3">
        <v>-2520223</v>
      </c>
      <c r="S59" s="3">
        <v>-1246828</v>
      </c>
      <c r="T59" s="3">
        <v>-2543877</v>
      </c>
      <c r="U59" s="3">
        <v>-3924863</v>
      </c>
      <c r="V59" s="3">
        <v>-5349086</v>
      </c>
      <c r="W59" s="3">
        <v>-1190648</v>
      </c>
      <c r="X59" s="3">
        <v>-2409569</v>
      </c>
      <c r="Y59" s="3">
        <v>-3646585</v>
      </c>
      <c r="Z59" s="3">
        <v>-4899126</v>
      </c>
      <c r="AA59" s="3">
        <v>-1478002</v>
      </c>
      <c r="AB59" s="3">
        <f>+-2992505</f>
        <v>-2992505</v>
      </c>
      <c r="AC59" s="3">
        <v>-4548775</v>
      </c>
      <c r="AD59" s="3">
        <v>-6146636</v>
      </c>
      <c r="AE59" s="3">
        <v>-1523982</v>
      </c>
      <c r="AF59" s="3">
        <v>-2868265</v>
      </c>
      <c r="AG59" s="3">
        <v>-3790489</v>
      </c>
      <c r="AH59" s="3">
        <v>-4719950</v>
      </c>
      <c r="AI59" s="3">
        <v>-910420</v>
      </c>
    </row>
    <row r="60" spans="1:35" ht="28.8" x14ac:dyDescent="0.3">
      <c r="A60" s="5" t="s">
        <v>144</v>
      </c>
      <c r="B60" s="3"/>
      <c r="C60" s="3"/>
      <c r="D60" s="3"/>
      <c r="E60" s="3"/>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31264</v>
      </c>
      <c r="AB60" s="3">
        <v>-393330</v>
      </c>
      <c r="AC60" s="3">
        <v>-378336</v>
      </c>
      <c r="AD60" s="3">
        <v>-1059068</v>
      </c>
      <c r="AE60" s="3">
        <v>12176</v>
      </c>
      <c r="AF60" s="3">
        <v>-141073</v>
      </c>
      <c r="AG60" s="3">
        <v>-151598</v>
      </c>
      <c r="AH60" s="3">
        <v>-124502</v>
      </c>
      <c r="AI60" s="3">
        <v>-19290</v>
      </c>
    </row>
    <row r="61" spans="1:35" x14ac:dyDescent="0.3">
      <c r="A61" s="1" t="s">
        <v>145</v>
      </c>
      <c r="B61" s="3"/>
      <c r="C61" s="3"/>
      <c r="D61" s="3"/>
      <c r="E61" s="3"/>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c r="AI61" s="3">
        <v>0</v>
      </c>
    </row>
    <row r="62" spans="1:35" x14ac:dyDescent="0.3">
      <c r="A62" s="1" t="s">
        <v>146</v>
      </c>
      <c r="B62" s="3"/>
      <c r="C62" s="3"/>
      <c r="D62" s="3"/>
      <c r="E62" s="3"/>
      <c r="F62" s="3">
        <v>-1846802</v>
      </c>
      <c r="G62" s="3">
        <v>5322</v>
      </c>
      <c r="H62" s="3">
        <v>-910590</v>
      </c>
      <c r="I62" s="3">
        <v>-1327628</v>
      </c>
      <c r="J62" s="3">
        <v>-2072891</v>
      </c>
      <c r="K62" s="3">
        <v>-825465</v>
      </c>
      <c r="L62" s="3">
        <v>-1120351</v>
      </c>
      <c r="M62" s="3">
        <v>-1153921</v>
      </c>
      <c r="N62" s="3">
        <v>-2253754</v>
      </c>
      <c r="O62" s="3">
        <v>-975692</v>
      </c>
      <c r="P62" s="3">
        <v>-1927344</v>
      </c>
      <c r="Q62" s="3">
        <v>-3075969</v>
      </c>
      <c r="R62" s="3">
        <v>-5815517</v>
      </c>
      <c r="S62" s="3">
        <v>-2270014</v>
      </c>
      <c r="T62" s="3">
        <v>-6446261</v>
      </c>
      <c r="U62" s="3">
        <v>-10099321</v>
      </c>
      <c r="V62" s="3">
        <v>-12780155</v>
      </c>
      <c r="W62" s="3">
        <v>-1495070</v>
      </c>
      <c r="X62" s="3">
        <v>-3137384</v>
      </c>
      <c r="Y62" s="3">
        <v>-3485358</v>
      </c>
      <c r="Z62" s="3">
        <v>-5377250</v>
      </c>
      <c r="AA62" s="3">
        <v>-982529</v>
      </c>
      <c r="AB62" s="3">
        <v>-2532285</v>
      </c>
      <c r="AC62" s="3">
        <v>-3639339</v>
      </c>
      <c r="AD62" s="3">
        <v>-5318434</v>
      </c>
      <c r="AE62" s="3">
        <v>-1579400</v>
      </c>
      <c r="AF62" s="3">
        <v>-2716681</v>
      </c>
      <c r="AG62" s="3">
        <v>-3114696</v>
      </c>
      <c r="AH62" s="3">
        <v>-3545126</v>
      </c>
      <c r="AI62" s="3">
        <v>-211775</v>
      </c>
    </row>
    <row r="63" spans="1:35" x14ac:dyDescent="0.3">
      <c r="A63" s="1" t="s">
        <v>147</v>
      </c>
      <c r="B63" s="3"/>
      <c r="C63" s="3"/>
      <c r="D63" s="3"/>
      <c r="E63" s="3"/>
      <c r="F63" s="3">
        <v>5382468</v>
      </c>
      <c r="G63" s="3">
        <v>11410629</v>
      </c>
      <c r="H63" s="3">
        <v>12574188</v>
      </c>
      <c r="I63" s="3">
        <v>16684049</v>
      </c>
      <c r="J63" s="3">
        <v>16986671</v>
      </c>
      <c r="K63" s="3">
        <v>1032872</v>
      </c>
      <c r="L63" s="3">
        <v>1388371</v>
      </c>
      <c r="M63" s="3">
        <v>1429431</v>
      </c>
      <c r="N63" s="3">
        <v>3868402</v>
      </c>
      <c r="O63" s="3">
        <v>1185691</v>
      </c>
      <c r="P63" s="3">
        <v>2337102</v>
      </c>
      <c r="Q63" s="3">
        <v>479448</v>
      </c>
      <c r="R63" s="3">
        <v>3758451</v>
      </c>
      <c r="S63" s="3">
        <v>2681551</v>
      </c>
      <c r="T63" s="3">
        <v>7633276</v>
      </c>
      <c r="U63" s="3">
        <v>9809543</v>
      </c>
      <c r="V63" s="3">
        <v>12847964</v>
      </c>
      <c r="W63" s="3">
        <v>1671169</v>
      </c>
      <c r="X63" s="3">
        <v>3520429</v>
      </c>
      <c r="Y63" s="3">
        <v>2304240</v>
      </c>
      <c r="Z63" s="3">
        <v>4451448</v>
      </c>
      <c r="AA63" s="3">
        <v>1051260</v>
      </c>
      <c r="AB63" s="3">
        <v>2704533</v>
      </c>
      <c r="AC63" s="3">
        <v>4060854</v>
      </c>
      <c r="AD63" s="3">
        <v>5820095</v>
      </c>
      <c r="AE63" s="3">
        <v>1658990</v>
      </c>
      <c r="AF63" s="3">
        <v>2954991</v>
      </c>
      <c r="AG63" s="3">
        <v>104702</v>
      </c>
      <c r="AH63" s="3">
        <v>916010</v>
      </c>
      <c r="AI63" s="3">
        <v>387202</v>
      </c>
    </row>
    <row r="64" spans="1:35" s="6" customFormat="1" x14ac:dyDescent="0.3">
      <c r="A64" s="6" t="s">
        <v>148</v>
      </c>
      <c r="B64" s="7">
        <f>+SUM(B57:B63)</f>
        <v>0</v>
      </c>
      <c r="C64" s="7">
        <f t="shared" ref="C64:V64" si="82">+SUM(C57:C63)</f>
        <v>0</v>
      </c>
      <c r="D64" s="7">
        <f t="shared" si="82"/>
        <v>0</v>
      </c>
      <c r="E64" s="7">
        <f t="shared" si="82"/>
        <v>0</v>
      </c>
      <c r="F64" s="7">
        <f t="shared" si="82"/>
        <v>1334440</v>
      </c>
      <c r="G64" s="7">
        <f t="shared" si="82"/>
        <v>10798348</v>
      </c>
      <c r="H64" s="7">
        <f t="shared" si="82"/>
        <v>10237525</v>
      </c>
      <c r="I64" s="7">
        <f t="shared" si="82"/>
        <v>12966240</v>
      </c>
      <c r="J64" s="7">
        <f t="shared" si="82"/>
        <v>11810681</v>
      </c>
      <c r="K64" s="7">
        <f t="shared" si="82"/>
        <v>-82719</v>
      </c>
      <c r="L64" s="7">
        <f t="shared" si="82"/>
        <v>-566440</v>
      </c>
      <c r="M64" s="7">
        <f t="shared" si="82"/>
        <v>-1013035</v>
      </c>
      <c r="N64" s="7">
        <f t="shared" si="82"/>
        <v>559108</v>
      </c>
      <c r="O64" s="7">
        <f t="shared" si="82"/>
        <v>86044</v>
      </c>
      <c r="P64" s="7">
        <f t="shared" si="82"/>
        <v>134129</v>
      </c>
      <c r="Q64" s="7">
        <f t="shared" si="82"/>
        <v>-3017828</v>
      </c>
      <c r="R64" s="7">
        <f t="shared" si="82"/>
        <v>-2730979</v>
      </c>
      <c r="S64" s="7">
        <f t="shared" si="82"/>
        <v>-521346</v>
      </c>
      <c r="T64" s="7">
        <f t="shared" si="82"/>
        <v>-637069</v>
      </c>
      <c r="U64" s="7">
        <f t="shared" si="82"/>
        <v>-2948164</v>
      </c>
      <c r="V64" s="7">
        <f t="shared" si="82"/>
        <v>-3385891</v>
      </c>
      <c r="W64" s="7">
        <f t="shared" ref="W64:Z64" si="83">+SUM(W57:W63)</f>
        <v>-309070</v>
      </c>
      <c r="X64" s="7">
        <f t="shared" si="83"/>
        <v>-633979</v>
      </c>
      <c r="Y64" s="7">
        <f t="shared" si="83"/>
        <v>-2555790</v>
      </c>
      <c r="Z64" s="7">
        <f t="shared" si="83"/>
        <v>-2887306</v>
      </c>
      <c r="AA64" s="7">
        <f t="shared" ref="AA64:AB64" si="84">+SUM(AA57:AA63)</f>
        <v>-612076</v>
      </c>
      <c r="AB64" s="7">
        <f t="shared" si="84"/>
        <v>-1745778</v>
      </c>
      <c r="AC64" s="7">
        <f t="shared" ref="AC64:AD64" si="85">+SUM(AC57:AC63)</f>
        <v>-2398924</v>
      </c>
      <c r="AD64" s="7">
        <f t="shared" si="85"/>
        <v>-3846561</v>
      </c>
      <c r="AE64" s="7">
        <f t="shared" ref="AE64:AF64" si="86">+SUM(AE57:AE63)</f>
        <v>-610042</v>
      </c>
      <c r="AF64" s="7">
        <f t="shared" si="86"/>
        <v>-1205843</v>
      </c>
      <c r="AG64" s="7">
        <f t="shared" ref="AG64:AH64" si="87">+SUM(AG57:AG63)</f>
        <v>-4565135</v>
      </c>
      <c r="AH64" s="7">
        <f t="shared" si="87"/>
        <v>-4162954</v>
      </c>
      <c r="AI64" s="7">
        <f t="shared" ref="AI64" si="88">+SUM(AI57:AI63)</f>
        <v>286928</v>
      </c>
    </row>
    <row r="65" spans="1:35" x14ac:dyDescent="0.3">
      <c r="A65" s="1" t="s">
        <v>149</v>
      </c>
      <c r="B65" s="3"/>
      <c r="C65" s="3"/>
      <c r="D65" s="3"/>
      <c r="E65" s="3"/>
      <c r="F65" s="3">
        <v>-371845</v>
      </c>
      <c r="G65" s="3">
        <v>-2915554</v>
      </c>
      <c r="H65" s="3">
        <v>-2732457</v>
      </c>
      <c r="I65" s="3">
        <v>-3466714</v>
      </c>
      <c r="J65" s="3">
        <v>-3150220</v>
      </c>
      <c r="K65" s="3">
        <v>48068</v>
      </c>
      <c r="L65" s="3">
        <v>185691</v>
      </c>
      <c r="M65" s="3">
        <v>308611</v>
      </c>
      <c r="N65" s="3">
        <v>-87794</v>
      </c>
      <c r="O65" s="3">
        <v>22630</v>
      </c>
      <c r="P65" s="3">
        <v>51687</v>
      </c>
      <c r="Q65" s="3">
        <v>948577</v>
      </c>
      <c r="R65" s="3">
        <v>993426</v>
      </c>
      <c r="S65" s="3">
        <v>274942</v>
      </c>
      <c r="T65" s="3">
        <v>593380</v>
      </c>
      <c r="U65" s="3">
        <v>1414346</v>
      </c>
      <c r="V65" s="3">
        <v>1681918</v>
      </c>
      <c r="W65" s="3">
        <v>183064</v>
      </c>
      <c r="X65" s="3">
        <v>428789</v>
      </c>
      <c r="Y65" s="3">
        <v>977303</v>
      </c>
      <c r="Z65" s="3">
        <v>1259234</v>
      </c>
      <c r="AA65" s="3">
        <v>251411</v>
      </c>
      <c r="AB65" s="3">
        <v>576259</v>
      </c>
      <c r="AC65" s="3">
        <v>856574</v>
      </c>
      <c r="AD65" s="3">
        <v>1218944</v>
      </c>
      <c r="AE65" s="3">
        <v>368599</v>
      </c>
      <c r="AF65" s="3">
        <v>639972</v>
      </c>
      <c r="AG65" s="3">
        <v>1697946</v>
      </c>
      <c r="AH65" s="3">
        <v>1812013</v>
      </c>
      <c r="AI65" s="3">
        <v>-48557</v>
      </c>
    </row>
    <row r="66" spans="1:35" x14ac:dyDescent="0.3">
      <c r="A66" s="1" t="s">
        <v>150</v>
      </c>
      <c r="B66" s="7">
        <f>+SUM(B64:B65)</f>
        <v>0</v>
      </c>
      <c r="C66" s="7">
        <f t="shared" ref="C66:V66" si="89">+SUM(C64:C65)</f>
        <v>0</v>
      </c>
      <c r="D66" s="7">
        <f t="shared" si="89"/>
        <v>0</v>
      </c>
      <c r="E66" s="7">
        <f t="shared" si="89"/>
        <v>0</v>
      </c>
      <c r="F66" s="7">
        <f t="shared" si="89"/>
        <v>962595</v>
      </c>
      <c r="G66" s="7">
        <f t="shared" si="89"/>
        <v>7882794</v>
      </c>
      <c r="H66" s="7">
        <f t="shared" si="89"/>
        <v>7505068</v>
      </c>
      <c r="I66" s="7">
        <f t="shared" si="89"/>
        <v>9499526</v>
      </c>
      <c r="J66" s="7">
        <f t="shared" si="89"/>
        <v>8660461</v>
      </c>
      <c r="K66" s="7">
        <f t="shared" si="89"/>
        <v>-34651</v>
      </c>
      <c r="L66" s="7">
        <f t="shared" si="89"/>
        <v>-380749</v>
      </c>
      <c r="M66" s="7">
        <f t="shared" si="89"/>
        <v>-704424</v>
      </c>
      <c r="N66" s="7">
        <f t="shared" si="89"/>
        <v>471314</v>
      </c>
      <c r="O66" s="7">
        <f t="shared" si="89"/>
        <v>108674</v>
      </c>
      <c r="P66" s="7">
        <f t="shared" si="89"/>
        <v>185816</v>
      </c>
      <c r="Q66" s="7">
        <f t="shared" si="89"/>
        <v>-2069251</v>
      </c>
      <c r="R66" s="7">
        <f t="shared" si="89"/>
        <v>-1737553</v>
      </c>
      <c r="S66" s="7">
        <f t="shared" si="89"/>
        <v>-246404</v>
      </c>
      <c r="T66" s="7">
        <f t="shared" si="89"/>
        <v>-43689</v>
      </c>
      <c r="U66" s="7">
        <f t="shared" si="89"/>
        <v>-1533818</v>
      </c>
      <c r="V66" s="7">
        <f t="shared" si="89"/>
        <v>-1703973</v>
      </c>
      <c r="W66" s="7">
        <f t="shared" ref="W66:Z66" si="90">+SUM(W64:W65)</f>
        <v>-126006</v>
      </c>
      <c r="X66" s="7">
        <f t="shared" si="90"/>
        <v>-205190</v>
      </c>
      <c r="Y66" s="7">
        <f t="shared" si="90"/>
        <v>-1578487</v>
      </c>
      <c r="Z66" s="7">
        <f t="shared" si="90"/>
        <v>-1628072</v>
      </c>
      <c r="AA66" s="7">
        <f t="shared" ref="AA66:AB66" si="91">+SUM(AA64:AA65)</f>
        <v>-360665</v>
      </c>
      <c r="AB66" s="7">
        <f t="shared" si="91"/>
        <v>-1169519</v>
      </c>
      <c r="AC66" s="7">
        <f t="shared" ref="AC66:AD66" si="92">+SUM(AC64:AC65)</f>
        <v>-1542350</v>
      </c>
      <c r="AD66" s="7">
        <f t="shared" si="92"/>
        <v>-2627617</v>
      </c>
      <c r="AE66" s="7">
        <f t="shared" ref="AE66:AF66" si="93">+SUM(AE64:AE65)</f>
        <v>-241443</v>
      </c>
      <c r="AF66" s="7">
        <f t="shared" si="93"/>
        <v>-565871</v>
      </c>
      <c r="AG66" s="7">
        <f t="shared" ref="AG66:AH66" si="94">+SUM(AG64:AG65)</f>
        <v>-2867189</v>
      </c>
      <c r="AH66" s="7">
        <f t="shared" si="94"/>
        <v>-2350941</v>
      </c>
      <c r="AI66" s="7">
        <f t="shared" ref="AI66" si="95">+SUM(AI64:AI65)</f>
        <v>238371</v>
      </c>
    </row>
    <row r="67" spans="1:35" x14ac:dyDescent="0.3">
      <c r="A67" s="1" t="s">
        <v>151</v>
      </c>
      <c r="B67" s="3"/>
      <c r="C67" s="3"/>
      <c r="D67" s="3"/>
      <c r="E67" s="3"/>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row>
    <row r="68" spans="1:35" s="6" customFormat="1" x14ac:dyDescent="0.3">
      <c r="A68" s="6" t="s">
        <v>152</v>
      </c>
      <c r="B68" s="7">
        <f>+SUM(B66:B67)</f>
        <v>0</v>
      </c>
      <c r="C68" s="7">
        <f t="shared" ref="C68:V68" si="96">+SUM(C66:C67)</f>
        <v>0</v>
      </c>
      <c r="D68" s="7">
        <f t="shared" si="96"/>
        <v>0</v>
      </c>
      <c r="E68" s="7">
        <f t="shared" si="96"/>
        <v>0</v>
      </c>
      <c r="F68" s="7">
        <f t="shared" si="96"/>
        <v>962595</v>
      </c>
      <c r="G68" s="7">
        <f t="shared" si="96"/>
        <v>7882794</v>
      </c>
      <c r="H68" s="7">
        <f t="shared" si="96"/>
        <v>7505068</v>
      </c>
      <c r="I68" s="7">
        <f t="shared" si="96"/>
        <v>9499526</v>
      </c>
      <c r="J68" s="7">
        <f t="shared" si="96"/>
        <v>8660461</v>
      </c>
      <c r="K68" s="7">
        <f t="shared" si="96"/>
        <v>-34651</v>
      </c>
      <c r="L68" s="7">
        <f t="shared" si="96"/>
        <v>-380749</v>
      </c>
      <c r="M68" s="7">
        <f t="shared" si="96"/>
        <v>-704424</v>
      </c>
      <c r="N68" s="7">
        <f t="shared" si="96"/>
        <v>471314</v>
      </c>
      <c r="O68" s="7">
        <f t="shared" si="96"/>
        <v>108674</v>
      </c>
      <c r="P68" s="7">
        <f t="shared" si="96"/>
        <v>185816</v>
      </c>
      <c r="Q68" s="7">
        <f t="shared" si="96"/>
        <v>-2069251</v>
      </c>
      <c r="R68" s="7">
        <f t="shared" si="96"/>
        <v>-1737553</v>
      </c>
      <c r="S68" s="7">
        <f t="shared" si="96"/>
        <v>-246404</v>
      </c>
      <c r="T68" s="7">
        <f t="shared" si="96"/>
        <v>-43689</v>
      </c>
      <c r="U68" s="7">
        <f t="shared" si="96"/>
        <v>-1533818</v>
      </c>
      <c r="V68" s="7">
        <f t="shared" si="96"/>
        <v>-1703973</v>
      </c>
      <c r="W68" s="7">
        <f t="shared" ref="W68:Z68" si="97">+SUM(W66:W67)</f>
        <v>-126006</v>
      </c>
      <c r="X68" s="7">
        <f t="shared" si="97"/>
        <v>-205190</v>
      </c>
      <c r="Y68" s="7">
        <f t="shared" si="97"/>
        <v>-1578487</v>
      </c>
      <c r="Z68" s="7">
        <f t="shared" si="97"/>
        <v>-1628072</v>
      </c>
      <c r="AA68" s="7">
        <f t="shared" ref="AA68:AB68" si="98">+SUM(AA66:AA67)</f>
        <v>-360665</v>
      </c>
      <c r="AB68" s="7">
        <f t="shared" si="98"/>
        <v>-1169519</v>
      </c>
      <c r="AC68" s="7">
        <f t="shared" ref="AC68:AD68" si="99">+SUM(AC66:AC67)</f>
        <v>-1542350</v>
      </c>
      <c r="AD68" s="7">
        <f t="shared" si="99"/>
        <v>-2627617</v>
      </c>
      <c r="AE68" s="7">
        <f t="shared" ref="AE68:AF68" si="100">+SUM(AE66:AE67)</f>
        <v>-241443</v>
      </c>
      <c r="AF68" s="7">
        <f t="shared" si="100"/>
        <v>-565871</v>
      </c>
      <c r="AG68" s="7">
        <f t="shared" ref="AG68:AH68" si="101">+SUM(AG66:AG67)</f>
        <v>-2867189</v>
      </c>
      <c r="AH68" s="7">
        <f t="shared" si="101"/>
        <v>-2350941</v>
      </c>
      <c r="AI68" s="7">
        <f t="shared" ref="AI68" si="102">+SUM(AI66:AI67)</f>
        <v>238371</v>
      </c>
    </row>
    <row r="71" spans="1:35"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
      <c r="A72" s="1" t="s">
        <v>80</v>
      </c>
      <c r="B72" s="3"/>
      <c r="C72" s="3"/>
      <c r="D72" s="3"/>
      <c r="E72" s="3"/>
      <c r="F72" s="3">
        <v>593412</v>
      </c>
      <c r="G72" s="3">
        <v>180350</v>
      </c>
      <c r="H72" s="3">
        <v>361941</v>
      </c>
      <c r="I72" s="3">
        <v>544892</v>
      </c>
      <c r="J72" s="3">
        <v>729066</v>
      </c>
      <c r="K72" s="3">
        <v>183976</v>
      </c>
      <c r="L72" s="3">
        <v>369400</v>
      </c>
      <c r="M72" s="3">
        <v>544489</v>
      </c>
      <c r="N72" s="3">
        <v>742926</v>
      </c>
      <c r="O72" s="3">
        <v>199400</v>
      </c>
      <c r="P72" s="3">
        <v>401436</v>
      </c>
      <c r="Q72" s="3">
        <v>605877</v>
      </c>
      <c r="R72" s="3">
        <v>815618</v>
      </c>
      <c r="S72" s="3">
        <v>205188</v>
      </c>
      <c r="T72" s="3">
        <v>420633</v>
      </c>
      <c r="U72" s="3">
        <v>645691</v>
      </c>
      <c r="V72" s="3">
        <v>878340</v>
      </c>
      <c r="W72" s="3">
        <v>237832</v>
      </c>
      <c r="X72" s="3">
        <v>501938</v>
      </c>
      <c r="Y72" s="3">
        <v>753107</v>
      </c>
      <c r="Z72" s="3">
        <v>1007003</v>
      </c>
      <c r="AA72" s="3">
        <v>282967</v>
      </c>
      <c r="AB72" s="3">
        <v>572976</v>
      </c>
      <c r="AC72" s="3">
        <v>868599</v>
      </c>
      <c r="AD72" s="3">
        <v>1173385</v>
      </c>
      <c r="AE72" s="3">
        <v>298499</v>
      </c>
      <c r="AF72" s="3">
        <v>601411</v>
      </c>
      <c r="AG72" s="3">
        <v>905552</v>
      </c>
      <c r="AH72" s="3">
        <v>1211782</v>
      </c>
      <c r="AI72" s="3">
        <v>306647</v>
      </c>
    </row>
    <row r="73" spans="1:35" x14ac:dyDescent="0.3">
      <c r="A73" s="1" t="s">
        <v>81</v>
      </c>
      <c r="B73" s="3"/>
      <c r="C73" s="3"/>
      <c r="D73" s="3"/>
      <c r="E73" s="3"/>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c r="AI73" s="3">
        <v>0</v>
      </c>
    </row>
    <row r="74" spans="1:35" x14ac:dyDescent="0.3">
      <c r="A74" s="1" t="s">
        <v>82</v>
      </c>
      <c r="B74" s="3"/>
      <c r="C74" s="3"/>
      <c r="D74" s="3"/>
      <c r="E74" s="3"/>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c r="AI74" s="3">
        <v>0</v>
      </c>
    </row>
    <row r="75" spans="1:35" x14ac:dyDescent="0.3">
      <c r="A75" s="1" t="s">
        <v>83</v>
      </c>
      <c r="B75" s="3"/>
      <c r="C75" s="3"/>
      <c r="D75" s="3"/>
      <c r="E75" s="3"/>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c r="AI75" s="3">
        <v>0</v>
      </c>
    </row>
    <row r="76" spans="1:35" x14ac:dyDescent="0.3">
      <c r="A76" s="1" t="s">
        <v>84</v>
      </c>
      <c r="B76" s="3"/>
      <c r="C76" s="3"/>
      <c r="D76" s="3"/>
      <c r="E76" s="3"/>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row>
    <row r="77" spans="1:35" x14ac:dyDescent="0.3">
      <c r="A77" s="1" t="s">
        <v>85</v>
      </c>
      <c r="B77" s="3"/>
      <c r="C77" s="3"/>
      <c r="D77" s="3"/>
      <c r="E77" s="3"/>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row>
    <row r="78" spans="1:35" x14ac:dyDescent="0.3">
      <c r="A78" s="1" t="s">
        <v>86</v>
      </c>
      <c r="B78" s="3"/>
      <c r="C78" s="3"/>
      <c r="D78" s="3"/>
      <c r="E78" s="3"/>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row>
    <row r="79" spans="1:35" x14ac:dyDescent="0.3">
      <c r="A79" s="1" t="s">
        <v>87</v>
      </c>
      <c r="B79" s="3"/>
      <c r="C79" s="3"/>
      <c r="D79" s="3"/>
      <c r="E79" s="3"/>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c r="AI79" s="3">
        <v>0</v>
      </c>
    </row>
    <row r="80" spans="1:35" x14ac:dyDescent="0.3">
      <c r="A80" s="1" t="s">
        <v>88</v>
      </c>
      <c r="B80" s="3"/>
      <c r="C80" s="3"/>
      <c r="D80" s="3"/>
      <c r="E80" s="3"/>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c r="AI80" s="3">
        <v>0</v>
      </c>
    </row>
    <row r="81" spans="1:35" x14ac:dyDescent="0.3">
      <c r="A81" s="1" t="s">
        <v>89</v>
      </c>
      <c r="B81" s="3"/>
      <c r="C81" s="3"/>
      <c r="D81" s="3"/>
      <c r="E81" s="3"/>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c r="AI81" s="3">
        <v>0</v>
      </c>
    </row>
    <row r="82" spans="1:35" x14ac:dyDescent="0.3">
      <c r="A82" s="1" t="s">
        <v>153</v>
      </c>
      <c r="B82" s="3"/>
      <c r="C82" s="3"/>
      <c r="D82" s="3"/>
      <c r="E82" s="3"/>
      <c r="F82" s="3">
        <f>124299+48882+43977</f>
        <v>217158</v>
      </c>
      <c r="G82" s="3">
        <f>8670</f>
        <v>8670</v>
      </c>
      <c r="H82" s="3">
        <v>66596</v>
      </c>
      <c r="I82" s="3">
        <v>135438</v>
      </c>
      <c r="J82" s="3">
        <v>198261</v>
      </c>
      <c r="K82" s="3">
        <v>22438</v>
      </c>
      <c r="L82" s="3">
        <v>98860</v>
      </c>
      <c r="M82" s="3">
        <v>107772</v>
      </c>
      <c r="N82" s="3">
        <v>183129</v>
      </c>
      <c r="O82" s="3">
        <v>170647</v>
      </c>
      <c r="P82" s="3">
        <v>20913</v>
      </c>
      <c r="Q82" s="3">
        <v>33040</v>
      </c>
      <c r="R82" s="3">
        <v>35045</v>
      </c>
      <c r="S82" s="3">
        <v>7619</v>
      </c>
      <c r="T82" s="3">
        <v>68210</v>
      </c>
      <c r="U82" s="3">
        <v>103292</v>
      </c>
      <c r="V82" s="3">
        <f>77446+65260</f>
        <v>142706</v>
      </c>
      <c r="W82" s="3">
        <v>7382</v>
      </c>
      <c r="X82" s="3">
        <v>21444</v>
      </c>
      <c r="Y82" s="3">
        <v>40721</v>
      </c>
      <c r="Z82" s="3">
        <f>12349+75019</f>
        <v>87368</v>
      </c>
      <c r="AA82" s="3">
        <v>15925</v>
      </c>
      <c r="AB82" s="3">
        <v>32273</v>
      </c>
      <c r="AC82" s="3">
        <v>71527</v>
      </c>
      <c r="AD82" s="3">
        <f>14224+485953</f>
        <v>500177</v>
      </c>
      <c r="AE82" s="3">
        <f>12631</f>
        <v>12631</v>
      </c>
      <c r="AF82" s="3">
        <v>43955</v>
      </c>
      <c r="AG82" s="3">
        <v>55443</v>
      </c>
      <c r="AH82" s="3">
        <f>34429+84805</f>
        <v>119234</v>
      </c>
      <c r="AI82" s="3">
        <v>23758</v>
      </c>
    </row>
    <row r="83" spans="1:35" x14ac:dyDescent="0.3">
      <c r="A83" s="1" t="s">
        <v>90</v>
      </c>
      <c r="B83" s="3"/>
      <c r="C83" s="3"/>
      <c r="D83" s="3"/>
      <c r="E83" s="3"/>
      <c r="F83" s="3">
        <f>217683+5843</f>
        <v>223526</v>
      </c>
      <c r="G83" s="3">
        <f>152354-1794</f>
        <v>150560</v>
      </c>
      <c r="H83" s="3">
        <f>382262-3538</f>
        <v>378724</v>
      </c>
      <c r="I83" s="3">
        <f>586920-5950</f>
        <v>580970</v>
      </c>
      <c r="J83" s="3">
        <f>453444+1499+294509-198261</f>
        <v>551191</v>
      </c>
      <c r="K83" s="3">
        <f>196266-21605</f>
        <v>174661</v>
      </c>
      <c r="L83" s="3">
        <f>309563-46235</f>
        <v>263328</v>
      </c>
      <c r="M83" s="3">
        <f>555752-65176</f>
        <v>490576</v>
      </c>
      <c r="N83" s="3">
        <f>27331+2018+46616+122525+56859</f>
        <v>255349</v>
      </c>
      <c r="O83" s="3"/>
      <c r="P83" s="3">
        <f>425736-61730</f>
        <v>364006</v>
      </c>
      <c r="Q83" s="3">
        <v>632226</v>
      </c>
      <c r="R83" s="3">
        <f>7359+50594+243111+24134</f>
        <v>325198</v>
      </c>
      <c r="S83" s="3">
        <v>221806</v>
      </c>
      <c r="T83" s="3">
        <v>421026</v>
      </c>
      <c r="U83" s="3">
        <v>613058</v>
      </c>
      <c r="V83" s="3">
        <f>34105+222103+19327</f>
        <v>275535</v>
      </c>
      <c r="W83" s="3">
        <v>210282</v>
      </c>
      <c r="X83" s="3">
        <v>415456</v>
      </c>
      <c r="Y83" s="3">
        <v>626240</v>
      </c>
      <c r="Z83" s="3">
        <f>32758+248735+39905</f>
        <v>321398</v>
      </c>
      <c r="AA83" s="3">
        <v>18406</v>
      </c>
      <c r="AB83" s="3">
        <v>94580</v>
      </c>
      <c r="AC83" s="3">
        <v>144112</v>
      </c>
      <c r="AD83" s="3">
        <v>0</v>
      </c>
      <c r="AE83" s="3">
        <f>4523+51170</f>
        <v>55693</v>
      </c>
      <c r="AF83" s="3">
        <f>88111-2629</f>
        <v>85482</v>
      </c>
      <c r="AG83" s="3">
        <v>93884</v>
      </c>
      <c r="AH83" s="3">
        <f>35525+180571+67942</f>
        <v>284038</v>
      </c>
      <c r="AI83" s="3">
        <v>47679</v>
      </c>
    </row>
    <row r="84" spans="1:35" x14ac:dyDescent="0.3">
      <c r="A84" s="1" t="s">
        <v>154</v>
      </c>
      <c r="B84" s="3"/>
      <c r="C84" s="3"/>
      <c r="D84" s="3"/>
      <c r="E84" s="3"/>
      <c r="F84" s="3">
        <v>502215</v>
      </c>
      <c r="G84" s="3">
        <v>123000</v>
      </c>
      <c r="H84" s="3">
        <v>206941</v>
      </c>
      <c r="I84" s="3">
        <v>307419</v>
      </c>
      <c r="J84" s="3">
        <v>407897</v>
      </c>
      <c r="K84" s="3">
        <v>101974</v>
      </c>
      <c r="L84" s="3">
        <v>496923</v>
      </c>
      <c r="M84" s="3">
        <v>658289</v>
      </c>
      <c r="N84" s="3">
        <v>882332</v>
      </c>
      <c r="O84" s="3">
        <v>220583</v>
      </c>
      <c r="P84" s="3">
        <v>501473</v>
      </c>
      <c r="Q84" s="3">
        <v>726464</v>
      </c>
      <c r="R84" s="3">
        <v>981264</v>
      </c>
      <c r="S84" s="3">
        <v>291529</v>
      </c>
      <c r="T84" s="3">
        <v>583058</v>
      </c>
      <c r="U84" s="3">
        <v>891635</v>
      </c>
      <c r="V84" s="3">
        <v>1200241</v>
      </c>
      <c r="W84" s="3">
        <v>375401</v>
      </c>
      <c r="X84" s="3">
        <v>758803</v>
      </c>
      <c r="Y84" s="3">
        <v>1139939</v>
      </c>
      <c r="Z84" s="3">
        <v>1521891</v>
      </c>
      <c r="AA84" s="3">
        <v>383582</v>
      </c>
      <c r="AB84" s="3">
        <v>702119</v>
      </c>
      <c r="AC84" s="3">
        <v>1059242</v>
      </c>
      <c r="AD84" s="3">
        <v>1416365</v>
      </c>
      <c r="AE84" s="3">
        <v>357123</v>
      </c>
      <c r="AF84" s="3">
        <v>734078</v>
      </c>
      <c r="AG84" s="3">
        <v>1106129</v>
      </c>
      <c r="AH84" s="3">
        <v>1478180</v>
      </c>
      <c r="AI84" s="3">
        <v>372051</v>
      </c>
    </row>
    <row r="85" spans="1:35" x14ac:dyDescent="0.3">
      <c r="A85" s="1" t="s">
        <v>155</v>
      </c>
      <c r="B85" s="3"/>
      <c r="C85" s="3"/>
      <c r="D85" s="3"/>
      <c r="E85" s="3"/>
      <c r="F85" s="3">
        <v>0</v>
      </c>
      <c r="G85" s="3">
        <v>1794</v>
      </c>
      <c r="H85" s="3">
        <v>3538</v>
      </c>
      <c r="I85" s="3">
        <v>5950</v>
      </c>
      <c r="J85" s="3">
        <v>0</v>
      </c>
      <c r="K85" s="3">
        <v>21605</v>
      </c>
      <c r="L85" s="3">
        <v>46235</v>
      </c>
      <c r="M85" s="3">
        <v>65176</v>
      </c>
      <c r="N85" s="3">
        <v>0</v>
      </c>
      <c r="O85" s="3">
        <v>25667</v>
      </c>
      <c r="P85" s="3">
        <v>61730</v>
      </c>
      <c r="Q85" s="3">
        <v>89992</v>
      </c>
      <c r="R85" s="3">
        <v>0</v>
      </c>
      <c r="S85" s="3">
        <v>39248</v>
      </c>
      <c r="T85" s="3">
        <v>74146</v>
      </c>
      <c r="U85" s="3">
        <v>110011</v>
      </c>
      <c r="V85" s="3">
        <v>0</v>
      </c>
      <c r="W85" s="3">
        <v>33798</v>
      </c>
      <c r="X85" s="3">
        <v>92758</v>
      </c>
      <c r="Y85" s="3">
        <v>129849</v>
      </c>
      <c r="Z85" s="3">
        <v>0</v>
      </c>
      <c r="AA85" s="3">
        <v>35630</v>
      </c>
      <c r="AB85" s="3">
        <v>72180</v>
      </c>
      <c r="AC85" s="3">
        <v>102246</v>
      </c>
      <c r="AD85" s="3">
        <v>0</v>
      </c>
      <c r="AE85" s="3">
        <v>28856</v>
      </c>
      <c r="AF85" s="3">
        <v>58588</v>
      </c>
      <c r="AG85" s="3">
        <v>88859</v>
      </c>
      <c r="AH85" s="3">
        <v>0</v>
      </c>
      <c r="AI85" s="3">
        <v>0</v>
      </c>
    </row>
    <row r="86" spans="1:35" x14ac:dyDescent="0.3">
      <c r="A86" s="1" t="s">
        <v>91</v>
      </c>
      <c r="B86" s="3"/>
      <c r="C86" s="3"/>
      <c r="D86" s="3"/>
      <c r="E86" s="3"/>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c r="AI86" s="3">
        <v>0</v>
      </c>
    </row>
    <row r="87" spans="1:35" x14ac:dyDescent="0.3">
      <c r="A87" s="1" t="s">
        <v>156</v>
      </c>
      <c r="B87" s="3"/>
      <c r="C87" s="3"/>
      <c r="D87" s="3"/>
      <c r="E87" s="3"/>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177521</v>
      </c>
      <c r="AB87" s="3">
        <v>375900</v>
      </c>
      <c r="AC87" s="3">
        <v>617923</v>
      </c>
      <c r="AD87" s="3">
        <v>924465</v>
      </c>
      <c r="AE87" s="3">
        <v>193334</v>
      </c>
      <c r="AF87" s="3">
        <v>372295</v>
      </c>
      <c r="AG87" s="3">
        <v>554438</v>
      </c>
      <c r="AH87" s="3">
        <v>0</v>
      </c>
      <c r="AI87" s="3">
        <v>181480</v>
      </c>
    </row>
    <row r="88" spans="1:35" x14ac:dyDescent="0.3">
      <c r="A88" s="1" t="s">
        <v>157</v>
      </c>
      <c r="B88" s="3"/>
      <c r="C88" s="3"/>
      <c r="D88" s="3"/>
      <c r="E88" s="3"/>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29051</v>
      </c>
      <c r="AH88" s="3">
        <v>0</v>
      </c>
      <c r="AI88" s="3">
        <v>0</v>
      </c>
    </row>
    <row r="89" spans="1:35" x14ac:dyDescent="0.3">
      <c r="A89" s="1" t="s">
        <v>158</v>
      </c>
      <c r="B89" s="3"/>
      <c r="C89" s="3"/>
      <c r="D89" s="3"/>
      <c r="E89" s="3"/>
      <c r="F89" s="3">
        <v>197374</v>
      </c>
      <c r="G89" s="3">
        <v>5510</v>
      </c>
      <c r="H89" s="3">
        <v>9858</v>
      </c>
      <c r="I89" s="3">
        <v>28744</v>
      </c>
      <c r="J89" s="3">
        <v>743159</v>
      </c>
      <c r="K89" s="3">
        <v>6046</v>
      </c>
      <c r="L89" s="3">
        <v>10837</v>
      </c>
      <c r="M89" s="3">
        <v>30064</v>
      </c>
      <c r="N89" s="3">
        <v>604855</v>
      </c>
      <c r="O89" s="3">
        <v>71580</v>
      </c>
      <c r="P89" s="3">
        <v>82529</v>
      </c>
      <c r="Q89" s="3">
        <v>85974</v>
      </c>
      <c r="R89" s="3">
        <v>754798</v>
      </c>
      <c r="S89" s="3">
        <v>220</v>
      </c>
      <c r="T89" s="3">
        <v>44184</v>
      </c>
      <c r="U89" s="3">
        <v>60564</v>
      </c>
      <c r="V89" s="3">
        <f>747335</f>
        <v>747335</v>
      </c>
      <c r="W89" s="3">
        <v>0</v>
      </c>
      <c r="X89" s="3">
        <v>4997</v>
      </c>
      <c r="Y89" s="3">
        <v>4555</v>
      </c>
      <c r="Z89" s="3">
        <v>724101</v>
      </c>
      <c r="AA89" s="3">
        <v>6658</v>
      </c>
      <c r="AB89" s="3">
        <v>40783</v>
      </c>
      <c r="AC89" s="3">
        <v>96017</v>
      </c>
      <c r="AD89" s="3">
        <v>0</v>
      </c>
      <c r="AE89" s="3">
        <v>3437</v>
      </c>
      <c r="AF89" s="3">
        <v>16842</v>
      </c>
      <c r="AG89" s="3">
        <v>20621</v>
      </c>
      <c r="AH89" s="3">
        <v>765089</v>
      </c>
      <c r="AI89" s="3">
        <v>4760</v>
      </c>
    </row>
    <row r="90" spans="1:35" x14ac:dyDescent="0.3">
      <c r="A90" s="1" t="s">
        <v>159</v>
      </c>
      <c r="B90" s="3"/>
      <c r="C90" s="3"/>
      <c r="D90" s="3"/>
      <c r="E90" s="3"/>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28951</v>
      </c>
      <c r="AC90" s="3">
        <v>44157</v>
      </c>
      <c r="AD90" s="3">
        <v>0</v>
      </c>
      <c r="AE90" s="3">
        <v>15279</v>
      </c>
      <c r="AF90" s="3">
        <v>30557</v>
      </c>
      <c r="AG90" s="3">
        <v>45836</v>
      </c>
      <c r="AH90" s="3">
        <v>0</v>
      </c>
      <c r="AI90" s="3">
        <v>5375</v>
      </c>
    </row>
    <row r="91" spans="1:35"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5" x14ac:dyDescent="0.3">
      <c r="A92" s="6" t="s">
        <v>92</v>
      </c>
      <c r="B92" s="7">
        <f>SUM(B72:B91)</f>
        <v>0</v>
      </c>
      <c r="C92" s="7">
        <f t="shared" ref="C92:V92" si="103">SUM(C72:C91)</f>
        <v>0</v>
      </c>
      <c r="D92" s="7">
        <f t="shared" si="103"/>
        <v>0</v>
      </c>
      <c r="E92" s="7">
        <f t="shared" si="103"/>
        <v>0</v>
      </c>
      <c r="F92" s="7">
        <f t="shared" si="103"/>
        <v>1733685</v>
      </c>
      <c r="G92" s="7">
        <f t="shared" si="103"/>
        <v>469884</v>
      </c>
      <c r="H92" s="7">
        <f t="shared" si="103"/>
        <v>1027598</v>
      </c>
      <c r="I92" s="7">
        <f t="shared" si="103"/>
        <v>1603413</v>
      </c>
      <c r="J92" s="7">
        <f t="shared" si="103"/>
        <v>2629574</v>
      </c>
      <c r="K92" s="7">
        <f t="shared" si="103"/>
        <v>510700</v>
      </c>
      <c r="L92" s="7">
        <f t="shared" si="103"/>
        <v>1285583</v>
      </c>
      <c r="M92" s="7">
        <f t="shared" si="103"/>
        <v>1896366</v>
      </c>
      <c r="N92" s="7">
        <f t="shared" si="103"/>
        <v>2668591</v>
      </c>
      <c r="O92" s="7">
        <f t="shared" si="103"/>
        <v>687877</v>
      </c>
      <c r="P92" s="7">
        <f t="shared" si="103"/>
        <v>1432087</v>
      </c>
      <c r="Q92" s="7">
        <f t="shared" si="103"/>
        <v>2173573</v>
      </c>
      <c r="R92" s="7">
        <f t="shared" si="103"/>
        <v>2911923</v>
      </c>
      <c r="S92" s="7">
        <f t="shared" si="103"/>
        <v>765610</v>
      </c>
      <c r="T92" s="7">
        <f t="shared" si="103"/>
        <v>1611257</v>
      </c>
      <c r="U92" s="7">
        <f t="shared" si="103"/>
        <v>2424251</v>
      </c>
      <c r="V92" s="7">
        <f t="shared" si="103"/>
        <v>3244157</v>
      </c>
      <c r="W92" s="7">
        <f t="shared" ref="W92:Z92" si="104">SUM(W72:W91)</f>
        <v>864695</v>
      </c>
      <c r="X92" s="7">
        <f t="shared" si="104"/>
        <v>1795396</v>
      </c>
      <c r="Y92" s="7">
        <f t="shared" si="104"/>
        <v>2694411</v>
      </c>
      <c r="Z92" s="7">
        <f t="shared" si="104"/>
        <v>3661761</v>
      </c>
      <c r="AA92" s="7">
        <f t="shared" ref="AA92:AB92" si="105">SUM(AA72:AA91)</f>
        <v>920689</v>
      </c>
      <c r="AB92" s="7">
        <f t="shared" si="105"/>
        <v>1919762</v>
      </c>
      <c r="AC92" s="7">
        <f t="shared" ref="AC92:AD92" si="106">SUM(AC72:AC91)</f>
        <v>3003823</v>
      </c>
      <c r="AD92" s="7">
        <f t="shared" si="106"/>
        <v>4014392</v>
      </c>
      <c r="AE92" s="7">
        <f t="shared" ref="AE92:AF92" si="107">SUM(AE72:AE91)</f>
        <v>964852</v>
      </c>
      <c r="AF92" s="7">
        <f t="shared" si="107"/>
        <v>1943208</v>
      </c>
      <c r="AG92" s="7">
        <f t="shared" ref="AG92:AH92" si="108">SUM(AG72:AG91)</f>
        <v>2899813</v>
      </c>
      <c r="AH92" s="7">
        <f t="shared" si="108"/>
        <v>3858323</v>
      </c>
      <c r="AI92" s="7">
        <f t="shared" ref="AI92" si="109">SUM(AI72:AI91)</f>
        <v>941750</v>
      </c>
    </row>
    <row r="94" spans="1:35"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5" x14ac:dyDescent="0.3">
      <c r="A95" s="1" t="s">
        <v>94</v>
      </c>
      <c r="B95" s="3"/>
      <c r="C95" s="3"/>
      <c r="D95" s="3"/>
      <c r="E95" s="3"/>
      <c r="F95" s="3">
        <v>3303606</v>
      </c>
      <c r="G95" s="3">
        <v>854497</v>
      </c>
      <c r="H95" s="3">
        <v>1709299</v>
      </c>
      <c r="I95" s="3">
        <v>2585891</v>
      </c>
      <c r="J95" s="3">
        <v>3472689</v>
      </c>
      <c r="K95" s="3">
        <v>651851</v>
      </c>
      <c r="L95" s="3">
        <v>1311161</v>
      </c>
      <c r="M95" s="3">
        <v>1994228</v>
      </c>
      <c r="N95" s="3">
        <v>2690328</v>
      </c>
      <c r="O95" s="3">
        <v>608500</v>
      </c>
      <c r="P95" s="3">
        <v>1230863</v>
      </c>
      <c r="Q95" s="3">
        <v>1866855</v>
      </c>
      <c r="R95" s="3">
        <v>2519548</v>
      </c>
      <c r="S95" s="3">
        <v>1233136</v>
      </c>
      <c r="T95" s="3">
        <v>2530115</v>
      </c>
      <c r="U95" s="3">
        <v>3898264</v>
      </c>
      <c r="V95" s="3">
        <v>5317313</v>
      </c>
      <c r="W95" s="3">
        <v>1177708</v>
      </c>
      <c r="X95" s="3">
        <v>2396548</v>
      </c>
      <c r="Y95" s="3">
        <v>3633484</v>
      </c>
      <c r="Z95" s="3">
        <v>4886025</v>
      </c>
      <c r="AA95" s="3">
        <v>1478002</v>
      </c>
      <c r="AB95" s="3">
        <v>2979594</v>
      </c>
      <c r="AC95" s="3">
        <v>4529668</v>
      </c>
      <c r="AD95" s="3">
        <v>6113869</v>
      </c>
      <c r="AE95" s="3">
        <v>1523982</v>
      </c>
      <c r="AF95" s="3">
        <v>2868264</v>
      </c>
      <c r="AG95" s="3">
        <v>3790488</v>
      </c>
      <c r="AH95" s="3">
        <v>4719950</v>
      </c>
      <c r="AI95" s="3">
        <v>910419</v>
      </c>
    </row>
    <row r="96" spans="1:35" x14ac:dyDescent="0.3">
      <c r="A96" s="1" t="s">
        <v>95</v>
      </c>
      <c r="B96" s="3"/>
      <c r="C96" s="3"/>
      <c r="D96" s="3"/>
      <c r="E96" s="3"/>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0</v>
      </c>
      <c r="AI96" s="3">
        <v>0</v>
      </c>
    </row>
    <row r="97" spans="1:35" x14ac:dyDescent="0.3">
      <c r="A97" s="1" t="s">
        <v>96</v>
      </c>
      <c r="B97" s="3"/>
      <c r="C97" s="3"/>
      <c r="D97" s="3"/>
      <c r="E97" s="3"/>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0</v>
      </c>
      <c r="AI97" s="3">
        <v>0</v>
      </c>
    </row>
    <row r="98" spans="1:35" x14ac:dyDescent="0.3">
      <c r="A98" s="1" t="s">
        <v>97</v>
      </c>
      <c r="B98" s="3"/>
      <c r="C98" s="3"/>
      <c r="D98" s="3"/>
      <c r="E98" s="3"/>
      <c r="F98" s="3">
        <v>202448</v>
      </c>
      <c r="G98" s="3">
        <v>94488</v>
      </c>
      <c r="H98" s="3">
        <v>215353</v>
      </c>
      <c r="I98" s="3">
        <v>257819</v>
      </c>
      <c r="J98" s="3">
        <v>276210</v>
      </c>
      <c r="K98" s="3">
        <v>33869</v>
      </c>
      <c r="L98" s="3">
        <v>37806</v>
      </c>
      <c r="M98" s="3">
        <v>37929</v>
      </c>
      <c r="N98" s="3">
        <v>10878</v>
      </c>
      <c r="O98" s="3">
        <v>309</v>
      </c>
      <c r="P98" s="3">
        <v>443</v>
      </c>
      <c r="Q98" s="3">
        <v>543</v>
      </c>
      <c r="R98" s="3">
        <v>675</v>
      </c>
      <c r="S98" s="3">
        <v>13691</v>
      </c>
      <c r="T98" s="3">
        <v>13761</v>
      </c>
      <c r="U98" s="3">
        <v>26600</v>
      </c>
      <c r="V98" s="3">
        <v>31773</v>
      </c>
      <c r="W98" s="3">
        <v>12939</v>
      </c>
      <c r="X98" s="3">
        <v>13222</v>
      </c>
      <c r="Y98" s="3">
        <v>13101</v>
      </c>
      <c r="Z98" s="3">
        <v>13101</v>
      </c>
      <c r="AA98" s="3">
        <v>0</v>
      </c>
      <c r="AB98" s="3">
        <v>12913</v>
      </c>
      <c r="AC98" s="3">
        <v>19108</v>
      </c>
      <c r="AD98" s="3">
        <v>32767</v>
      </c>
      <c r="AE98" s="3">
        <v>0</v>
      </c>
      <c r="AF98" s="3">
        <v>0</v>
      </c>
      <c r="AG98" s="3">
        <v>0</v>
      </c>
      <c r="AH98" s="3">
        <v>0</v>
      </c>
      <c r="AI98" s="3">
        <v>0</v>
      </c>
    </row>
    <row r="99" spans="1:35" x14ac:dyDescent="0.3">
      <c r="A99" s="6" t="s">
        <v>92</v>
      </c>
      <c r="B99" s="7">
        <f>SUM(B95:B98)</f>
        <v>0</v>
      </c>
      <c r="C99" s="7">
        <f>SUM(C95:C98)</f>
        <v>0</v>
      </c>
      <c r="D99" s="7">
        <f t="shared" ref="D99:F99" si="110">SUM(D95:D98)</f>
        <v>0</v>
      </c>
      <c r="E99" s="7">
        <f t="shared" si="110"/>
        <v>0</v>
      </c>
      <c r="F99" s="7">
        <f t="shared" si="110"/>
        <v>3506054</v>
      </c>
      <c r="G99" s="7">
        <f t="shared" ref="G99:V99" si="111">SUM(G95:G98)</f>
        <v>948985</v>
      </c>
      <c r="H99" s="7">
        <f t="shared" si="111"/>
        <v>1924652</v>
      </c>
      <c r="I99" s="7">
        <f t="shared" si="111"/>
        <v>2843710</v>
      </c>
      <c r="J99" s="7">
        <f t="shared" si="111"/>
        <v>3748899</v>
      </c>
      <c r="K99" s="7">
        <f t="shared" si="111"/>
        <v>685720</v>
      </c>
      <c r="L99" s="7">
        <f t="shared" si="111"/>
        <v>1348967</v>
      </c>
      <c r="M99" s="7">
        <f t="shared" si="111"/>
        <v>2032157</v>
      </c>
      <c r="N99" s="7">
        <f t="shared" si="111"/>
        <v>2701206</v>
      </c>
      <c r="O99" s="7">
        <f t="shared" si="111"/>
        <v>608809</v>
      </c>
      <c r="P99" s="7">
        <f t="shared" si="111"/>
        <v>1231306</v>
      </c>
      <c r="Q99" s="7">
        <f t="shared" si="111"/>
        <v>1867398</v>
      </c>
      <c r="R99" s="7">
        <f t="shared" si="111"/>
        <v>2520223</v>
      </c>
      <c r="S99" s="7">
        <f t="shared" si="111"/>
        <v>1246827</v>
      </c>
      <c r="T99" s="7">
        <f t="shared" si="111"/>
        <v>2543876</v>
      </c>
      <c r="U99" s="7">
        <f t="shared" si="111"/>
        <v>3924864</v>
      </c>
      <c r="V99" s="7">
        <f t="shared" si="111"/>
        <v>5349086</v>
      </c>
      <c r="W99" s="7">
        <f t="shared" ref="W99:Z99" si="112">SUM(W95:W98)</f>
        <v>1190647</v>
      </c>
      <c r="X99" s="7">
        <f t="shared" si="112"/>
        <v>2409770</v>
      </c>
      <c r="Y99" s="7">
        <f t="shared" si="112"/>
        <v>3646585</v>
      </c>
      <c r="Z99" s="7">
        <f t="shared" si="112"/>
        <v>4899126</v>
      </c>
      <c r="AA99" s="7">
        <f t="shared" ref="AA99:AB99" si="113">SUM(AA95:AA98)</f>
        <v>1478002</v>
      </c>
      <c r="AB99" s="7">
        <f t="shared" si="113"/>
        <v>2992507</v>
      </c>
      <c r="AC99" s="7">
        <f t="shared" ref="AC99:AD99" si="114">SUM(AC95:AC98)</f>
        <v>4548776</v>
      </c>
      <c r="AD99" s="7">
        <f t="shared" si="114"/>
        <v>6146636</v>
      </c>
      <c r="AE99" s="7">
        <f t="shared" ref="AE99:AF99" si="115">SUM(AE95:AE98)</f>
        <v>1523982</v>
      </c>
      <c r="AF99" s="7">
        <f t="shared" si="115"/>
        <v>2868264</v>
      </c>
      <c r="AG99" s="7">
        <f t="shared" ref="AG99:AH99" si="116">SUM(AG95:AG98)</f>
        <v>3790488</v>
      </c>
      <c r="AH99" s="7">
        <f t="shared" si="116"/>
        <v>4719950</v>
      </c>
      <c r="AI99" s="7">
        <f t="shared" ref="AI99" si="117">SUM(AI95:AI98)</f>
        <v>910419</v>
      </c>
    </row>
    <row r="101" spans="1:35" x14ac:dyDescent="0.3">
      <c r="A101" s="1" t="s">
        <v>98</v>
      </c>
      <c r="B101" s="3">
        <f>+B92+B99+B59+B51+B54</f>
        <v>0</v>
      </c>
      <c r="C101" s="3">
        <f t="shared" ref="C101:F101" si="118">+C92+C99+C59+C51+C54</f>
        <v>0</v>
      </c>
      <c r="D101" s="3">
        <f t="shared" si="118"/>
        <v>0</v>
      </c>
      <c r="E101" s="3">
        <f t="shared" si="118"/>
        <v>0</v>
      </c>
      <c r="F101" s="3">
        <f t="shared" si="118"/>
        <v>0</v>
      </c>
      <c r="G101" s="3">
        <f t="shared" ref="G101:V101" si="119">+G92+G99+G59+G51+G54</f>
        <v>0</v>
      </c>
      <c r="H101" s="3">
        <f t="shared" si="119"/>
        <v>0</v>
      </c>
      <c r="I101" s="3">
        <f t="shared" si="119"/>
        <v>0</v>
      </c>
      <c r="J101" s="3">
        <f t="shared" si="119"/>
        <v>0</v>
      </c>
      <c r="K101" s="3">
        <f t="shared" si="119"/>
        <v>0</v>
      </c>
      <c r="L101" s="3">
        <f t="shared" si="119"/>
        <v>0</v>
      </c>
      <c r="M101" s="3">
        <f t="shared" si="119"/>
        <v>0</v>
      </c>
      <c r="N101" s="3">
        <f t="shared" si="119"/>
        <v>0</v>
      </c>
      <c r="O101" s="3">
        <f t="shared" si="119"/>
        <v>0</v>
      </c>
      <c r="P101" s="3">
        <f t="shared" si="119"/>
        <v>0</v>
      </c>
      <c r="Q101" s="3">
        <f t="shared" si="119"/>
        <v>0</v>
      </c>
      <c r="R101" s="3">
        <f t="shared" si="119"/>
        <v>0</v>
      </c>
      <c r="S101" s="3">
        <f t="shared" si="119"/>
        <v>0</v>
      </c>
      <c r="T101" s="3">
        <f t="shared" si="119"/>
        <v>0</v>
      </c>
      <c r="U101" s="3">
        <f t="shared" si="119"/>
        <v>0</v>
      </c>
      <c r="V101" s="3">
        <f t="shared" si="119"/>
        <v>0</v>
      </c>
      <c r="W101" s="3">
        <f t="shared" ref="W101:Z101" si="120">+W92+W99+W59+W51+W54</f>
        <v>0</v>
      </c>
      <c r="X101" s="3">
        <f t="shared" si="120"/>
        <v>0</v>
      </c>
      <c r="Y101" s="3">
        <f t="shared" si="120"/>
        <v>0</v>
      </c>
      <c r="Z101" s="3">
        <f t="shared" si="120"/>
        <v>0</v>
      </c>
      <c r="AA101" s="3">
        <f t="shared" ref="AA101:AB101" si="121">+AA92+AA99+AA59+AA51+AA54</f>
        <v>0</v>
      </c>
      <c r="AB101" s="3">
        <f t="shared" si="121"/>
        <v>0</v>
      </c>
      <c r="AC101" s="3">
        <f t="shared" ref="AC101:AD101" si="122">+AC92+AC99+AC59+AC51+AC54</f>
        <v>0</v>
      </c>
      <c r="AD101" s="3">
        <f t="shared" si="122"/>
        <v>0</v>
      </c>
      <c r="AE101" s="3">
        <f t="shared" ref="AE101:AF101" si="123">+AE92+AE99+AE59+AE51+AE54</f>
        <v>0</v>
      </c>
      <c r="AF101" s="3">
        <f t="shared" si="123"/>
        <v>0</v>
      </c>
      <c r="AG101" s="3">
        <f t="shared" ref="AG101:AH101" si="124">+AG92+AG99+AG59+AG51+AG54</f>
        <v>0</v>
      </c>
      <c r="AH101" s="3">
        <f t="shared" si="124"/>
        <v>0</v>
      </c>
      <c r="AI101" s="3">
        <f t="shared" ref="AI101" si="125">+AI92+AI99+AI59+AI51+AI54</f>
        <v>0</v>
      </c>
    </row>
    <row r="102" spans="1:35" s="8" customFormat="1" x14ac:dyDescent="0.3">
      <c r="A102" s="8" t="s">
        <v>160</v>
      </c>
      <c r="B102" s="22">
        <v>0</v>
      </c>
      <c r="C102" s="22">
        <v>0</v>
      </c>
      <c r="D102" s="22">
        <v>0</v>
      </c>
      <c r="E102" s="22">
        <v>0</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c r="AI102" s="22">
        <v>1</v>
      </c>
    </row>
    <row r="103" spans="1:35" x14ac:dyDescent="0.3">
      <c r="A103" s="1" t="s">
        <v>99</v>
      </c>
    </row>
    <row r="104" spans="1:35" x14ac:dyDescent="0.3">
      <c r="A104" s="1" t="s">
        <v>164</v>
      </c>
    </row>
    <row r="105" spans="1:35" x14ac:dyDescent="0.3">
      <c r="A105" s="1" t="s">
        <v>165</v>
      </c>
    </row>
    <row r="106" spans="1:35" x14ac:dyDescent="0.3">
      <c r="A106" s="1" t="s">
        <v>166</v>
      </c>
    </row>
  </sheetData>
  <pageMargins left="0.7" right="0.7" top="0.75" bottom="0.75" header="0.3" footer="0.3"/>
  <pageSetup scale="31"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9413-3546-4D57-B20B-C94CF8E5B6B2}">
  <sheetPr>
    <pageSetUpPr fitToPage="1"/>
  </sheetPr>
  <dimension ref="A1:AI108"/>
  <sheetViews>
    <sheetView workbookViewId="0">
      <pane xSplit="1" ySplit="1" topLeftCell="AB68" activePane="bottomRight" state="frozen"/>
      <selection pane="topRight" activeCell="E93" sqref="E93"/>
      <selection pane="bottomLeft" activeCell="E93" sqref="E93"/>
      <selection pane="bottomRight" activeCell="AP101" sqref="AP101"/>
    </sheetView>
  </sheetViews>
  <sheetFormatPr baseColWidth="10" defaultColWidth="11.44140625" defaultRowHeight="14.4" x14ac:dyDescent="0.3"/>
  <cols>
    <col min="1" max="1" width="68.109375" style="1" bestFit="1" customWidth="1"/>
    <col min="2" max="22" width="12.88671875" style="1" customWidth="1"/>
    <col min="23" max="35" width="12.44140625" style="1" bestFit="1" customWidth="1"/>
    <col min="36" max="16384" width="11.44140625" style="1"/>
  </cols>
  <sheetData>
    <row r="1" spans="1:35"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+'Pza Const'!AC1</f>
        <v>45565</v>
      </c>
      <c r="AD1" s="2">
        <f>+'Pza Const'!AD1</f>
        <v>45657</v>
      </c>
      <c r="AE1" s="2">
        <f>+'Pza Const'!AE1</f>
        <v>45747</v>
      </c>
      <c r="AF1" s="2">
        <f>+'Pza Const'!AF1</f>
        <v>45838</v>
      </c>
      <c r="AG1" s="2">
        <f>+'Pza Const'!AG1</f>
        <v>45930</v>
      </c>
      <c r="AH1" s="2">
        <f>+'Pza Const'!AH1</f>
        <v>46022</v>
      </c>
      <c r="AI1" s="2">
        <f>+'Pza Const'!AI1</f>
        <v>46112</v>
      </c>
    </row>
    <row r="2" spans="1:35" s="6" customFormat="1" x14ac:dyDescent="0.3">
      <c r="A2" s="6" t="s">
        <v>272</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c r="AH2" s="10"/>
      <c r="AI2" s="10"/>
    </row>
    <row r="3" spans="1:35"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x14ac:dyDescent="0.3">
      <c r="A5" s="1" t="s">
        <v>11</v>
      </c>
      <c r="B5" s="3">
        <v>1146068</v>
      </c>
      <c r="C5" s="3">
        <v>454663</v>
      </c>
      <c r="D5" s="3">
        <v>2047887</v>
      </c>
      <c r="E5" s="3">
        <v>270006</v>
      </c>
      <c r="F5" s="3">
        <v>79140</v>
      </c>
      <c r="G5" s="3">
        <v>1367484</v>
      </c>
      <c r="H5" s="3">
        <v>1445066</v>
      </c>
      <c r="I5" s="3">
        <v>1935661</v>
      </c>
      <c r="J5" s="3">
        <v>93502</v>
      </c>
      <c r="K5" s="3">
        <v>565710</v>
      </c>
      <c r="L5" s="3">
        <v>625044</v>
      </c>
      <c r="M5" s="3">
        <v>847517</v>
      </c>
      <c r="N5" s="3">
        <v>157740</v>
      </c>
      <c r="O5" s="3">
        <v>449720</v>
      </c>
      <c r="P5" s="3">
        <v>92329</v>
      </c>
      <c r="Q5" s="3">
        <v>191814</v>
      </c>
      <c r="R5" s="3">
        <v>118388</v>
      </c>
      <c r="S5" s="3">
        <v>47933</v>
      </c>
      <c r="T5" s="3">
        <v>308383</v>
      </c>
      <c r="U5" s="3">
        <v>24179</v>
      </c>
      <c r="V5" s="3">
        <v>306436</v>
      </c>
      <c r="W5" s="3">
        <v>429330</v>
      </c>
      <c r="X5" s="3">
        <v>155343</v>
      </c>
      <c r="Y5" s="3">
        <v>329565</v>
      </c>
      <c r="Z5" s="3">
        <v>194910</v>
      </c>
      <c r="AA5" s="3">
        <v>594284</v>
      </c>
      <c r="AB5" s="3">
        <v>190614</v>
      </c>
      <c r="AC5" s="3">
        <v>195241</v>
      </c>
      <c r="AD5" s="3">
        <v>125531</v>
      </c>
      <c r="AE5" s="3">
        <v>157302</v>
      </c>
      <c r="AF5" s="3">
        <v>133850</v>
      </c>
      <c r="AG5" s="3">
        <v>226584</v>
      </c>
      <c r="AH5" s="3">
        <v>133475</v>
      </c>
      <c r="AI5" s="3">
        <v>541997</v>
      </c>
    </row>
    <row r="6" spans="1:35" x14ac:dyDescent="0.3">
      <c r="A6" s="1" t="s">
        <v>101</v>
      </c>
      <c r="B6" s="3">
        <v>0</v>
      </c>
      <c r="C6" s="3">
        <v>0</v>
      </c>
      <c r="D6" s="3">
        <v>0</v>
      </c>
      <c r="E6" s="3">
        <v>0</v>
      </c>
      <c r="F6" s="3">
        <v>0</v>
      </c>
      <c r="G6" s="3">
        <v>0</v>
      </c>
      <c r="H6" s="3">
        <v>0</v>
      </c>
      <c r="I6" s="3">
        <v>0</v>
      </c>
      <c r="J6" s="3">
        <v>0</v>
      </c>
      <c r="K6" s="3">
        <v>0</v>
      </c>
      <c r="L6" s="3">
        <v>0</v>
      </c>
      <c r="M6" s="3">
        <v>8982</v>
      </c>
      <c r="N6" s="3">
        <v>9096</v>
      </c>
      <c r="O6" s="3">
        <v>9194</v>
      </c>
      <c r="P6" s="3">
        <v>338574</v>
      </c>
      <c r="Q6" s="3">
        <v>346185</v>
      </c>
      <c r="R6" s="3">
        <v>360008</v>
      </c>
      <c r="S6" s="3">
        <v>372025</v>
      </c>
      <c r="T6" s="3">
        <v>0</v>
      </c>
      <c r="U6" s="3">
        <v>0</v>
      </c>
      <c r="V6" s="3">
        <v>0</v>
      </c>
      <c r="W6" s="3">
        <v>0</v>
      </c>
      <c r="X6" s="3">
        <v>0</v>
      </c>
      <c r="Y6" s="3">
        <v>0</v>
      </c>
      <c r="Z6" s="3">
        <v>0</v>
      </c>
      <c r="AA6" s="3">
        <v>0</v>
      </c>
      <c r="AB6" s="3">
        <v>0</v>
      </c>
      <c r="AC6" s="3">
        <v>0</v>
      </c>
      <c r="AD6" s="3">
        <v>0</v>
      </c>
      <c r="AE6" s="3">
        <v>0</v>
      </c>
      <c r="AF6" s="3">
        <v>0</v>
      </c>
      <c r="AG6" s="3">
        <v>0</v>
      </c>
      <c r="AH6" s="3">
        <v>0</v>
      </c>
      <c r="AI6" s="3">
        <v>0</v>
      </c>
    </row>
    <row r="7" spans="1:35" x14ac:dyDescent="0.3">
      <c r="A7" s="1" t="s">
        <v>102</v>
      </c>
      <c r="B7" s="3">
        <v>0</v>
      </c>
      <c r="C7" s="3">
        <v>10472</v>
      </c>
      <c r="D7" s="3">
        <v>41281</v>
      </c>
      <c r="E7" s="3">
        <v>33896</v>
      </c>
      <c r="F7" s="3">
        <v>11459</v>
      </c>
      <c r="G7" s="3">
        <v>5119</v>
      </c>
      <c r="H7" s="3">
        <v>696</v>
      </c>
      <c r="I7" s="3">
        <v>4273</v>
      </c>
      <c r="J7" s="3">
        <v>40013</v>
      </c>
      <c r="K7" s="3">
        <v>29531</v>
      </c>
      <c r="L7" s="3">
        <v>18582</v>
      </c>
      <c r="M7" s="3">
        <v>7411</v>
      </c>
      <c r="N7" s="3">
        <v>23706</v>
      </c>
      <c r="O7" s="3">
        <v>26709</v>
      </c>
      <c r="P7" s="3">
        <v>12732</v>
      </c>
      <c r="Q7" s="3">
        <v>92314</v>
      </c>
      <c r="R7" s="3">
        <v>101341</v>
      </c>
      <c r="S7" s="3">
        <v>79175</v>
      </c>
      <c r="T7" s="3">
        <v>56658</v>
      </c>
      <c r="U7" s="3">
        <v>31543</v>
      </c>
      <c r="V7" s="3">
        <v>4532</v>
      </c>
      <c r="W7" s="3">
        <v>117301</v>
      </c>
      <c r="X7" s="3">
        <v>96054</v>
      </c>
      <c r="Y7" s="3">
        <v>73229</v>
      </c>
      <c r="Z7" s="3">
        <v>138523</v>
      </c>
      <c r="AA7" s="3">
        <v>149560</v>
      </c>
      <c r="AB7" s="3">
        <v>143762</v>
      </c>
      <c r="AC7" s="3">
        <v>252697</v>
      </c>
      <c r="AD7" s="3">
        <v>273166</v>
      </c>
      <c r="AE7" s="3">
        <v>300523</v>
      </c>
      <c r="AF7" s="3">
        <v>319235</v>
      </c>
      <c r="AG7" s="3">
        <v>329997</v>
      </c>
      <c r="AH7" s="3">
        <v>352917</v>
      </c>
      <c r="AI7" s="3">
        <v>455360</v>
      </c>
    </row>
    <row r="8" spans="1:35" x14ac:dyDescent="0.3">
      <c r="A8" s="1" t="s">
        <v>103</v>
      </c>
      <c r="B8" s="3">
        <v>31533</v>
      </c>
      <c r="C8" s="3">
        <v>673237</v>
      </c>
      <c r="D8" s="3">
        <v>692279</v>
      </c>
      <c r="E8" s="3">
        <v>745298</v>
      </c>
      <c r="F8" s="3">
        <v>468656</v>
      </c>
      <c r="G8" s="3">
        <v>0</v>
      </c>
      <c r="H8" s="3">
        <v>399964</v>
      </c>
      <c r="I8" s="3">
        <v>1442</v>
      </c>
      <c r="J8" s="3">
        <v>403734</v>
      </c>
      <c r="K8" s="3">
        <v>102267</v>
      </c>
      <c r="L8" s="3">
        <v>75137</v>
      </c>
      <c r="M8" s="3">
        <v>82905</v>
      </c>
      <c r="N8" s="3">
        <v>427106</v>
      </c>
      <c r="O8" s="3">
        <v>242571</v>
      </c>
      <c r="P8" s="3">
        <v>210561</v>
      </c>
      <c r="Q8" s="3">
        <v>5228</v>
      </c>
      <c r="R8" s="3">
        <v>16188</v>
      </c>
      <c r="S8" s="3">
        <v>10123</v>
      </c>
      <c r="T8" s="3">
        <v>28039</v>
      </c>
      <c r="U8" s="3">
        <v>20262</v>
      </c>
      <c r="V8" s="3">
        <v>49384</v>
      </c>
      <c r="W8" s="3">
        <v>9718</v>
      </c>
      <c r="X8" s="3">
        <v>314866</v>
      </c>
      <c r="Y8" s="3">
        <v>0</v>
      </c>
      <c r="Z8" s="3">
        <v>329178</v>
      </c>
      <c r="AA8" s="3">
        <v>2905</v>
      </c>
      <c r="AB8" s="3">
        <v>1142</v>
      </c>
      <c r="AC8" s="3">
        <v>1092</v>
      </c>
      <c r="AD8" s="3">
        <v>33104</v>
      </c>
      <c r="AE8" s="3">
        <v>59538</v>
      </c>
      <c r="AF8" s="3">
        <v>44709</v>
      </c>
      <c r="AG8" s="3">
        <v>-170</v>
      </c>
      <c r="AH8" s="3">
        <v>51</v>
      </c>
      <c r="AI8" s="3">
        <v>159</v>
      </c>
    </row>
    <row r="9" spans="1:35" x14ac:dyDescent="0.3">
      <c r="A9" s="1" t="s">
        <v>104</v>
      </c>
      <c r="B9" s="3">
        <v>0</v>
      </c>
      <c r="C9" s="3">
        <v>0</v>
      </c>
      <c r="D9" s="3">
        <v>0</v>
      </c>
      <c r="E9" s="3">
        <v>150000</v>
      </c>
      <c r="F9" s="3">
        <v>653346</v>
      </c>
      <c r="G9" s="3">
        <v>0</v>
      </c>
      <c r="H9" s="3">
        <v>0</v>
      </c>
      <c r="I9" s="3">
        <v>0</v>
      </c>
      <c r="J9" s="3">
        <v>0</v>
      </c>
      <c r="K9" s="3">
        <v>0</v>
      </c>
      <c r="L9" s="3">
        <v>52000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106000</v>
      </c>
      <c r="AI9" s="3">
        <v>106000</v>
      </c>
    </row>
    <row r="10" spans="1:35" x14ac:dyDescent="0.3">
      <c r="A10" s="1" t="s">
        <v>105</v>
      </c>
      <c r="B10" s="3">
        <v>3265285</v>
      </c>
      <c r="C10" s="3">
        <v>2778903</v>
      </c>
      <c r="D10" s="3">
        <v>2351385</v>
      </c>
      <c r="E10" s="3">
        <v>1769032</v>
      </c>
      <c r="F10" s="3">
        <v>1385362</v>
      </c>
      <c r="G10" s="3">
        <v>1312009</v>
      </c>
      <c r="H10" s="3">
        <v>1039049</v>
      </c>
      <c r="I10" s="3">
        <v>957993</v>
      </c>
      <c r="J10" s="3">
        <v>853282</v>
      </c>
      <c r="K10" s="3">
        <v>779569</v>
      </c>
      <c r="L10" s="3">
        <v>555252</v>
      </c>
      <c r="M10" s="3">
        <v>462055</v>
      </c>
      <c r="N10" s="3">
        <v>337498</v>
      </c>
      <c r="O10" s="3">
        <v>251438</v>
      </c>
      <c r="P10" s="3">
        <v>151797</v>
      </c>
      <c r="Q10" s="3">
        <v>178954</v>
      </c>
      <c r="R10" s="3">
        <v>254411</v>
      </c>
      <c r="S10" s="3">
        <v>304610</v>
      </c>
      <c r="T10" s="3">
        <v>115478</v>
      </c>
      <c r="U10" s="3">
        <v>119998</v>
      </c>
      <c r="V10" s="3">
        <v>138206</v>
      </c>
      <c r="W10" s="3">
        <v>44410</v>
      </c>
      <c r="X10" s="3">
        <v>-13476</v>
      </c>
      <c r="Y10" s="3">
        <v>0</v>
      </c>
      <c r="Z10" s="3">
        <v>0</v>
      </c>
      <c r="AA10" s="3">
        <v>0</v>
      </c>
      <c r="AB10" s="3">
        <v>0</v>
      </c>
      <c r="AC10" s="3">
        <v>0</v>
      </c>
      <c r="AD10" s="3">
        <v>0</v>
      </c>
      <c r="AE10" s="3">
        <v>0</v>
      </c>
      <c r="AF10" s="3">
        <v>0</v>
      </c>
      <c r="AG10" s="3">
        <v>0</v>
      </c>
      <c r="AH10" s="3">
        <v>0</v>
      </c>
      <c r="AI10" s="3">
        <v>0</v>
      </c>
    </row>
    <row r="11" spans="1:35" x14ac:dyDescent="0.3">
      <c r="A11" s="1" t="s">
        <v>106</v>
      </c>
      <c r="B11" s="3">
        <v>0</v>
      </c>
      <c r="C11" s="3">
        <v>0</v>
      </c>
      <c r="D11" s="3">
        <v>0</v>
      </c>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row>
    <row r="12" spans="1:35" s="6" customFormat="1" x14ac:dyDescent="0.3">
      <c r="A12" s="6" t="s">
        <v>15</v>
      </c>
      <c r="B12" s="7">
        <f>+SUM(B2:B11)</f>
        <v>4442886</v>
      </c>
      <c r="C12" s="7">
        <f t="shared" ref="C12:Z12" si="0">+SUM(C2:C11)</f>
        <v>3917275</v>
      </c>
      <c r="D12" s="7">
        <f t="shared" si="0"/>
        <v>5132832</v>
      </c>
      <c r="E12" s="7">
        <f t="shared" si="0"/>
        <v>2968232</v>
      </c>
      <c r="F12" s="7">
        <f t="shared" si="0"/>
        <v>2597963</v>
      </c>
      <c r="G12" s="7">
        <f t="shared" si="0"/>
        <v>2684612</v>
      </c>
      <c r="H12" s="7">
        <f t="shared" si="0"/>
        <v>2884775</v>
      </c>
      <c r="I12" s="7">
        <f t="shared" si="0"/>
        <v>2899369</v>
      </c>
      <c r="J12" s="7">
        <f t="shared" si="0"/>
        <v>1390531</v>
      </c>
      <c r="K12" s="7">
        <f t="shared" si="0"/>
        <v>1477077</v>
      </c>
      <c r="L12" s="7">
        <f t="shared" si="0"/>
        <v>1326015</v>
      </c>
      <c r="M12" s="7">
        <f t="shared" si="0"/>
        <v>1408870</v>
      </c>
      <c r="N12" s="7">
        <f t="shared" si="0"/>
        <v>955146</v>
      </c>
      <c r="O12" s="7">
        <f t="shared" si="0"/>
        <v>979632</v>
      </c>
      <c r="P12" s="7">
        <f t="shared" si="0"/>
        <v>805993</v>
      </c>
      <c r="Q12" s="7">
        <f t="shared" si="0"/>
        <v>814495</v>
      </c>
      <c r="R12" s="7">
        <f t="shared" si="0"/>
        <v>850336</v>
      </c>
      <c r="S12" s="7">
        <f t="shared" si="0"/>
        <v>813866</v>
      </c>
      <c r="T12" s="7">
        <f t="shared" si="0"/>
        <v>508558</v>
      </c>
      <c r="U12" s="7">
        <f t="shared" si="0"/>
        <v>195982</v>
      </c>
      <c r="V12" s="7">
        <f t="shared" si="0"/>
        <v>498558</v>
      </c>
      <c r="W12" s="7">
        <f t="shared" si="0"/>
        <v>600759</v>
      </c>
      <c r="X12" s="7">
        <f t="shared" si="0"/>
        <v>552787</v>
      </c>
      <c r="Y12" s="7">
        <f t="shared" si="0"/>
        <v>402794</v>
      </c>
      <c r="Z12" s="7">
        <f t="shared" si="0"/>
        <v>662611</v>
      </c>
      <c r="AA12" s="7">
        <f t="shared" ref="AA12:AB12" si="1">+SUM(AA2:AA11)</f>
        <v>746749</v>
      </c>
      <c r="AB12" s="7">
        <f t="shared" si="1"/>
        <v>335518</v>
      </c>
      <c r="AC12" s="7">
        <f t="shared" ref="AC12:AD12" si="2">+SUM(AC2:AC11)</f>
        <v>449030</v>
      </c>
      <c r="AD12" s="7">
        <f t="shared" si="2"/>
        <v>431801</v>
      </c>
      <c r="AE12" s="7">
        <f t="shared" ref="AE12:AF12" si="3">+SUM(AE2:AE11)</f>
        <v>517363</v>
      </c>
      <c r="AF12" s="7">
        <f t="shared" si="3"/>
        <v>497794</v>
      </c>
      <c r="AG12" s="7">
        <f t="shared" ref="AG12:AH12" si="4">+SUM(AG2:AG11)</f>
        <v>556411</v>
      </c>
      <c r="AH12" s="7">
        <f t="shared" si="4"/>
        <v>592443</v>
      </c>
      <c r="AI12" s="7">
        <f t="shared" ref="AI12" si="5">+SUM(AI2:AI11)</f>
        <v>1103516</v>
      </c>
    </row>
    <row r="13" spans="1:35" x14ac:dyDescent="0.3">
      <c r="A13" s="1" t="s">
        <v>16</v>
      </c>
      <c r="B13" s="3"/>
      <c r="C13" s="3"/>
      <c r="D13" s="3"/>
      <c r="E13" s="3"/>
      <c r="F13" s="3"/>
      <c r="G13" s="3"/>
      <c r="H13" s="3"/>
      <c r="I13" s="3"/>
      <c r="J13" s="3"/>
      <c r="K13" s="3"/>
      <c r="L13" s="3"/>
      <c r="M13" s="3"/>
      <c r="N13" s="3"/>
      <c r="O13" s="3"/>
      <c r="P13" s="3"/>
      <c r="Q13" s="3"/>
      <c r="R13" s="3"/>
      <c r="S13" s="3"/>
      <c r="T13" s="3"/>
      <c r="U13" s="3"/>
      <c r="V13" s="3"/>
    </row>
    <row r="14" spans="1:35" x14ac:dyDescent="0.3">
      <c r="A14" s="1" t="s">
        <v>107</v>
      </c>
      <c r="B14" s="3">
        <v>270043</v>
      </c>
      <c r="C14" s="3">
        <v>235837</v>
      </c>
      <c r="D14" s="3">
        <v>250780</v>
      </c>
      <c r="E14" s="3">
        <v>263511</v>
      </c>
      <c r="F14" s="3">
        <v>279748</v>
      </c>
      <c r="G14" s="3">
        <v>281890</v>
      </c>
      <c r="H14" s="3">
        <v>287534</v>
      </c>
      <c r="I14" s="3">
        <v>291259</v>
      </c>
      <c r="J14" s="3">
        <v>296222</v>
      </c>
      <c r="K14" s="3">
        <v>301478</v>
      </c>
      <c r="L14" s="3">
        <v>314841</v>
      </c>
      <c r="M14" s="3">
        <v>317995</v>
      </c>
      <c r="N14" s="3">
        <v>325107</v>
      </c>
      <c r="O14" s="3">
        <v>322634</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row>
    <row r="15" spans="1:35" x14ac:dyDescent="0.3">
      <c r="A15" s="1" t="s">
        <v>108</v>
      </c>
      <c r="B15" s="3">
        <v>0</v>
      </c>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row>
    <row r="16" spans="1:35" x14ac:dyDescent="0.3">
      <c r="A16" s="1" t="s">
        <v>109</v>
      </c>
      <c r="B16" s="3">
        <v>0</v>
      </c>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row>
    <row r="17" spans="1:35" x14ac:dyDescent="0.3">
      <c r="A17" s="13" t="s">
        <v>110</v>
      </c>
      <c r="B17" s="3">
        <v>0</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row>
    <row r="18" spans="1:35" x14ac:dyDescent="0.3">
      <c r="A18" s="13" t="s">
        <v>111</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row>
    <row r="19" spans="1:35" x14ac:dyDescent="0.3">
      <c r="A19" s="1" t="s">
        <v>112</v>
      </c>
      <c r="B19" s="3">
        <v>70782999</v>
      </c>
      <c r="C19" s="3">
        <v>71075227</v>
      </c>
      <c r="D19" s="3">
        <v>71005910</v>
      </c>
      <c r="E19" s="3">
        <v>74536462</v>
      </c>
      <c r="F19" s="3">
        <v>83061730</v>
      </c>
      <c r="G19" s="3">
        <v>83053934</v>
      </c>
      <c r="H19" s="3">
        <v>84063274</v>
      </c>
      <c r="I19" s="3">
        <v>99497275</v>
      </c>
      <c r="J19" s="3">
        <v>94910540</v>
      </c>
      <c r="K19" s="3">
        <v>95868769</v>
      </c>
      <c r="L19" s="3">
        <v>96195305</v>
      </c>
      <c r="M19" s="3">
        <v>97386155</v>
      </c>
      <c r="N19" s="3">
        <v>98610123</v>
      </c>
      <c r="O19" s="3">
        <v>99705119</v>
      </c>
      <c r="P19" s="3">
        <v>100768313</v>
      </c>
      <c r="Q19" s="3">
        <v>103034743</v>
      </c>
      <c r="R19" s="3">
        <v>106131652</v>
      </c>
      <c r="S19" s="3">
        <v>108651367</v>
      </c>
      <c r="T19" s="3">
        <v>113308968</v>
      </c>
      <c r="U19" s="3">
        <v>113573464</v>
      </c>
      <c r="V19" s="3">
        <v>116396794</v>
      </c>
      <c r="W19" s="3">
        <v>117933490</v>
      </c>
      <c r="X19" s="3">
        <v>119634225</v>
      </c>
      <c r="Y19" s="3">
        <v>117409507</v>
      </c>
      <c r="Z19" s="3">
        <v>119564990</v>
      </c>
      <c r="AA19" s="3">
        <v>120628013</v>
      </c>
      <c r="AB19" s="3">
        <v>122177975</v>
      </c>
      <c r="AC19" s="3">
        <v>125428832</v>
      </c>
      <c r="AD19" s="3">
        <v>127103401</v>
      </c>
      <c r="AE19" s="3">
        <v>128682458</v>
      </c>
      <c r="AF19" s="3">
        <v>129915917</v>
      </c>
      <c r="AG19" s="3">
        <v>128537326</v>
      </c>
      <c r="AH19" s="3">
        <v>129325641</v>
      </c>
      <c r="AI19" s="3">
        <v>129695495</v>
      </c>
    </row>
    <row r="20" spans="1:35" x14ac:dyDescent="0.3">
      <c r="A20" s="1" t="s">
        <v>113</v>
      </c>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row>
    <row r="21" spans="1:35" s="6" customFormat="1" x14ac:dyDescent="0.3">
      <c r="A21" s="6" t="s">
        <v>18</v>
      </c>
      <c r="B21" s="7">
        <f>+SUM(B13:B20)</f>
        <v>71053042</v>
      </c>
      <c r="C21" s="7">
        <f>+SUM(C13:C20)</f>
        <v>71311064</v>
      </c>
      <c r="D21" s="7">
        <f t="shared" ref="D21:F21" si="6">+SUM(D13:D20)</f>
        <v>71256690</v>
      </c>
      <c r="E21" s="7">
        <f t="shared" si="6"/>
        <v>74799973</v>
      </c>
      <c r="F21" s="7">
        <f t="shared" si="6"/>
        <v>83341478</v>
      </c>
      <c r="G21" s="7">
        <f t="shared" ref="G21:Z21" si="7">+SUM(G13:G20)</f>
        <v>83335824</v>
      </c>
      <c r="H21" s="7">
        <f t="shared" si="7"/>
        <v>84350808</v>
      </c>
      <c r="I21" s="7">
        <f t="shared" si="7"/>
        <v>99788534</v>
      </c>
      <c r="J21" s="7">
        <f t="shared" si="7"/>
        <v>95206762</v>
      </c>
      <c r="K21" s="7">
        <f t="shared" si="7"/>
        <v>96170247</v>
      </c>
      <c r="L21" s="7">
        <f t="shared" si="7"/>
        <v>96510146</v>
      </c>
      <c r="M21" s="7">
        <f t="shared" si="7"/>
        <v>97704150</v>
      </c>
      <c r="N21" s="7">
        <f t="shared" si="7"/>
        <v>98935230</v>
      </c>
      <c r="O21" s="7">
        <f t="shared" si="7"/>
        <v>100027753</v>
      </c>
      <c r="P21" s="7">
        <f t="shared" si="7"/>
        <v>100768313</v>
      </c>
      <c r="Q21" s="7">
        <f t="shared" si="7"/>
        <v>103034743</v>
      </c>
      <c r="R21" s="7">
        <f t="shared" si="7"/>
        <v>106131652</v>
      </c>
      <c r="S21" s="7">
        <f t="shared" si="7"/>
        <v>108651367</v>
      </c>
      <c r="T21" s="7">
        <f t="shared" si="7"/>
        <v>113308968</v>
      </c>
      <c r="U21" s="7">
        <f t="shared" si="7"/>
        <v>113573464</v>
      </c>
      <c r="V21" s="7">
        <f t="shared" si="7"/>
        <v>116396794</v>
      </c>
      <c r="W21" s="7">
        <f t="shared" si="7"/>
        <v>117933490</v>
      </c>
      <c r="X21" s="7">
        <f t="shared" si="7"/>
        <v>119634225</v>
      </c>
      <c r="Y21" s="7">
        <f t="shared" si="7"/>
        <v>117409507</v>
      </c>
      <c r="Z21" s="7">
        <f t="shared" si="7"/>
        <v>119564990</v>
      </c>
      <c r="AA21" s="7">
        <f t="shared" ref="AA21:AB21" si="8">+SUM(AA13:AA20)</f>
        <v>120628013</v>
      </c>
      <c r="AB21" s="7">
        <f t="shared" si="8"/>
        <v>122177975</v>
      </c>
      <c r="AC21" s="7">
        <f t="shared" ref="AC21:AD21" si="9">+SUM(AC13:AC20)</f>
        <v>125428832</v>
      </c>
      <c r="AD21" s="7">
        <f t="shared" si="9"/>
        <v>127103401</v>
      </c>
      <c r="AE21" s="7">
        <f t="shared" ref="AE21:AF21" si="10">+SUM(AE13:AE20)</f>
        <v>128682458</v>
      </c>
      <c r="AF21" s="7">
        <f t="shared" si="10"/>
        <v>129915917</v>
      </c>
      <c r="AG21" s="7">
        <f t="shared" ref="AG21:AH21" si="11">+SUM(AG13:AG20)</f>
        <v>128537326</v>
      </c>
      <c r="AH21" s="7">
        <f t="shared" si="11"/>
        <v>129325641</v>
      </c>
      <c r="AI21" s="7">
        <f t="shared" ref="AI21" si="12">+SUM(AI13:AI20)</f>
        <v>129695495</v>
      </c>
    </row>
    <row r="22" spans="1:35" s="6" customFormat="1" x14ac:dyDescent="0.3">
      <c r="A22" s="6" t="s">
        <v>19</v>
      </c>
      <c r="B22" s="7">
        <f t="shared" ref="B22:F22" si="13">+B21+B12</f>
        <v>75495928</v>
      </c>
      <c r="C22" s="7">
        <f t="shared" si="13"/>
        <v>75228339</v>
      </c>
      <c r="D22" s="7">
        <f t="shared" si="13"/>
        <v>76389522</v>
      </c>
      <c r="E22" s="7">
        <f t="shared" si="13"/>
        <v>77768205</v>
      </c>
      <c r="F22" s="7">
        <f t="shared" si="13"/>
        <v>85939441</v>
      </c>
      <c r="G22" s="7">
        <f t="shared" ref="G22:Z22" si="14">+G21+G12</f>
        <v>86020436</v>
      </c>
      <c r="H22" s="7">
        <f t="shared" si="14"/>
        <v>87235583</v>
      </c>
      <c r="I22" s="7">
        <f t="shared" si="14"/>
        <v>102687903</v>
      </c>
      <c r="J22" s="7">
        <f t="shared" si="14"/>
        <v>96597293</v>
      </c>
      <c r="K22" s="7">
        <f t="shared" si="14"/>
        <v>97647324</v>
      </c>
      <c r="L22" s="7">
        <f t="shared" si="14"/>
        <v>97836161</v>
      </c>
      <c r="M22" s="7">
        <f t="shared" si="14"/>
        <v>99113020</v>
      </c>
      <c r="N22" s="7">
        <f t="shared" si="14"/>
        <v>99890376</v>
      </c>
      <c r="O22" s="7">
        <f t="shared" si="14"/>
        <v>101007385</v>
      </c>
      <c r="P22" s="7">
        <f t="shared" si="14"/>
        <v>101574306</v>
      </c>
      <c r="Q22" s="7">
        <f t="shared" si="14"/>
        <v>103849238</v>
      </c>
      <c r="R22" s="7">
        <f t="shared" si="14"/>
        <v>106981988</v>
      </c>
      <c r="S22" s="7">
        <f t="shared" si="14"/>
        <v>109465233</v>
      </c>
      <c r="T22" s="7">
        <f t="shared" si="14"/>
        <v>113817526</v>
      </c>
      <c r="U22" s="7">
        <f t="shared" si="14"/>
        <v>113769446</v>
      </c>
      <c r="V22" s="7">
        <f t="shared" si="14"/>
        <v>116895352</v>
      </c>
      <c r="W22" s="7">
        <f t="shared" si="14"/>
        <v>118534249</v>
      </c>
      <c r="X22" s="7">
        <f t="shared" si="14"/>
        <v>120187012</v>
      </c>
      <c r="Y22" s="7">
        <f t="shared" si="14"/>
        <v>117812301</v>
      </c>
      <c r="Z22" s="7">
        <f t="shared" si="14"/>
        <v>120227601</v>
      </c>
      <c r="AA22" s="7">
        <f t="shared" ref="AA22:AB22" si="15">+AA21+AA12</f>
        <v>121374762</v>
      </c>
      <c r="AB22" s="7">
        <f t="shared" si="15"/>
        <v>122513493</v>
      </c>
      <c r="AC22" s="7">
        <f t="shared" ref="AC22:AD22" si="16">+AC21+AC12</f>
        <v>125877862</v>
      </c>
      <c r="AD22" s="7">
        <f t="shared" si="16"/>
        <v>127535202</v>
      </c>
      <c r="AE22" s="7">
        <f t="shared" ref="AE22:AF22" si="17">+AE21+AE12</f>
        <v>129199821</v>
      </c>
      <c r="AF22" s="7">
        <f t="shared" si="17"/>
        <v>130413711</v>
      </c>
      <c r="AG22" s="7">
        <f t="shared" ref="AG22:AH22" si="18">+AG21+AG12</f>
        <v>129093737</v>
      </c>
      <c r="AH22" s="7">
        <f t="shared" si="18"/>
        <v>129918084</v>
      </c>
      <c r="AI22" s="7">
        <f t="shared" ref="AI22" si="19">+AI21+AI12</f>
        <v>130799011</v>
      </c>
    </row>
    <row r="23" spans="1:35" x14ac:dyDescent="0.3">
      <c r="A23" s="1" t="s">
        <v>114</v>
      </c>
      <c r="B23" s="3"/>
      <c r="C23" s="3"/>
      <c r="D23" s="3"/>
      <c r="E23" s="3"/>
      <c r="F23" s="3"/>
      <c r="G23" s="3"/>
      <c r="H23" s="3"/>
      <c r="I23" s="3"/>
      <c r="J23" s="3"/>
      <c r="K23" s="3"/>
      <c r="L23" s="3"/>
      <c r="M23" s="3"/>
      <c r="N23" s="3"/>
      <c r="O23" s="3"/>
      <c r="P23" s="3"/>
      <c r="Q23" s="3"/>
      <c r="R23" s="3"/>
      <c r="S23" s="3"/>
      <c r="T23" s="3"/>
      <c r="U23" s="3"/>
      <c r="V23" s="3"/>
    </row>
    <row r="24" spans="1:35" x14ac:dyDescent="0.3">
      <c r="A24" s="1" t="s">
        <v>21</v>
      </c>
      <c r="B24" s="3"/>
      <c r="C24" s="3"/>
      <c r="D24" s="3"/>
      <c r="E24" s="3"/>
      <c r="F24" s="3"/>
      <c r="G24" s="3"/>
      <c r="H24" s="3"/>
      <c r="I24" s="3"/>
      <c r="J24" s="3"/>
      <c r="K24" s="3"/>
      <c r="L24" s="3"/>
      <c r="M24" s="3"/>
      <c r="N24" s="3"/>
      <c r="O24" s="3"/>
      <c r="P24" s="3"/>
      <c r="Q24" s="3"/>
      <c r="R24" s="3"/>
      <c r="S24" s="3"/>
      <c r="T24" s="3"/>
      <c r="U24" s="3"/>
      <c r="V24" s="3"/>
    </row>
    <row r="25" spans="1:35" x14ac:dyDescent="0.3">
      <c r="A25" s="1" t="s">
        <v>115</v>
      </c>
      <c r="B25" s="3">
        <v>1207502</v>
      </c>
      <c r="C25" s="3">
        <v>1265782</v>
      </c>
      <c r="D25" s="3">
        <v>1357166</v>
      </c>
      <c r="E25" s="3">
        <v>1194790</v>
      </c>
      <c r="F25" s="3">
        <v>4542</v>
      </c>
      <c r="G25" s="3">
        <v>1378</v>
      </c>
      <c r="H25" s="3">
        <v>3193</v>
      </c>
      <c r="I25" s="3">
        <v>464527</v>
      </c>
      <c r="J25" s="3">
        <v>33</v>
      </c>
      <c r="K25" s="3">
        <v>3679</v>
      </c>
      <c r="L25" s="3">
        <v>0</v>
      </c>
      <c r="M25" s="3">
        <v>0</v>
      </c>
      <c r="N25" s="3">
        <v>0</v>
      </c>
      <c r="O25" s="3">
        <v>195696</v>
      </c>
      <c r="P25" s="3">
        <v>111847</v>
      </c>
      <c r="Q25" s="3">
        <v>112151</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row>
    <row r="26" spans="1:35" x14ac:dyDescent="0.3">
      <c r="A26" s="1" t="s">
        <v>116</v>
      </c>
      <c r="B26" s="3">
        <v>326783</v>
      </c>
      <c r="C26" s="3">
        <v>2220</v>
      </c>
      <c r="D26" s="3">
        <v>51651</v>
      </c>
      <c r="E26" s="3">
        <v>83696</v>
      </c>
      <c r="F26" s="3">
        <v>58251</v>
      </c>
      <c r="G26" s="3">
        <v>71411</v>
      </c>
      <c r="H26" s="3">
        <v>68739</v>
      </c>
      <c r="I26" s="3">
        <v>69129</v>
      </c>
      <c r="J26" s="3">
        <v>110890</v>
      </c>
      <c r="K26" s="3">
        <v>80653</v>
      </c>
      <c r="L26" s="3">
        <v>166460</v>
      </c>
      <c r="M26" s="3">
        <v>312628</v>
      </c>
      <c r="N26" s="3">
        <v>69344</v>
      </c>
      <c r="O26" s="3">
        <v>67205</v>
      </c>
      <c r="P26" s="3">
        <v>76448</v>
      </c>
      <c r="Q26" s="3">
        <v>189534</v>
      </c>
      <c r="R26" s="3">
        <v>163386</v>
      </c>
      <c r="S26" s="3">
        <v>119677</v>
      </c>
      <c r="T26" s="3">
        <v>70812</v>
      </c>
      <c r="U26" s="3">
        <v>73489</v>
      </c>
      <c r="V26" s="3">
        <v>97072</v>
      </c>
      <c r="W26" s="3">
        <v>217601</v>
      </c>
      <c r="X26" s="3">
        <v>109300</v>
      </c>
      <c r="Y26" s="3">
        <v>83613</v>
      </c>
      <c r="Z26" s="3">
        <v>175472</v>
      </c>
      <c r="AA26" s="3">
        <v>115592</v>
      </c>
      <c r="AB26" s="3">
        <v>29653</v>
      </c>
      <c r="AC26" s="3">
        <v>207486</v>
      </c>
      <c r="AD26" s="3">
        <v>123696</v>
      </c>
      <c r="AE26" s="3">
        <v>112502</v>
      </c>
      <c r="AF26" s="3">
        <v>119812</v>
      </c>
      <c r="AG26" s="3">
        <v>103078</v>
      </c>
      <c r="AH26" s="3">
        <v>120833</v>
      </c>
      <c r="AI26" s="3">
        <v>203230</v>
      </c>
    </row>
    <row r="27" spans="1:35" x14ac:dyDescent="0.3">
      <c r="A27" s="1" t="s">
        <v>117</v>
      </c>
      <c r="B27" s="3">
        <v>0</v>
      </c>
      <c r="C27" s="3">
        <v>0</v>
      </c>
      <c r="D27" s="3">
        <v>0</v>
      </c>
      <c r="E27" s="3">
        <v>23799870</v>
      </c>
      <c r="F27" s="3">
        <v>0</v>
      </c>
      <c r="G27" s="3">
        <v>0</v>
      </c>
      <c r="H27" s="3">
        <v>308641</v>
      </c>
      <c r="I27" s="3">
        <v>0</v>
      </c>
      <c r="J27" s="3">
        <v>0</v>
      </c>
      <c r="K27" s="3">
        <v>0</v>
      </c>
      <c r="L27" s="3">
        <v>0</v>
      </c>
      <c r="M27" s="3">
        <v>0</v>
      </c>
      <c r="N27" s="3">
        <v>0</v>
      </c>
      <c r="O27" s="3">
        <v>0</v>
      </c>
      <c r="P27" s="3">
        <v>292000</v>
      </c>
      <c r="Q27" s="3">
        <v>0</v>
      </c>
      <c r="R27" s="3">
        <v>0</v>
      </c>
      <c r="S27" s="3">
        <v>0</v>
      </c>
      <c r="T27" s="3">
        <v>0</v>
      </c>
      <c r="U27" s="3">
        <v>0</v>
      </c>
      <c r="V27" s="3">
        <v>0</v>
      </c>
      <c r="W27" s="3">
        <v>0</v>
      </c>
      <c r="X27" s="3">
        <v>0</v>
      </c>
      <c r="Y27" s="3">
        <v>0</v>
      </c>
      <c r="Z27" s="3">
        <v>0</v>
      </c>
      <c r="AA27" s="3">
        <v>0</v>
      </c>
      <c r="AB27" s="3">
        <v>0</v>
      </c>
      <c r="AC27" s="3">
        <v>0</v>
      </c>
      <c r="AD27" s="3">
        <v>0</v>
      </c>
      <c r="AE27" s="3">
        <v>0</v>
      </c>
      <c r="AF27" s="3">
        <v>0</v>
      </c>
      <c r="AG27" s="3">
        <v>230000</v>
      </c>
      <c r="AH27" s="3">
        <v>0</v>
      </c>
      <c r="AI27" s="3">
        <v>0</v>
      </c>
    </row>
    <row r="28" spans="1:35" x14ac:dyDescent="0.3">
      <c r="A28" s="1" t="s">
        <v>118</v>
      </c>
      <c r="B28" s="3">
        <v>0</v>
      </c>
      <c r="C28" s="3">
        <v>0</v>
      </c>
      <c r="D28" s="3">
        <v>0</v>
      </c>
      <c r="E28" s="3">
        <v>216725</v>
      </c>
      <c r="F28" s="3">
        <v>162188</v>
      </c>
      <c r="G28" s="3">
        <v>162188</v>
      </c>
      <c r="H28" s="3">
        <v>133834</v>
      </c>
      <c r="I28" s="3">
        <v>116047</v>
      </c>
      <c r="J28" s="3">
        <v>176778</v>
      </c>
      <c r="K28" s="3">
        <v>187936</v>
      </c>
      <c r="L28" s="3">
        <v>241004</v>
      </c>
      <c r="M28" s="3">
        <v>292319</v>
      </c>
      <c r="N28" s="3">
        <v>334416</v>
      </c>
      <c r="O28" s="3">
        <v>334416</v>
      </c>
      <c r="P28" s="3">
        <v>105774</v>
      </c>
      <c r="Q28" s="3">
        <v>105774</v>
      </c>
      <c r="R28" s="3">
        <v>105774</v>
      </c>
      <c r="S28" s="3">
        <v>105775</v>
      </c>
      <c r="T28" s="3">
        <v>105775</v>
      </c>
      <c r="U28" s="3">
        <v>105775</v>
      </c>
      <c r="V28" s="3">
        <v>105774</v>
      </c>
      <c r="W28" s="3">
        <v>105774</v>
      </c>
      <c r="X28" s="3">
        <v>105776</v>
      </c>
      <c r="Y28" s="3">
        <v>118651</v>
      </c>
      <c r="Z28" s="3">
        <v>105774</v>
      </c>
      <c r="AA28" s="3">
        <v>105774</v>
      </c>
      <c r="AB28" s="3">
        <v>105774</v>
      </c>
      <c r="AC28" s="3">
        <v>105774</v>
      </c>
      <c r="AD28" s="3">
        <v>105774</v>
      </c>
      <c r="AE28" s="3">
        <v>105774</v>
      </c>
      <c r="AF28" s="3">
        <v>0</v>
      </c>
      <c r="AG28" s="3">
        <v>0</v>
      </c>
      <c r="AH28" s="3">
        <v>0</v>
      </c>
      <c r="AI28" s="3">
        <v>0</v>
      </c>
    </row>
    <row r="29" spans="1:35" x14ac:dyDescent="0.3">
      <c r="A29" s="1" t="s">
        <v>119</v>
      </c>
      <c r="B29" s="3">
        <v>209709</v>
      </c>
      <c r="C29" s="3">
        <v>16826</v>
      </c>
      <c r="D29" s="3">
        <v>15569</v>
      </c>
      <c r="E29" s="3">
        <v>11337</v>
      </c>
      <c r="F29" s="3">
        <v>5302</v>
      </c>
      <c r="G29" s="3">
        <v>123824</v>
      </c>
      <c r="H29" s="3">
        <v>5889</v>
      </c>
      <c r="I29" s="3">
        <v>5065</v>
      </c>
      <c r="J29" s="3">
        <v>5881</v>
      </c>
      <c r="K29" s="3">
        <v>158520</v>
      </c>
      <c r="L29" s="3">
        <v>3698</v>
      </c>
      <c r="M29" s="3">
        <v>5813</v>
      </c>
      <c r="N29" s="3">
        <v>8270</v>
      </c>
      <c r="O29" s="3">
        <v>158167</v>
      </c>
      <c r="P29" s="3">
        <v>5429</v>
      </c>
      <c r="Q29" s="3">
        <v>9067</v>
      </c>
      <c r="R29" s="3">
        <v>10787</v>
      </c>
      <c r="S29" s="3">
        <v>159926</v>
      </c>
      <c r="T29" s="3">
        <v>3984</v>
      </c>
      <c r="U29" s="3">
        <v>8215</v>
      </c>
      <c r="V29" s="3">
        <v>5507</v>
      </c>
      <c r="W29" s="3">
        <v>240103</v>
      </c>
      <c r="X29" s="3">
        <v>10300</v>
      </c>
      <c r="Y29" s="3">
        <v>7969</v>
      </c>
      <c r="Z29" s="3">
        <v>4450</v>
      </c>
      <c r="AA29" s="3">
        <v>243003</v>
      </c>
      <c r="AB29" s="3">
        <v>86318</v>
      </c>
      <c r="AC29" s="3">
        <v>9150</v>
      </c>
      <c r="AD29" s="3">
        <v>8030</v>
      </c>
      <c r="AE29" s="3">
        <v>254096</v>
      </c>
      <c r="AF29" s="3">
        <v>6997</v>
      </c>
      <c r="AG29" s="3">
        <v>13426</v>
      </c>
      <c r="AH29" s="3">
        <v>12214</v>
      </c>
      <c r="AI29" s="3">
        <v>267277</v>
      </c>
    </row>
    <row r="30" spans="1:35" x14ac:dyDescent="0.3">
      <c r="A30" s="1" t="s">
        <v>120</v>
      </c>
      <c r="B30" s="3">
        <v>0</v>
      </c>
      <c r="C30" s="3">
        <v>594018</v>
      </c>
      <c r="D30" s="3">
        <v>610858</v>
      </c>
      <c r="E30" s="3">
        <v>659720</v>
      </c>
      <c r="F30" s="3">
        <v>360792</v>
      </c>
      <c r="G30" s="3">
        <v>180370</v>
      </c>
      <c r="H30" s="3">
        <v>371202</v>
      </c>
      <c r="I30" s="3">
        <v>186296</v>
      </c>
      <c r="J30" s="3">
        <v>375397</v>
      </c>
      <c r="K30" s="3">
        <v>189013</v>
      </c>
      <c r="L30" s="3">
        <v>380296</v>
      </c>
      <c r="M30" s="3">
        <v>190148</v>
      </c>
      <c r="N30" s="3">
        <v>578615</v>
      </c>
      <c r="O30" s="3">
        <v>194558</v>
      </c>
      <c r="P30" s="3">
        <v>0</v>
      </c>
      <c r="Q30" s="3">
        <v>0</v>
      </c>
      <c r="R30" s="3">
        <v>420870</v>
      </c>
      <c r="S30" s="3">
        <v>118262</v>
      </c>
      <c r="T30" s="3">
        <v>123328</v>
      </c>
      <c r="U30" s="3">
        <v>127694</v>
      </c>
      <c r="V30" s="3">
        <v>50654</v>
      </c>
      <c r="W30" s="3">
        <v>51323</v>
      </c>
      <c r="X30" s="3">
        <v>52064</v>
      </c>
      <c r="Y30" s="3">
        <v>78361</v>
      </c>
      <c r="Z30" s="3">
        <v>190353</v>
      </c>
      <c r="AA30" s="3">
        <v>79226</v>
      </c>
      <c r="AB30" s="3">
        <v>80247</v>
      </c>
      <c r="AC30" s="3">
        <v>169753</v>
      </c>
      <c r="AD30" s="3">
        <v>43571</v>
      </c>
      <c r="AE30" s="3">
        <v>45661</v>
      </c>
      <c r="AF30" s="3">
        <v>50673</v>
      </c>
      <c r="AG30" s="3">
        <v>40009</v>
      </c>
      <c r="AH30" s="3">
        <v>40118</v>
      </c>
      <c r="AI30" s="3">
        <v>36068</v>
      </c>
    </row>
    <row r="31" spans="1:35" x14ac:dyDescent="0.3">
      <c r="A31" s="1" t="s">
        <v>121</v>
      </c>
      <c r="B31" s="3">
        <v>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row>
    <row r="32" spans="1:35" s="6" customFormat="1" x14ac:dyDescent="0.3">
      <c r="A32" s="6" t="s">
        <v>122</v>
      </c>
      <c r="B32" s="7">
        <f t="shared" ref="B32:C32" si="20">+SUM(B23:B31)</f>
        <v>1743994</v>
      </c>
      <c r="C32" s="7">
        <f t="shared" si="20"/>
        <v>1878846</v>
      </c>
      <c r="D32" s="7">
        <f>+SUM(D23:D31)</f>
        <v>2035244</v>
      </c>
      <c r="E32" s="7">
        <f t="shared" ref="E32:Z32" si="21">+SUM(E23:E31)</f>
        <v>25966138</v>
      </c>
      <c r="F32" s="7">
        <f t="shared" si="21"/>
        <v>591075</v>
      </c>
      <c r="G32" s="7">
        <f t="shared" si="21"/>
        <v>539171</v>
      </c>
      <c r="H32" s="7">
        <f t="shared" si="21"/>
        <v>891498</v>
      </c>
      <c r="I32" s="7">
        <f t="shared" si="21"/>
        <v>841064</v>
      </c>
      <c r="J32" s="7">
        <f t="shared" si="21"/>
        <v>668979</v>
      </c>
      <c r="K32" s="7">
        <f t="shared" si="21"/>
        <v>619801</v>
      </c>
      <c r="L32" s="7">
        <f t="shared" si="21"/>
        <v>791458</v>
      </c>
      <c r="M32" s="7">
        <f t="shared" si="21"/>
        <v>800908</v>
      </c>
      <c r="N32" s="7">
        <f t="shared" si="21"/>
        <v>990645</v>
      </c>
      <c r="O32" s="7">
        <f t="shared" si="21"/>
        <v>950042</v>
      </c>
      <c r="P32" s="7">
        <f t="shared" si="21"/>
        <v>591498</v>
      </c>
      <c r="Q32" s="7">
        <f t="shared" si="21"/>
        <v>416526</v>
      </c>
      <c r="R32" s="7">
        <f t="shared" si="21"/>
        <v>700817</v>
      </c>
      <c r="S32" s="7">
        <f t="shared" si="21"/>
        <v>503640</v>
      </c>
      <c r="T32" s="7">
        <f t="shared" si="21"/>
        <v>303899</v>
      </c>
      <c r="U32" s="7">
        <f t="shared" si="21"/>
        <v>315173</v>
      </c>
      <c r="V32" s="7">
        <f t="shared" si="21"/>
        <v>259007</v>
      </c>
      <c r="W32" s="7">
        <f t="shared" si="21"/>
        <v>614801</v>
      </c>
      <c r="X32" s="7">
        <f t="shared" si="21"/>
        <v>277440</v>
      </c>
      <c r="Y32" s="7">
        <f t="shared" si="21"/>
        <v>288594</v>
      </c>
      <c r="Z32" s="7">
        <f t="shared" si="21"/>
        <v>476049</v>
      </c>
      <c r="AA32" s="7">
        <f t="shared" ref="AA32:AB32" si="22">+SUM(AA23:AA31)</f>
        <v>543595</v>
      </c>
      <c r="AB32" s="7">
        <f t="shared" si="22"/>
        <v>301992</v>
      </c>
      <c r="AC32" s="7">
        <f t="shared" ref="AC32:AD32" si="23">+SUM(AC23:AC31)</f>
        <v>492163</v>
      </c>
      <c r="AD32" s="7">
        <f t="shared" si="23"/>
        <v>281071</v>
      </c>
      <c r="AE32" s="7">
        <f t="shared" ref="AE32:AF32" si="24">+SUM(AE23:AE31)</f>
        <v>518033</v>
      </c>
      <c r="AF32" s="7">
        <f t="shared" si="24"/>
        <v>177482</v>
      </c>
      <c r="AG32" s="7">
        <f t="shared" ref="AG32:AH32" si="25">+SUM(AG23:AG31)</f>
        <v>386513</v>
      </c>
      <c r="AH32" s="7">
        <f t="shared" si="25"/>
        <v>173165</v>
      </c>
      <c r="AI32" s="7">
        <f t="shared" ref="AI32" si="26">+SUM(AI23:AI31)</f>
        <v>506575</v>
      </c>
    </row>
    <row r="33" spans="1:35" x14ac:dyDescent="0.3">
      <c r="A33" s="1" t="s">
        <v>27</v>
      </c>
      <c r="B33" s="3"/>
      <c r="C33" s="3"/>
      <c r="D33" s="3"/>
      <c r="E33" s="3"/>
      <c r="F33" s="3"/>
      <c r="G33" s="3"/>
      <c r="H33" s="3"/>
      <c r="I33" s="3"/>
      <c r="J33" s="3"/>
      <c r="K33" s="3"/>
      <c r="L33" s="3"/>
      <c r="M33" s="3"/>
      <c r="N33" s="3"/>
      <c r="O33" s="3"/>
      <c r="P33" s="3"/>
      <c r="Q33" s="3"/>
      <c r="R33" s="3"/>
      <c r="S33" s="3"/>
      <c r="T33" s="3"/>
      <c r="U33" s="3"/>
      <c r="V33" s="3"/>
    </row>
    <row r="34" spans="1:35" x14ac:dyDescent="0.3">
      <c r="A34" s="1" t="s">
        <v>123</v>
      </c>
      <c r="B34" s="3">
        <v>3539251</v>
      </c>
      <c r="C34" s="3">
        <v>2461760</v>
      </c>
      <c r="D34" s="3">
        <v>1174611</v>
      </c>
      <c r="E34" s="3">
        <v>0</v>
      </c>
      <c r="F34" s="3">
        <v>0</v>
      </c>
      <c r="G34" s="3">
        <v>0</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row>
    <row r="35" spans="1:35" x14ac:dyDescent="0.3">
      <c r="A35" s="1" t="s">
        <v>124</v>
      </c>
      <c r="B35" s="3">
        <v>35411980</v>
      </c>
      <c r="C35" s="3">
        <v>36771105</v>
      </c>
      <c r="D35" s="3">
        <v>37802525</v>
      </c>
      <c r="E35" s="3">
        <v>13542317</v>
      </c>
      <c r="F35" s="3">
        <v>52266567</v>
      </c>
      <c r="G35" s="3">
        <v>52266509</v>
      </c>
      <c r="H35" s="3">
        <v>52906508</v>
      </c>
      <c r="I35" s="3">
        <v>53181873</v>
      </c>
      <c r="J35" s="3">
        <v>53677524</v>
      </c>
      <c r="K35" s="3">
        <v>54222681</v>
      </c>
      <c r="L35" s="3">
        <v>54410316</v>
      </c>
      <c r="M35" s="3">
        <v>54431988</v>
      </c>
      <c r="N35" s="3">
        <v>55119274</v>
      </c>
      <c r="O35" s="3">
        <v>55734434</v>
      </c>
      <c r="P35" s="3">
        <v>56331808</v>
      </c>
      <c r="Q35" s="3">
        <v>57049545</v>
      </c>
      <c r="R35" s="3">
        <v>58762395</v>
      </c>
      <c r="S35" s="3">
        <v>60157900</v>
      </c>
      <c r="T35" s="3">
        <v>62734824</v>
      </c>
      <c r="U35" s="3">
        <v>64955876</v>
      </c>
      <c r="V35" s="3">
        <v>66572747</v>
      </c>
      <c r="W35" s="3">
        <v>67453470</v>
      </c>
      <c r="X35" s="3">
        <v>68428048</v>
      </c>
      <c r="Y35" s="3">
        <v>68632918</v>
      </c>
      <c r="Z35" s="3">
        <v>69755067</v>
      </c>
      <c r="AA35" s="3">
        <v>70331774</v>
      </c>
      <c r="AB35" s="3">
        <v>71238739</v>
      </c>
      <c r="AC35" s="3">
        <v>71880671</v>
      </c>
      <c r="AD35" s="3">
        <v>72840592</v>
      </c>
      <c r="AE35" s="3">
        <v>73745812</v>
      </c>
      <c r="AF35" s="3">
        <v>74452969</v>
      </c>
      <c r="AG35" s="3">
        <v>74867411</v>
      </c>
      <c r="AH35" s="3">
        <v>75326847</v>
      </c>
      <c r="AI35" s="3">
        <v>75542544</v>
      </c>
    </row>
    <row r="36" spans="1:35" x14ac:dyDescent="0.3">
      <c r="A36" s="1" t="s">
        <v>125</v>
      </c>
      <c r="B36" s="3">
        <v>8165225</v>
      </c>
      <c r="C36" s="3">
        <v>8828501</v>
      </c>
      <c r="D36" s="3">
        <v>10122873</v>
      </c>
      <c r="E36" s="3">
        <v>11866115</v>
      </c>
      <c r="F36" s="3">
        <v>14689571</v>
      </c>
      <c r="G36" s="3">
        <v>14822620</v>
      </c>
      <c r="H36" s="3">
        <v>15035394</v>
      </c>
      <c r="I36" s="3">
        <v>19284329</v>
      </c>
      <c r="J36" s="3">
        <v>17997897</v>
      </c>
      <c r="K36" s="3">
        <v>18294423</v>
      </c>
      <c r="L36" s="3">
        <v>18376619</v>
      </c>
      <c r="M36" s="3">
        <v>18804379</v>
      </c>
      <c r="N36" s="3">
        <v>19057120</v>
      </c>
      <c r="O36" s="3">
        <v>19342977</v>
      </c>
      <c r="P36" s="3">
        <v>19571641</v>
      </c>
      <c r="Q36" s="3">
        <v>20174873</v>
      </c>
      <c r="R36" s="3">
        <v>20763366</v>
      </c>
      <c r="S36" s="3">
        <v>21198640</v>
      </c>
      <c r="T36" s="3">
        <v>21876554</v>
      </c>
      <c r="U36" s="3">
        <v>21466297</v>
      </c>
      <c r="V36" s="3">
        <v>21924495</v>
      </c>
      <c r="W36" s="3">
        <v>22239196</v>
      </c>
      <c r="X36" s="3">
        <v>22558029</v>
      </c>
      <c r="Y36" s="3">
        <v>22059624</v>
      </c>
      <c r="Z36" s="3">
        <v>22414171</v>
      </c>
      <c r="AA36" s="3">
        <v>22647170</v>
      </c>
      <c r="AB36" s="3">
        <v>22933461</v>
      </c>
      <c r="AC36" s="3">
        <v>23765356</v>
      </c>
      <c r="AD36" s="3">
        <v>24089250</v>
      </c>
      <c r="AE36" s="3">
        <v>24397760</v>
      </c>
      <c r="AF36" s="3">
        <v>24679633</v>
      </c>
      <c r="AG36" s="3">
        <v>24352704</v>
      </c>
      <c r="AH36" s="3">
        <v>24547739</v>
      </c>
      <c r="AI36" s="3">
        <v>24705484</v>
      </c>
    </row>
    <row r="37" spans="1:35" x14ac:dyDescent="0.3">
      <c r="A37" s="1" t="s">
        <v>126</v>
      </c>
      <c r="B37" s="3">
        <v>338310</v>
      </c>
      <c r="C37" s="3">
        <v>359553</v>
      </c>
      <c r="D37" s="3">
        <v>397300</v>
      </c>
      <c r="E37" s="3">
        <v>422678</v>
      </c>
      <c r="F37" s="3">
        <v>433554</v>
      </c>
      <c r="G37" s="3">
        <v>433554</v>
      </c>
      <c r="H37" s="3">
        <v>440315</v>
      </c>
      <c r="I37" s="3">
        <v>442607</v>
      </c>
      <c r="J37" s="3">
        <v>445373</v>
      </c>
      <c r="K37" s="3">
        <v>449951</v>
      </c>
      <c r="L37" s="3">
        <v>451508</v>
      </c>
      <c r="M37" s="3">
        <v>444737</v>
      </c>
      <c r="N37" s="3">
        <v>256992</v>
      </c>
      <c r="O37" s="3">
        <v>259683</v>
      </c>
      <c r="P37" s="3">
        <v>262466</v>
      </c>
      <c r="Q37" s="3">
        <v>374191</v>
      </c>
      <c r="R37" s="3">
        <v>387803</v>
      </c>
      <c r="S37" s="3">
        <v>397012</v>
      </c>
      <c r="T37" s="3">
        <v>414019</v>
      </c>
      <c r="U37" s="3">
        <v>428677</v>
      </c>
      <c r="V37" s="3">
        <v>519566</v>
      </c>
      <c r="W37" s="3">
        <v>532944</v>
      </c>
      <c r="X37" s="3">
        <v>540644</v>
      </c>
      <c r="Y37" s="3">
        <v>544547</v>
      </c>
      <c r="Z37" s="3">
        <v>441673</v>
      </c>
      <c r="AA37" s="3">
        <v>558026</v>
      </c>
      <c r="AB37" s="3">
        <v>566063</v>
      </c>
      <c r="AC37" s="3">
        <v>482382</v>
      </c>
      <c r="AD37" s="3">
        <v>593941</v>
      </c>
      <c r="AE37" s="3">
        <v>601322</v>
      </c>
      <c r="AF37" s="3">
        <v>596850</v>
      </c>
      <c r="AG37" s="3">
        <v>600173</v>
      </c>
      <c r="AH37" s="3">
        <v>585090</v>
      </c>
      <c r="AI37" s="3">
        <v>617202</v>
      </c>
    </row>
    <row r="38" spans="1:35" s="6" customFormat="1" x14ac:dyDescent="0.3">
      <c r="A38" s="6" t="s">
        <v>28</v>
      </c>
      <c r="B38" s="7">
        <f>+SUM(B33:B37)</f>
        <v>47454766</v>
      </c>
      <c r="C38" s="7">
        <f t="shared" ref="C38:F38" si="27">+SUM(C33:C37)</f>
        <v>48420919</v>
      </c>
      <c r="D38" s="7">
        <f t="shared" si="27"/>
        <v>49497309</v>
      </c>
      <c r="E38" s="7">
        <f t="shared" si="27"/>
        <v>25831110</v>
      </c>
      <c r="F38" s="7">
        <f t="shared" si="27"/>
        <v>67389692</v>
      </c>
      <c r="G38" s="7">
        <f t="shared" ref="G38:Z38" si="28">+SUM(G33:G37)</f>
        <v>67522683</v>
      </c>
      <c r="H38" s="7">
        <f t="shared" si="28"/>
        <v>68382217</v>
      </c>
      <c r="I38" s="7">
        <f t="shared" si="28"/>
        <v>72908809</v>
      </c>
      <c r="J38" s="7">
        <f t="shared" si="28"/>
        <v>72120794</v>
      </c>
      <c r="K38" s="7">
        <f t="shared" si="28"/>
        <v>72967055</v>
      </c>
      <c r="L38" s="7">
        <f t="shared" si="28"/>
        <v>73238443</v>
      </c>
      <c r="M38" s="7">
        <f t="shared" si="28"/>
        <v>73681104</v>
      </c>
      <c r="N38" s="7">
        <f t="shared" si="28"/>
        <v>74433386</v>
      </c>
      <c r="O38" s="7">
        <f t="shared" si="28"/>
        <v>75337094</v>
      </c>
      <c r="P38" s="7">
        <f t="shared" si="28"/>
        <v>76165915</v>
      </c>
      <c r="Q38" s="7">
        <f t="shared" si="28"/>
        <v>77598609</v>
      </c>
      <c r="R38" s="7">
        <f t="shared" si="28"/>
        <v>79913564</v>
      </c>
      <c r="S38" s="7">
        <f t="shared" si="28"/>
        <v>81753552</v>
      </c>
      <c r="T38" s="7">
        <f t="shared" si="28"/>
        <v>85025397</v>
      </c>
      <c r="U38" s="7">
        <f t="shared" si="28"/>
        <v>86850850</v>
      </c>
      <c r="V38" s="7">
        <f t="shared" si="28"/>
        <v>89016808</v>
      </c>
      <c r="W38" s="7">
        <f t="shared" si="28"/>
        <v>90225610</v>
      </c>
      <c r="X38" s="7">
        <f t="shared" si="28"/>
        <v>91526721</v>
      </c>
      <c r="Y38" s="7">
        <f t="shared" si="28"/>
        <v>91237089</v>
      </c>
      <c r="Z38" s="7">
        <f t="shared" si="28"/>
        <v>92610911</v>
      </c>
      <c r="AA38" s="7">
        <f t="shared" ref="AA38:AB38" si="29">+SUM(AA33:AA37)</f>
        <v>93536970</v>
      </c>
      <c r="AB38" s="7">
        <f t="shared" si="29"/>
        <v>94738263</v>
      </c>
      <c r="AC38" s="7">
        <f t="shared" ref="AC38:AD38" si="30">+SUM(AC33:AC37)</f>
        <v>96128409</v>
      </c>
      <c r="AD38" s="7">
        <f t="shared" si="30"/>
        <v>97523783</v>
      </c>
      <c r="AE38" s="7">
        <f t="shared" ref="AE38:AF38" si="31">+SUM(AE33:AE37)</f>
        <v>98744894</v>
      </c>
      <c r="AF38" s="7">
        <f t="shared" si="31"/>
        <v>99729452</v>
      </c>
      <c r="AG38" s="7">
        <f t="shared" ref="AG38:AH38" si="32">+SUM(AG33:AG37)</f>
        <v>99820288</v>
      </c>
      <c r="AH38" s="7">
        <f t="shared" si="32"/>
        <v>100459676</v>
      </c>
      <c r="AI38" s="7">
        <f t="shared" ref="AI38" si="33">+SUM(AI33:AI37)</f>
        <v>100865230</v>
      </c>
    </row>
    <row r="39" spans="1:35" x14ac:dyDescent="0.3">
      <c r="A39" s="6" t="s">
        <v>29</v>
      </c>
      <c r="B39" s="7">
        <f>+B38+B32</f>
        <v>49198760</v>
      </c>
      <c r="C39" s="7">
        <f t="shared" ref="C39:F39" si="34">+C38+C32</f>
        <v>50299765</v>
      </c>
      <c r="D39" s="7">
        <f t="shared" si="34"/>
        <v>51532553</v>
      </c>
      <c r="E39" s="7">
        <f t="shared" si="34"/>
        <v>51797248</v>
      </c>
      <c r="F39" s="7">
        <f t="shared" si="34"/>
        <v>67980767</v>
      </c>
      <c r="G39" s="7">
        <f t="shared" ref="G39:Z39" si="35">+G38+G32</f>
        <v>68061854</v>
      </c>
      <c r="H39" s="7">
        <f t="shared" si="35"/>
        <v>69273715</v>
      </c>
      <c r="I39" s="7">
        <f t="shared" si="35"/>
        <v>73749873</v>
      </c>
      <c r="J39" s="7">
        <f t="shared" si="35"/>
        <v>72789773</v>
      </c>
      <c r="K39" s="7">
        <f t="shared" si="35"/>
        <v>73586856</v>
      </c>
      <c r="L39" s="7">
        <f t="shared" si="35"/>
        <v>74029901</v>
      </c>
      <c r="M39" s="7">
        <f t="shared" si="35"/>
        <v>74482012</v>
      </c>
      <c r="N39" s="7">
        <f t="shared" si="35"/>
        <v>75424031</v>
      </c>
      <c r="O39" s="7">
        <f t="shared" si="35"/>
        <v>76287136</v>
      </c>
      <c r="P39" s="7">
        <f t="shared" si="35"/>
        <v>76757413</v>
      </c>
      <c r="Q39" s="7">
        <f t="shared" si="35"/>
        <v>78015135</v>
      </c>
      <c r="R39" s="7">
        <f t="shared" si="35"/>
        <v>80614381</v>
      </c>
      <c r="S39" s="7">
        <f t="shared" si="35"/>
        <v>82257192</v>
      </c>
      <c r="T39" s="7">
        <f t="shared" si="35"/>
        <v>85329296</v>
      </c>
      <c r="U39" s="7">
        <f t="shared" si="35"/>
        <v>87166023</v>
      </c>
      <c r="V39" s="7">
        <f t="shared" si="35"/>
        <v>89275815</v>
      </c>
      <c r="W39" s="7">
        <f t="shared" si="35"/>
        <v>90840411</v>
      </c>
      <c r="X39" s="7">
        <f t="shared" si="35"/>
        <v>91804161</v>
      </c>
      <c r="Y39" s="7">
        <f t="shared" si="35"/>
        <v>91525683</v>
      </c>
      <c r="Z39" s="7">
        <f t="shared" si="35"/>
        <v>93086960</v>
      </c>
      <c r="AA39" s="7">
        <f t="shared" ref="AA39:AB39" si="36">+AA38+AA32</f>
        <v>94080565</v>
      </c>
      <c r="AB39" s="7">
        <f t="shared" si="36"/>
        <v>95040255</v>
      </c>
      <c r="AC39" s="7">
        <f t="shared" ref="AC39:AD39" si="37">+AC38+AC32</f>
        <v>96620572</v>
      </c>
      <c r="AD39" s="7">
        <f t="shared" si="37"/>
        <v>97804854</v>
      </c>
      <c r="AE39" s="7">
        <f t="shared" ref="AE39:AF39" si="38">+AE38+AE32</f>
        <v>99262927</v>
      </c>
      <c r="AF39" s="7">
        <f t="shared" si="38"/>
        <v>99906934</v>
      </c>
      <c r="AG39" s="7">
        <f t="shared" ref="AG39:AH39" si="39">+AG38+AG32</f>
        <v>100206801</v>
      </c>
      <c r="AH39" s="7">
        <f t="shared" si="39"/>
        <v>100632841</v>
      </c>
      <c r="AI39" s="7">
        <f t="shared" ref="AI39" si="40">+AI38+AI32</f>
        <v>101371805</v>
      </c>
    </row>
    <row r="40" spans="1:35" x14ac:dyDescent="0.3">
      <c r="A40" s="6" t="s">
        <v>127</v>
      </c>
      <c r="B40" s="3"/>
      <c r="C40" s="3"/>
      <c r="D40" s="3"/>
      <c r="E40" s="3"/>
      <c r="F40" s="3"/>
      <c r="G40" s="3"/>
      <c r="H40" s="3"/>
      <c r="I40" s="3"/>
      <c r="J40" s="3"/>
      <c r="K40" s="3"/>
      <c r="L40" s="3"/>
      <c r="M40" s="3"/>
      <c r="N40" s="3"/>
      <c r="O40" s="3"/>
      <c r="P40" s="3"/>
      <c r="Q40" s="3"/>
      <c r="R40" s="3"/>
      <c r="S40" s="3"/>
      <c r="T40" s="3"/>
      <c r="U40" s="3"/>
      <c r="V40" s="3"/>
    </row>
    <row r="41" spans="1:35" x14ac:dyDescent="0.3">
      <c r="A41" s="1" t="s">
        <v>128</v>
      </c>
      <c r="B41" s="3">
        <v>2433748</v>
      </c>
      <c r="C41" s="3">
        <v>2433748</v>
      </c>
      <c r="D41" s="3">
        <v>2433748</v>
      </c>
      <c r="E41" s="3">
        <v>2433748</v>
      </c>
      <c r="F41" s="3">
        <v>2433748</v>
      </c>
      <c r="G41" s="3">
        <v>2433748</v>
      </c>
      <c r="H41" s="3">
        <v>2433748</v>
      </c>
      <c r="I41" s="3">
        <v>2433748</v>
      </c>
      <c r="J41" s="3">
        <v>2433748</v>
      </c>
      <c r="K41" s="3">
        <v>2433748</v>
      </c>
      <c r="L41" s="3">
        <v>2433748</v>
      </c>
      <c r="M41" s="3">
        <v>2433748</v>
      </c>
      <c r="N41" s="3">
        <v>2433748</v>
      </c>
      <c r="O41" s="3">
        <v>2433748</v>
      </c>
      <c r="P41" s="3">
        <v>2433748</v>
      </c>
      <c r="Q41" s="3">
        <v>2433748</v>
      </c>
      <c r="R41" s="3">
        <v>2433748</v>
      </c>
      <c r="S41" s="3">
        <v>2433748</v>
      </c>
      <c r="T41" s="3">
        <v>2433748</v>
      </c>
      <c r="U41" s="3">
        <v>2433748</v>
      </c>
      <c r="V41" s="3">
        <v>2433748</v>
      </c>
      <c r="W41" s="3">
        <v>2433748</v>
      </c>
      <c r="X41" s="3">
        <v>2433748</v>
      </c>
      <c r="Y41" s="3">
        <v>2433748</v>
      </c>
      <c r="Z41" s="3">
        <v>2433748</v>
      </c>
      <c r="AA41" s="3">
        <v>2433748</v>
      </c>
      <c r="AB41" s="3">
        <v>2433748</v>
      </c>
      <c r="AC41" s="3">
        <v>2433748</v>
      </c>
      <c r="AD41" s="3">
        <v>2433748</v>
      </c>
      <c r="AE41" s="3">
        <v>2433748</v>
      </c>
      <c r="AF41" s="3">
        <v>2433748</v>
      </c>
      <c r="AG41" s="3">
        <v>2433748</v>
      </c>
      <c r="AH41" s="3">
        <v>2433748</v>
      </c>
      <c r="AI41" s="3">
        <v>2433748</v>
      </c>
    </row>
    <row r="42" spans="1:35" x14ac:dyDescent="0.3">
      <c r="A42" s="1" t="s">
        <v>32</v>
      </c>
      <c r="B42" s="3">
        <v>0</v>
      </c>
      <c r="C42" s="3">
        <v>0</v>
      </c>
      <c r="D42" s="3">
        <v>0</v>
      </c>
      <c r="E42" s="3">
        <v>0</v>
      </c>
      <c r="F42" s="3">
        <v>-39784</v>
      </c>
      <c r="G42" s="3">
        <v>-39784</v>
      </c>
      <c r="H42" s="3">
        <v>-39784</v>
      </c>
      <c r="I42" s="3">
        <v>-39784</v>
      </c>
      <c r="J42" s="3">
        <v>-39784</v>
      </c>
      <c r="K42" s="3">
        <v>-39784</v>
      </c>
      <c r="L42" s="3">
        <v>-39784</v>
      </c>
      <c r="M42" s="3">
        <v>-39784</v>
      </c>
      <c r="N42" s="3">
        <v>-39784</v>
      </c>
      <c r="O42" s="3">
        <v>-39784</v>
      </c>
      <c r="P42" s="3">
        <v>-39784</v>
      </c>
      <c r="Q42" s="3">
        <v>-39784</v>
      </c>
      <c r="R42" s="3">
        <v>-39784</v>
      </c>
      <c r="S42" s="3">
        <v>-39784</v>
      </c>
      <c r="T42" s="3">
        <v>-39784</v>
      </c>
      <c r="U42" s="3">
        <v>-39784</v>
      </c>
      <c r="V42" s="3">
        <v>-39784</v>
      </c>
      <c r="W42" s="3">
        <v>-39784</v>
      </c>
      <c r="X42" s="3">
        <v>-39784</v>
      </c>
      <c r="Y42" s="3">
        <v>-39784</v>
      </c>
      <c r="Z42" s="3">
        <v>-39784</v>
      </c>
      <c r="AA42" s="3">
        <v>-39784</v>
      </c>
      <c r="AB42" s="3">
        <v>-39784</v>
      </c>
      <c r="AC42" s="3">
        <v>-39784</v>
      </c>
      <c r="AD42" s="3">
        <v>-39784</v>
      </c>
      <c r="AE42" s="3">
        <v>-39784</v>
      </c>
      <c r="AF42" s="3">
        <v>-39784</v>
      </c>
      <c r="AG42" s="3">
        <v>-39784</v>
      </c>
      <c r="AH42" s="3">
        <v>-39784</v>
      </c>
      <c r="AI42" s="3">
        <v>-39784</v>
      </c>
    </row>
    <row r="43" spans="1:35" x14ac:dyDescent="0.3">
      <c r="A43" s="1" t="s">
        <v>33</v>
      </c>
      <c r="B43" s="3">
        <v>23863420</v>
      </c>
      <c r="C43" s="3">
        <v>22494826</v>
      </c>
      <c r="D43" s="3">
        <v>22423221</v>
      </c>
      <c r="E43" s="3">
        <v>23537209</v>
      </c>
      <c r="F43" s="3">
        <v>15564710</v>
      </c>
      <c r="G43" s="3">
        <v>15564618</v>
      </c>
      <c r="H43" s="3">
        <v>15567904</v>
      </c>
      <c r="I43" s="3">
        <v>26544066</v>
      </c>
      <c r="J43" s="3">
        <v>21413556</v>
      </c>
      <c r="K43" s="3">
        <v>21666504</v>
      </c>
      <c r="L43" s="3">
        <v>21412296</v>
      </c>
      <c r="M43" s="3">
        <v>22237044</v>
      </c>
      <c r="N43" s="3">
        <v>22072381</v>
      </c>
      <c r="O43" s="3">
        <v>22326285</v>
      </c>
      <c r="P43" s="3">
        <v>22422929</v>
      </c>
      <c r="Q43" s="3">
        <v>23440139</v>
      </c>
      <c r="R43" s="3">
        <v>23973643</v>
      </c>
      <c r="S43" s="3">
        <v>24814077</v>
      </c>
      <c r="T43" s="3">
        <v>26094266</v>
      </c>
      <c r="U43" s="3">
        <v>24209459</v>
      </c>
      <c r="V43" s="3">
        <v>25225573</v>
      </c>
      <c r="W43" s="3">
        <v>25299874</v>
      </c>
      <c r="X43" s="3">
        <v>25988887</v>
      </c>
      <c r="Y43" s="3">
        <v>23892654</v>
      </c>
      <c r="Z43" s="3">
        <v>24746677</v>
      </c>
      <c r="AA43" s="3">
        <v>24900233</v>
      </c>
      <c r="AB43" s="3">
        <v>25079274</v>
      </c>
      <c r="AC43" s="3">
        <v>26863326</v>
      </c>
      <c r="AD43" s="3">
        <v>27336384</v>
      </c>
      <c r="AE43" s="3">
        <v>27542930</v>
      </c>
      <c r="AF43" s="3">
        <v>28112813</v>
      </c>
      <c r="AG43" s="3">
        <v>26492972</v>
      </c>
      <c r="AH43" s="3">
        <v>26891279</v>
      </c>
      <c r="AI43" s="3">
        <v>27033242</v>
      </c>
    </row>
    <row r="44" spans="1:35" s="6" customFormat="1" x14ac:dyDescent="0.3">
      <c r="A44" s="6" t="s">
        <v>129</v>
      </c>
      <c r="B44" s="7">
        <f t="shared" ref="B44:F44" si="41">+SUM(B40:B43)</f>
        <v>26297168</v>
      </c>
      <c r="C44" s="7">
        <f t="shared" si="41"/>
        <v>24928574</v>
      </c>
      <c r="D44" s="7">
        <f t="shared" si="41"/>
        <v>24856969</v>
      </c>
      <c r="E44" s="7">
        <f t="shared" si="41"/>
        <v>25970957</v>
      </c>
      <c r="F44" s="7">
        <f t="shared" si="41"/>
        <v>17958674</v>
      </c>
      <c r="G44" s="7">
        <f t="shared" ref="G44:Z44" si="42">+SUM(G40:G43)</f>
        <v>17958582</v>
      </c>
      <c r="H44" s="7">
        <f t="shared" si="42"/>
        <v>17961868</v>
      </c>
      <c r="I44" s="7">
        <f t="shared" si="42"/>
        <v>28938030</v>
      </c>
      <c r="J44" s="7">
        <f t="shared" si="42"/>
        <v>23807520</v>
      </c>
      <c r="K44" s="7">
        <f t="shared" si="42"/>
        <v>24060468</v>
      </c>
      <c r="L44" s="7">
        <f t="shared" si="42"/>
        <v>23806260</v>
      </c>
      <c r="M44" s="7">
        <f t="shared" si="42"/>
        <v>24631008</v>
      </c>
      <c r="N44" s="7">
        <f t="shared" si="42"/>
        <v>24466345</v>
      </c>
      <c r="O44" s="7">
        <f t="shared" si="42"/>
        <v>24720249</v>
      </c>
      <c r="P44" s="7">
        <f t="shared" si="42"/>
        <v>24816893</v>
      </c>
      <c r="Q44" s="7">
        <f t="shared" si="42"/>
        <v>25834103</v>
      </c>
      <c r="R44" s="7">
        <f t="shared" si="42"/>
        <v>26367607</v>
      </c>
      <c r="S44" s="7">
        <f t="shared" si="42"/>
        <v>27208041</v>
      </c>
      <c r="T44" s="7">
        <f t="shared" si="42"/>
        <v>28488230</v>
      </c>
      <c r="U44" s="7">
        <f t="shared" si="42"/>
        <v>26603423</v>
      </c>
      <c r="V44" s="7">
        <f t="shared" si="42"/>
        <v>27619537</v>
      </c>
      <c r="W44" s="7">
        <f t="shared" si="42"/>
        <v>27693838</v>
      </c>
      <c r="X44" s="7">
        <f t="shared" si="42"/>
        <v>28382851</v>
      </c>
      <c r="Y44" s="7">
        <f t="shared" si="42"/>
        <v>26286618</v>
      </c>
      <c r="Z44" s="7">
        <f t="shared" si="42"/>
        <v>27140641</v>
      </c>
      <c r="AA44" s="7">
        <f t="shared" ref="AA44:AB44" si="43">+SUM(AA40:AA43)</f>
        <v>27294197</v>
      </c>
      <c r="AB44" s="7">
        <f t="shared" si="43"/>
        <v>27473238</v>
      </c>
      <c r="AC44" s="7">
        <f t="shared" ref="AC44:AD44" si="44">+SUM(AC40:AC43)</f>
        <v>29257290</v>
      </c>
      <c r="AD44" s="7">
        <f t="shared" si="44"/>
        <v>29730348</v>
      </c>
      <c r="AE44" s="7">
        <f t="shared" ref="AE44:AF44" si="45">+SUM(AE40:AE43)</f>
        <v>29936894</v>
      </c>
      <c r="AF44" s="7">
        <f t="shared" si="45"/>
        <v>30506777</v>
      </c>
      <c r="AG44" s="7">
        <f t="shared" ref="AG44:AH44" si="46">+SUM(AG40:AG43)</f>
        <v>28886936</v>
      </c>
      <c r="AH44" s="7">
        <f t="shared" si="46"/>
        <v>29285243</v>
      </c>
      <c r="AI44" s="7">
        <f t="shared" ref="AI44" si="47">+SUM(AI40:AI43)</f>
        <v>29427206</v>
      </c>
    </row>
    <row r="45" spans="1:35"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3">
      <c r="A46" s="6" t="s">
        <v>131</v>
      </c>
      <c r="B46" s="7">
        <f>+B44+B39+B45</f>
        <v>75495928</v>
      </c>
      <c r="C46" s="7">
        <f t="shared" ref="C46:F46" si="48">+C44+C39+C45</f>
        <v>75228339</v>
      </c>
      <c r="D46" s="7">
        <f t="shared" si="48"/>
        <v>76389522</v>
      </c>
      <c r="E46" s="7">
        <f t="shared" si="48"/>
        <v>77768205</v>
      </c>
      <c r="F46" s="7">
        <f t="shared" si="48"/>
        <v>85939441</v>
      </c>
      <c r="G46" s="7">
        <f t="shared" ref="G46:Z46" si="49">+G44+G39+G45</f>
        <v>86020436</v>
      </c>
      <c r="H46" s="7">
        <f t="shared" si="49"/>
        <v>87235583</v>
      </c>
      <c r="I46" s="7">
        <f t="shared" si="49"/>
        <v>102687903</v>
      </c>
      <c r="J46" s="7">
        <f t="shared" si="49"/>
        <v>96597293</v>
      </c>
      <c r="K46" s="7">
        <f t="shared" si="49"/>
        <v>97647324</v>
      </c>
      <c r="L46" s="7">
        <f t="shared" si="49"/>
        <v>97836161</v>
      </c>
      <c r="M46" s="7">
        <f t="shared" si="49"/>
        <v>99113020</v>
      </c>
      <c r="N46" s="7">
        <f t="shared" si="49"/>
        <v>99890376</v>
      </c>
      <c r="O46" s="7">
        <f t="shared" si="49"/>
        <v>101007385</v>
      </c>
      <c r="P46" s="7">
        <f t="shared" si="49"/>
        <v>101574306</v>
      </c>
      <c r="Q46" s="7">
        <f t="shared" si="49"/>
        <v>103849238</v>
      </c>
      <c r="R46" s="7">
        <f t="shared" si="49"/>
        <v>106981988</v>
      </c>
      <c r="S46" s="7">
        <f t="shared" si="49"/>
        <v>109465233</v>
      </c>
      <c r="T46" s="7">
        <f t="shared" si="49"/>
        <v>113817526</v>
      </c>
      <c r="U46" s="7">
        <f t="shared" si="49"/>
        <v>113769446</v>
      </c>
      <c r="V46" s="7">
        <f t="shared" si="49"/>
        <v>116895352</v>
      </c>
      <c r="W46" s="7">
        <f t="shared" si="49"/>
        <v>118534249</v>
      </c>
      <c r="X46" s="7">
        <f t="shared" si="49"/>
        <v>120187012</v>
      </c>
      <c r="Y46" s="7">
        <f t="shared" si="49"/>
        <v>117812301</v>
      </c>
      <c r="Z46" s="7">
        <f t="shared" si="49"/>
        <v>120227601</v>
      </c>
      <c r="AA46" s="7">
        <f t="shared" ref="AA46:AB46" si="50">+AA44+AA39+AA45</f>
        <v>121374762</v>
      </c>
      <c r="AB46" s="7">
        <f t="shared" si="50"/>
        <v>122513493</v>
      </c>
      <c r="AC46" s="7">
        <f t="shared" ref="AC46:AD46" si="51">+AC44+AC39+AC45</f>
        <v>125877862</v>
      </c>
      <c r="AD46" s="7">
        <f t="shared" si="51"/>
        <v>127535202</v>
      </c>
      <c r="AE46" s="7">
        <f t="shared" ref="AE46:AF46" si="52">+AE44+AE39+AE45</f>
        <v>129199821</v>
      </c>
      <c r="AF46" s="7">
        <f t="shared" si="52"/>
        <v>130413711</v>
      </c>
      <c r="AG46" s="7">
        <f t="shared" ref="AG46:AH46" si="53">+AG44+AG39+AG45</f>
        <v>129093737</v>
      </c>
      <c r="AH46" s="7">
        <f t="shared" si="53"/>
        <v>129918084</v>
      </c>
      <c r="AI46" s="7">
        <f t="shared" ref="AI46" si="54">+AI44+AI39+AI45</f>
        <v>130799011</v>
      </c>
    </row>
    <row r="47" spans="1:35" x14ac:dyDescent="0.3">
      <c r="A47" s="1" t="s">
        <v>38</v>
      </c>
      <c r="B47" s="4" t="str">
        <f>IF((+B46-B22)=0,"ok","error")</f>
        <v>ok</v>
      </c>
      <c r="C47" s="4" t="str">
        <f>IF((+C46-C22)=0,"ok","error")</f>
        <v>ok</v>
      </c>
      <c r="D47" s="4" t="str">
        <f t="shared" ref="D47:F47" si="55">IF((+D46-D22)=0,"ok","error")</f>
        <v>ok</v>
      </c>
      <c r="E47" s="4" t="str">
        <f t="shared" si="55"/>
        <v>ok</v>
      </c>
      <c r="F47" s="4" t="str">
        <f t="shared" si="55"/>
        <v>ok</v>
      </c>
      <c r="G47" s="4" t="str">
        <f t="shared" ref="G47:Z47" si="56">IF((+G46-G22)=0,"ok","error")</f>
        <v>ok</v>
      </c>
      <c r="H47" s="4" t="str">
        <f t="shared" si="56"/>
        <v>ok</v>
      </c>
      <c r="I47" s="4" t="str">
        <f t="shared" si="56"/>
        <v>ok</v>
      </c>
      <c r="J47" s="4" t="str">
        <f t="shared" si="56"/>
        <v>ok</v>
      </c>
      <c r="K47" s="4" t="str">
        <f t="shared" si="56"/>
        <v>ok</v>
      </c>
      <c r="L47" s="4" t="str">
        <f t="shared" si="56"/>
        <v>ok</v>
      </c>
      <c r="M47" s="4" t="str">
        <f t="shared" si="56"/>
        <v>ok</v>
      </c>
      <c r="N47" s="4" t="str">
        <f t="shared" si="56"/>
        <v>ok</v>
      </c>
      <c r="O47" s="4" t="str">
        <f t="shared" si="56"/>
        <v>ok</v>
      </c>
      <c r="P47" s="4" t="str">
        <f t="shared" si="56"/>
        <v>ok</v>
      </c>
      <c r="Q47" s="4" t="str">
        <f t="shared" si="56"/>
        <v>ok</v>
      </c>
      <c r="R47" s="4" t="str">
        <f t="shared" si="56"/>
        <v>ok</v>
      </c>
      <c r="S47" s="4" t="str">
        <f t="shared" si="56"/>
        <v>ok</v>
      </c>
      <c r="T47" s="4" t="str">
        <f t="shared" si="56"/>
        <v>ok</v>
      </c>
      <c r="U47" s="4" t="str">
        <f t="shared" si="56"/>
        <v>ok</v>
      </c>
      <c r="V47" s="4" t="str">
        <f t="shared" si="56"/>
        <v>ok</v>
      </c>
      <c r="W47" s="4" t="str">
        <f t="shared" si="56"/>
        <v>ok</v>
      </c>
      <c r="X47" s="4" t="str">
        <f t="shared" si="56"/>
        <v>ok</v>
      </c>
      <c r="Y47" s="4" t="str">
        <f t="shared" si="56"/>
        <v>ok</v>
      </c>
      <c r="Z47" s="4" t="str">
        <f t="shared" si="56"/>
        <v>ok</v>
      </c>
      <c r="AA47" s="4" t="str">
        <f t="shared" ref="AA47:AB47" si="57">IF((+AA46-AA22)=0,"ok","error")</f>
        <v>ok</v>
      </c>
      <c r="AB47" s="4" t="str">
        <f t="shared" si="57"/>
        <v>ok</v>
      </c>
      <c r="AC47" s="4" t="str">
        <f t="shared" ref="AC47:AD47" si="58">IF((+AC46-AC22)=0,"ok","error")</f>
        <v>ok</v>
      </c>
      <c r="AD47" s="4" t="str">
        <f t="shared" si="58"/>
        <v>ok</v>
      </c>
      <c r="AE47" s="4" t="str">
        <f t="shared" ref="AE47:AF47" si="59">IF((+AE46-AE22)=0,"ok","error")</f>
        <v>ok</v>
      </c>
      <c r="AF47" s="4" t="str">
        <f t="shared" si="59"/>
        <v>ok</v>
      </c>
      <c r="AG47" s="4" t="str">
        <f t="shared" ref="AG47:AH47" si="60">IF((+AG46-AG22)=0,"ok","error")</f>
        <v>ok</v>
      </c>
      <c r="AH47" s="4" t="str">
        <f t="shared" si="60"/>
        <v>ok</v>
      </c>
      <c r="AI47" s="4" t="str">
        <f t="shared" ref="AI47" si="61">IF((+AI46-AI22)=0,"ok","error")</f>
        <v>ok</v>
      </c>
    </row>
    <row r="48" spans="1:35"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5" x14ac:dyDescent="0.3">
      <c r="A49" s="1" t="s">
        <v>133</v>
      </c>
      <c r="B49" s="3"/>
      <c r="C49" s="3"/>
      <c r="D49" s="3"/>
      <c r="E49" s="3"/>
      <c r="F49" s="3"/>
      <c r="G49" s="3"/>
      <c r="H49" s="3"/>
      <c r="I49" s="3"/>
      <c r="J49" s="3"/>
      <c r="K49" s="3"/>
      <c r="L49" s="3"/>
      <c r="M49" s="3"/>
      <c r="N49" s="3"/>
      <c r="O49" s="3"/>
      <c r="P49" s="3"/>
      <c r="Q49" s="3"/>
      <c r="R49" s="3"/>
      <c r="S49" s="3"/>
      <c r="T49" s="3"/>
      <c r="U49" s="3"/>
      <c r="V49" s="3"/>
    </row>
    <row r="50" spans="1:35" x14ac:dyDescent="0.3">
      <c r="A50" s="1" t="s">
        <v>134</v>
      </c>
      <c r="B50" s="3">
        <v>5400229</v>
      </c>
      <c r="C50" s="3">
        <v>6010018</v>
      </c>
      <c r="D50" s="3">
        <v>6351310</v>
      </c>
      <c r="E50" s="3">
        <v>6863782</v>
      </c>
      <c r="F50" s="3">
        <v>6838936</v>
      </c>
      <c r="G50" s="3">
        <v>1311059</v>
      </c>
      <c r="H50" s="3">
        <v>2640050</v>
      </c>
      <c r="I50" s="3">
        <v>3979485</v>
      </c>
      <c r="J50" s="3">
        <v>5325764</v>
      </c>
      <c r="K50" s="3">
        <v>1445484</v>
      </c>
      <c r="L50" s="3">
        <v>2803223</v>
      </c>
      <c r="M50" s="3">
        <v>4171736</v>
      </c>
      <c r="N50" s="3">
        <v>5498618</v>
      </c>
      <c r="O50" s="3">
        <v>1286741</v>
      </c>
      <c r="P50" s="3">
        <v>2376791</v>
      </c>
      <c r="Q50" s="3">
        <v>3817325</v>
      </c>
      <c r="R50" s="3">
        <v>5293779</v>
      </c>
      <c r="S50" s="3">
        <v>1525101</v>
      </c>
      <c r="T50" s="3">
        <v>3081404</v>
      </c>
      <c r="U50" s="3">
        <v>4669826</v>
      </c>
      <c r="V50" s="3">
        <v>6335777</v>
      </c>
      <c r="W50" s="3">
        <v>1623019</v>
      </c>
      <c r="X50" s="3">
        <v>3254418</v>
      </c>
      <c r="Y50" s="3">
        <v>5029901</v>
      </c>
      <c r="Z50" s="3">
        <v>6763914</v>
      </c>
      <c r="AA50" s="3">
        <v>1759422</v>
      </c>
      <c r="AB50" s="3">
        <v>3546811</v>
      </c>
      <c r="AC50" s="3">
        <v>5373383</v>
      </c>
      <c r="AD50" s="3">
        <v>7252112</v>
      </c>
      <c r="AE50" s="3">
        <v>1872773</v>
      </c>
      <c r="AF50" s="3">
        <v>3774070</v>
      </c>
      <c r="AG50" s="3">
        <v>5664586</v>
      </c>
      <c r="AH50" s="3">
        <v>7552756</v>
      </c>
      <c r="AI50" s="3">
        <v>1860772</v>
      </c>
    </row>
    <row r="51" spans="1:35" x14ac:dyDescent="0.3">
      <c r="A51" s="1" t="s">
        <v>135</v>
      </c>
      <c r="B51" s="3">
        <v>-572388</v>
      </c>
      <c r="C51" s="3">
        <v>-632595</v>
      </c>
      <c r="D51" s="3">
        <v>-1051708</v>
      </c>
      <c r="E51" s="3">
        <v>-1011182</v>
      </c>
      <c r="F51" s="3">
        <v>-1022501</v>
      </c>
      <c r="G51" s="3">
        <v>-272008</v>
      </c>
      <c r="H51" s="3">
        <v>-545378</v>
      </c>
      <c r="I51" s="3">
        <v>-821476</v>
      </c>
      <c r="J51" s="3">
        <v>-1100189</v>
      </c>
      <c r="K51" s="3">
        <v>-325728</v>
      </c>
      <c r="L51" s="3">
        <v>-662108</v>
      </c>
      <c r="M51" s="3">
        <v>-992901</v>
      </c>
      <c r="N51" s="3">
        <v>-1335484</v>
      </c>
      <c r="O51" s="3">
        <v>-338688</v>
      </c>
      <c r="P51" s="3">
        <v>-704553</v>
      </c>
      <c r="Q51" s="3">
        <v>-1068065</v>
      </c>
      <c r="R51" s="3">
        <v>-1427954</v>
      </c>
      <c r="S51" s="3">
        <v>-367591</v>
      </c>
      <c r="T51" s="3">
        <v>-788641</v>
      </c>
      <c r="U51" s="3">
        <v>-1214902</v>
      </c>
      <c r="V51" s="3">
        <v>-1648478</v>
      </c>
      <c r="W51" s="3">
        <v>-475224</v>
      </c>
      <c r="X51" s="3">
        <v>-953743</v>
      </c>
      <c r="Y51" s="3">
        <v>-1490794</v>
      </c>
      <c r="Z51" s="3">
        <v>-1960294</v>
      </c>
      <c r="AA51" s="3">
        <v>-497990</v>
      </c>
      <c r="AB51" s="3">
        <v>-1024642</v>
      </c>
      <c r="AC51" s="3">
        <v>-1542188</v>
      </c>
      <c r="AD51" s="3">
        <v>-2071572</v>
      </c>
      <c r="AE51" s="3">
        <v>-535576</v>
      </c>
      <c r="AF51" s="3">
        <v>-1087946</v>
      </c>
      <c r="AG51" s="3">
        <v>-1655464</v>
      </c>
      <c r="AH51" s="3">
        <v>-2254368</v>
      </c>
      <c r="AI51" s="3">
        <v>-587536</v>
      </c>
    </row>
    <row r="52" spans="1:35" s="6" customFormat="1" x14ac:dyDescent="0.3">
      <c r="A52" s="6" t="s">
        <v>136</v>
      </c>
      <c r="B52" s="7">
        <f>+SUM(B50:B51)</f>
        <v>4827841</v>
      </c>
      <c r="C52" s="7">
        <f t="shared" ref="C52:Z52" si="62">+SUM(C50:C51)</f>
        <v>5377423</v>
      </c>
      <c r="D52" s="7">
        <f t="shared" si="62"/>
        <v>5299602</v>
      </c>
      <c r="E52" s="7">
        <f t="shared" si="62"/>
        <v>5852600</v>
      </c>
      <c r="F52" s="7">
        <f t="shared" si="62"/>
        <v>5816435</v>
      </c>
      <c r="G52" s="7">
        <f t="shared" si="62"/>
        <v>1039051</v>
      </c>
      <c r="H52" s="7">
        <f t="shared" si="62"/>
        <v>2094672</v>
      </c>
      <c r="I52" s="7">
        <f t="shared" si="62"/>
        <v>3158009</v>
      </c>
      <c r="J52" s="7">
        <f t="shared" si="62"/>
        <v>4225575</v>
      </c>
      <c r="K52" s="7">
        <f t="shared" si="62"/>
        <v>1119756</v>
      </c>
      <c r="L52" s="7">
        <f t="shared" si="62"/>
        <v>2141115</v>
      </c>
      <c r="M52" s="7">
        <f t="shared" si="62"/>
        <v>3178835</v>
      </c>
      <c r="N52" s="7">
        <f t="shared" si="62"/>
        <v>4163134</v>
      </c>
      <c r="O52" s="7">
        <f t="shared" si="62"/>
        <v>948053</v>
      </c>
      <c r="P52" s="7">
        <f t="shared" si="62"/>
        <v>1672238</v>
      </c>
      <c r="Q52" s="7">
        <f t="shared" si="62"/>
        <v>2749260</v>
      </c>
      <c r="R52" s="7">
        <f t="shared" si="62"/>
        <v>3865825</v>
      </c>
      <c r="S52" s="7">
        <f t="shared" si="62"/>
        <v>1157510</v>
      </c>
      <c r="T52" s="7">
        <f t="shared" si="62"/>
        <v>2292763</v>
      </c>
      <c r="U52" s="7">
        <f t="shared" si="62"/>
        <v>3454924</v>
      </c>
      <c r="V52" s="7">
        <f t="shared" si="62"/>
        <v>4687299</v>
      </c>
      <c r="W52" s="7">
        <f t="shared" si="62"/>
        <v>1147795</v>
      </c>
      <c r="X52" s="7">
        <f t="shared" si="62"/>
        <v>2300675</v>
      </c>
      <c r="Y52" s="7">
        <f t="shared" si="62"/>
        <v>3539107</v>
      </c>
      <c r="Z52" s="7">
        <f t="shared" si="62"/>
        <v>4803620</v>
      </c>
      <c r="AA52" s="7">
        <f t="shared" ref="AA52:AB52" si="63">+SUM(AA50:AA51)</f>
        <v>1261432</v>
      </c>
      <c r="AB52" s="7">
        <f t="shared" si="63"/>
        <v>2522169</v>
      </c>
      <c r="AC52" s="7">
        <f t="shared" ref="AC52:AD52" si="64">+SUM(AC50:AC51)</f>
        <v>3831195</v>
      </c>
      <c r="AD52" s="7">
        <f t="shared" si="64"/>
        <v>5180540</v>
      </c>
      <c r="AE52" s="7">
        <f t="shared" ref="AE52:AF52" si="65">+SUM(AE50:AE51)</f>
        <v>1337197</v>
      </c>
      <c r="AF52" s="7">
        <f t="shared" si="65"/>
        <v>2686124</v>
      </c>
      <c r="AG52" s="7">
        <f t="shared" ref="AG52:AH52" si="66">+SUM(AG50:AG51)</f>
        <v>4009122</v>
      </c>
      <c r="AH52" s="7">
        <f t="shared" si="66"/>
        <v>5298388</v>
      </c>
      <c r="AI52" s="7">
        <f t="shared" ref="AI52" si="67">+SUM(AI50:AI51)</f>
        <v>1273236</v>
      </c>
    </row>
    <row r="53" spans="1:35" x14ac:dyDescent="0.3">
      <c r="A53" s="1" t="s">
        <v>137</v>
      </c>
      <c r="B53" s="3">
        <v>0</v>
      </c>
      <c r="C53" s="3">
        <v>0</v>
      </c>
      <c r="D53" s="3">
        <v>18972</v>
      </c>
      <c r="E53" s="3">
        <v>16876</v>
      </c>
      <c r="F53" s="3">
        <v>0</v>
      </c>
      <c r="G53" s="3">
        <v>0</v>
      </c>
      <c r="H53" s="3">
        <v>0</v>
      </c>
      <c r="I53" s="3">
        <v>0</v>
      </c>
      <c r="J53" s="3">
        <v>2426</v>
      </c>
      <c r="K53" s="3">
        <v>0</v>
      </c>
      <c r="L53" s="3">
        <v>0</v>
      </c>
      <c r="M53" s="3">
        <v>0</v>
      </c>
      <c r="N53" s="3">
        <v>0</v>
      </c>
      <c r="O53" s="3">
        <v>0</v>
      </c>
      <c r="P53" s="3">
        <v>1281</v>
      </c>
      <c r="Q53" s="3">
        <v>1281</v>
      </c>
      <c r="R53" s="3">
        <v>1281</v>
      </c>
      <c r="S53" s="3">
        <v>0</v>
      </c>
      <c r="T53" s="3">
        <v>0</v>
      </c>
      <c r="U53" s="3">
        <v>1000</v>
      </c>
      <c r="V53" s="3">
        <v>1000</v>
      </c>
      <c r="W53" s="3">
        <v>0</v>
      </c>
      <c r="X53" s="3">
        <v>0</v>
      </c>
      <c r="Y53" s="3">
        <v>0</v>
      </c>
      <c r="Z53" s="3">
        <v>0</v>
      </c>
      <c r="AA53" s="3">
        <v>0</v>
      </c>
      <c r="AB53" s="3">
        <v>0</v>
      </c>
      <c r="AC53" s="3">
        <v>0</v>
      </c>
      <c r="AD53" s="3">
        <v>0</v>
      </c>
      <c r="AE53" s="3">
        <v>0</v>
      </c>
      <c r="AF53" s="3">
        <v>0</v>
      </c>
      <c r="AG53" s="3">
        <v>105783</v>
      </c>
      <c r="AH53" s="3">
        <v>105781</v>
      </c>
      <c r="AI53" s="3">
        <v>0</v>
      </c>
    </row>
    <row r="54" spans="1:35" x14ac:dyDescent="0.3">
      <c r="A54" s="1" t="s">
        <v>138</v>
      </c>
      <c r="B54" s="3">
        <v>-65342</v>
      </c>
      <c r="C54" s="3">
        <v>-49572</v>
      </c>
      <c r="D54" s="3">
        <v>-58050</v>
      </c>
      <c r="E54" s="3">
        <v>-51822</v>
      </c>
      <c r="F54" s="3">
        <v>-57339</v>
      </c>
      <c r="G54" s="3">
        <v>-13938</v>
      </c>
      <c r="H54" s="3">
        <v>-30817</v>
      </c>
      <c r="I54" s="3">
        <v>-42853</v>
      </c>
      <c r="J54" s="3">
        <v>-55786</v>
      </c>
      <c r="K54" s="3">
        <v>-11730</v>
      </c>
      <c r="L54" s="3">
        <v>-25675</v>
      </c>
      <c r="M54" s="3">
        <v>-60818</v>
      </c>
      <c r="N54" s="3">
        <v>-90508</v>
      </c>
      <c r="O54" s="3">
        <v>-11575</v>
      </c>
      <c r="P54" s="3">
        <v>9845</v>
      </c>
      <c r="Q54" s="3">
        <v>-6686</v>
      </c>
      <c r="R54" s="3">
        <v>-19452</v>
      </c>
      <c r="S54" s="3">
        <v>-9939</v>
      </c>
      <c r="T54" s="3">
        <v>-19232</v>
      </c>
      <c r="U54" s="3">
        <v>-28807</v>
      </c>
      <c r="V54" s="3">
        <v>-48495</v>
      </c>
      <c r="W54" s="3">
        <v>265</v>
      </c>
      <c r="X54" s="3">
        <v>-12154</v>
      </c>
      <c r="Y54" s="3">
        <v>-21257</v>
      </c>
      <c r="Z54" s="3">
        <v>-39254</v>
      </c>
      <c r="AA54" s="3">
        <v>-9423</v>
      </c>
      <c r="AB54" s="3">
        <v>-18111</v>
      </c>
      <c r="AC54" s="3">
        <v>-28097</v>
      </c>
      <c r="AD54" s="3">
        <v>-38909</v>
      </c>
      <c r="AE54" s="3">
        <v>-8142</v>
      </c>
      <c r="AF54" s="3">
        <v>-102469</v>
      </c>
      <c r="AG54" s="3">
        <v>-141594</v>
      </c>
      <c r="AH54" s="3">
        <v>-196224</v>
      </c>
      <c r="AI54" s="3">
        <v>-35143</v>
      </c>
    </row>
    <row r="55" spans="1:35" x14ac:dyDescent="0.3">
      <c r="A55" s="1" t="s">
        <v>139</v>
      </c>
      <c r="B55" s="3">
        <v>0</v>
      </c>
      <c r="C55" s="3">
        <v>0</v>
      </c>
      <c r="D55" s="3">
        <v>0</v>
      </c>
      <c r="E55" s="3">
        <v>-45947</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c r="AI55" s="3">
        <v>0</v>
      </c>
    </row>
    <row r="56" spans="1:35" x14ac:dyDescent="0.3">
      <c r="A56" s="1" t="s">
        <v>140</v>
      </c>
      <c r="B56" s="3">
        <v>0</v>
      </c>
      <c r="C56" s="3">
        <v>0</v>
      </c>
      <c r="D56" s="3">
        <v>0</v>
      </c>
      <c r="E56" s="3">
        <v>0</v>
      </c>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f>105774</f>
        <v>105774</v>
      </c>
      <c r="AG56" s="3">
        <v>0</v>
      </c>
      <c r="AH56" s="3">
        <v>0</v>
      </c>
      <c r="AI56" s="3">
        <v>0</v>
      </c>
    </row>
    <row r="57" spans="1:35" s="6" customFormat="1" x14ac:dyDescent="0.3">
      <c r="A57" s="6" t="s">
        <v>141</v>
      </c>
      <c r="B57" s="7">
        <f>+SUM(B52:B56)</f>
        <v>4762499</v>
      </c>
      <c r="C57" s="7">
        <f t="shared" ref="C57:Z57" si="68">+SUM(C52:C56)</f>
        <v>5327851</v>
      </c>
      <c r="D57" s="7">
        <f t="shared" si="68"/>
        <v>5260524</v>
      </c>
      <c r="E57" s="7">
        <f t="shared" si="68"/>
        <v>5771707</v>
      </c>
      <c r="F57" s="7">
        <f t="shared" si="68"/>
        <v>5759096</v>
      </c>
      <c r="G57" s="7">
        <f t="shared" si="68"/>
        <v>1025113</v>
      </c>
      <c r="H57" s="7">
        <f t="shared" si="68"/>
        <v>2063855</v>
      </c>
      <c r="I57" s="7">
        <f t="shared" si="68"/>
        <v>3115156</v>
      </c>
      <c r="J57" s="7">
        <f t="shared" si="68"/>
        <v>4172215</v>
      </c>
      <c r="K57" s="7">
        <f t="shared" si="68"/>
        <v>1108026</v>
      </c>
      <c r="L57" s="7">
        <f t="shared" si="68"/>
        <v>2115440</v>
      </c>
      <c r="M57" s="7">
        <f t="shared" si="68"/>
        <v>3118017</v>
      </c>
      <c r="N57" s="7">
        <f t="shared" si="68"/>
        <v>4072626</v>
      </c>
      <c r="O57" s="7">
        <f t="shared" si="68"/>
        <v>936478</v>
      </c>
      <c r="P57" s="7">
        <f t="shared" si="68"/>
        <v>1683364</v>
      </c>
      <c r="Q57" s="7">
        <f t="shared" si="68"/>
        <v>2743855</v>
      </c>
      <c r="R57" s="7">
        <f t="shared" si="68"/>
        <v>3847654</v>
      </c>
      <c r="S57" s="7">
        <f t="shared" si="68"/>
        <v>1147571</v>
      </c>
      <c r="T57" s="7">
        <f t="shared" si="68"/>
        <v>2273531</v>
      </c>
      <c r="U57" s="7">
        <f t="shared" si="68"/>
        <v>3427117</v>
      </c>
      <c r="V57" s="7">
        <f t="shared" si="68"/>
        <v>4639804</v>
      </c>
      <c r="W57" s="7">
        <f t="shared" si="68"/>
        <v>1148060</v>
      </c>
      <c r="X57" s="7">
        <f t="shared" si="68"/>
        <v>2288521</v>
      </c>
      <c r="Y57" s="7">
        <f t="shared" si="68"/>
        <v>3517850</v>
      </c>
      <c r="Z57" s="7">
        <f t="shared" si="68"/>
        <v>4764366</v>
      </c>
      <c r="AA57" s="7">
        <f t="shared" ref="AA57:AB57" si="69">+SUM(AA52:AA56)</f>
        <v>1252009</v>
      </c>
      <c r="AB57" s="7">
        <f t="shared" si="69"/>
        <v>2504058</v>
      </c>
      <c r="AC57" s="7">
        <f t="shared" ref="AC57:AD57" si="70">+SUM(AC52:AC56)</f>
        <v>3803098</v>
      </c>
      <c r="AD57" s="7">
        <f t="shared" si="70"/>
        <v>5141631</v>
      </c>
      <c r="AE57" s="7">
        <f t="shared" ref="AE57:AF57" si="71">+SUM(AE52:AE56)</f>
        <v>1329055</v>
      </c>
      <c r="AF57" s="7">
        <f t="shared" si="71"/>
        <v>2689429</v>
      </c>
      <c r="AG57" s="7">
        <f t="shared" ref="AG57:AH57" si="72">+SUM(AG52:AG56)</f>
        <v>3973311</v>
      </c>
      <c r="AH57" s="7">
        <f t="shared" si="72"/>
        <v>5207945</v>
      </c>
      <c r="AI57" s="7">
        <f t="shared" ref="AI57" si="73">+SUM(AI52:AI56)</f>
        <v>1238093</v>
      </c>
    </row>
    <row r="58" spans="1:35" x14ac:dyDescent="0.3">
      <c r="A58" s="1" t="s">
        <v>142</v>
      </c>
      <c r="B58" s="3">
        <v>41499</v>
      </c>
      <c r="C58" s="3">
        <v>67354</v>
      </c>
      <c r="D58" s="3">
        <v>64515</v>
      </c>
      <c r="E58" s="3">
        <v>63712</v>
      </c>
      <c r="F58" s="3">
        <v>28211</v>
      </c>
      <c r="G58" s="3">
        <v>8624</v>
      </c>
      <c r="H58" s="3">
        <v>22332</v>
      </c>
      <c r="I58" s="3">
        <v>36108</v>
      </c>
      <c r="J58" s="3">
        <v>46809</v>
      </c>
      <c r="K58" s="3">
        <v>6026</v>
      </c>
      <c r="L58" s="3">
        <v>19690</v>
      </c>
      <c r="M58" s="3">
        <v>23100</v>
      </c>
      <c r="N58" s="3">
        <v>26773</v>
      </c>
      <c r="O58" s="3">
        <v>3258</v>
      </c>
      <c r="P58" s="3">
        <v>6621</v>
      </c>
      <c r="Q58" s="3">
        <v>10269</v>
      </c>
      <c r="R58" s="3">
        <v>17740</v>
      </c>
      <c r="S58" s="3">
        <v>6270</v>
      </c>
      <c r="T58" s="3">
        <v>11632</v>
      </c>
      <c r="U58" s="3">
        <v>21950</v>
      </c>
      <c r="V58" s="3">
        <v>29959</v>
      </c>
      <c r="W58" s="3">
        <v>21218</v>
      </c>
      <c r="X58" s="3">
        <v>35842</v>
      </c>
      <c r="Y58" s="3">
        <v>56701</v>
      </c>
      <c r="Z58" s="3">
        <v>68160</v>
      </c>
      <c r="AA58" s="3">
        <v>9348</v>
      </c>
      <c r="AB58" s="3">
        <v>14471</v>
      </c>
      <c r="AC58" s="3">
        <v>20856</v>
      </c>
      <c r="AD58" s="3">
        <v>27469</v>
      </c>
      <c r="AE58" s="3">
        <v>6535</v>
      </c>
      <c r="AF58" s="3">
        <v>11704</v>
      </c>
      <c r="AG58" s="3">
        <v>16830</v>
      </c>
      <c r="AH58" s="3">
        <v>22469</v>
      </c>
      <c r="AI58" s="3">
        <v>5054</v>
      </c>
    </row>
    <row r="59" spans="1:35" x14ac:dyDescent="0.3">
      <c r="A59" s="1" t="s">
        <v>143</v>
      </c>
      <c r="B59" s="3">
        <v>-2276177</v>
      </c>
      <c r="C59" s="3">
        <v>-1638780</v>
      </c>
      <c r="D59" s="3">
        <v>-1655125</v>
      </c>
      <c r="E59" s="3">
        <v>-1618718</v>
      </c>
      <c r="F59" s="3">
        <v>-1968674</v>
      </c>
      <c r="G59" s="3">
        <v>-540900</v>
      </c>
      <c r="H59" s="3">
        <v>-1091937</v>
      </c>
      <c r="I59" s="3">
        <v>-1654198</v>
      </c>
      <c r="J59" s="3">
        <v>-2193145</v>
      </c>
      <c r="K59" s="3">
        <v>-398636</v>
      </c>
      <c r="L59" s="3">
        <v>-800558</v>
      </c>
      <c r="M59" s="3">
        <v>-1206661</v>
      </c>
      <c r="N59" s="3">
        <v>-1616933</v>
      </c>
      <c r="O59" s="3">
        <v>-366687</v>
      </c>
      <c r="P59" s="3">
        <v>-741729</v>
      </c>
      <c r="Q59" s="3">
        <v>-1124983</v>
      </c>
      <c r="R59" s="3">
        <v>-1518333</v>
      </c>
      <c r="S59" s="3">
        <v>-661705</v>
      </c>
      <c r="T59" s="3">
        <v>-1355328</v>
      </c>
      <c r="U59" s="3">
        <v>-2082022</v>
      </c>
      <c r="V59" s="3">
        <v>-2830380</v>
      </c>
      <c r="W59" s="3">
        <v>-631585</v>
      </c>
      <c r="X59" s="3">
        <v>-1279764</v>
      </c>
      <c r="Y59" s="3">
        <v>-1937568</v>
      </c>
      <c r="Z59" s="3">
        <v>-2603670</v>
      </c>
      <c r="AA59" s="3">
        <v>-768289</v>
      </c>
      <c r="AB59" s="3">
        <v>-1547600</v>
      </c>
      <c r="AC59" s="3">
        <v>-2342247</v>
      </c>
      <c r="AD59" s="3">
        <v>-3146693</v>
      </c>
      <c r="AE59" s="3">
        <v>-775669</v>
      </c>
      <c r="AF59" s="3">
        <v>-1570825</v>
      </c>
      <c r="AG59" s="3">
        <v>-2378213</v>
      </c>
      <c r="AH59" s="3">
        <v>-3191938</v>
      </c>
      <c r="AI59" s="3">
        <v>-797114</v>
      </c>
    </row>
    <row r="60" spans="1:35" ht="28.8" x14ac:dyDescent="0.3">
      <c r="A60" s="5" t="s">
        <v>144</v>
      </c>
      <c r="B60" s="3">
        <v>0</v>
      </c>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row>
    <row r="61" spans="1:35" x14ac:dyDescent="0.3">
      <c r="A61" s="1" t="s">
        <v>145</v>
      </c>
      <c r="B61" s="3">
        <v>0</v>
      </c>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c r="AI61" s="3">
        <v>0</v>
      </c>
    </row>
    <row r="62" spans="1:35" x14ac:dyDescent="0.3">
      <c r="A62" s="1" t="s">
        <v>146</v>
      </c>
      <c r="B62" s="3">
        <v>-1897686</v>
      </c>
      <c r="C62" s="3">
        <v>-1494323</v>
      </c>
      <c r="D62" s="3">
        <v>-1052525</v>
      </c>
      <c r="E62" s="3">
        <v>-639643</v>
      </c>
      <c r="F62" s="3">
        <v>-1316785</v>
      </c>
      <c r="G62" s="3">
        <v>27</v>
      </c>
      <c r="H62" s="3">
        <v>-625363</v>
      </c>
      <c r="I62" s="3">
        <v>-897834</v>
      </c>
      <c r="J62" s="3">
        <v>-1385727</v>
      </c>
      <c r="K62" s="3">
        <v>-539067</v>
      </c>
      <c r="L62" s="3">
        <v>-725793</v>
      </c>
      <c r="M62" s="3">
        <v>-747163</v>
      </c>
      <c r="N62" s="3">
        <v>-1432135</v>
      </c>
      <c r="O62" s="3">
        <v>-614307</v>
      </c>
      <c r="P62" s="3">
        <v>-1210791</v>
      </c>
      <c r="Q62" s="3">
        <v>-1929119</v>
      </c>
      <c r="R62" s="3">
        <v>-3644149</v>
      </c>
      <c r="S62" s="3">
        <v>-1396882</v>
      </c>
      <c r="T62" s="3">
        <v>-3975415</v>
      </c>
      <c r="U62" s="3">
        <v>-6211661</v>
      </c>
      <c r="V62" s="3">
        <v>-7839592</v>
      </c>
      <c r="W62" s="3">
        <v>-869198</v>
      </c>
      <c r="X62" s="3">
        <v>-1843276</v>
      </c>
      <c r="Y62" s="3">
        <v>-2049365</v>
      </c>
      <c r="Z62" s="3">
        <v>-3178924</v>
      </c>
      <c r="AA62" s="3">
        <v>-580753</v>
      </c>
      <c r="AB62" s="3">
        <v>-1493934</v>
      </c>
      <c r="AC62" s="3">
        <v>-2139566</v>
      </c>
      <c r="AD62" s="3">
        <v>-3106266</v>
      </c>
      <c r="AE62" s="3">
        <v>-909362</v>
      </c>
      <c r="AF62" s="3">
        <v>-1619727</v>
      </c>
      <c r="AG62" s="3">
        <v>-2035689</v>
      </c>
      <c r="AH62" s="3">
        <v>-2496214</v>
      </c>
      <c r="AI62" s="3">
        <v>-216791</v>
      </c>
    </row>
    <row r="63" spans="1:35" x14ac:dyDescent="0.3">
      <c r="A63" s="1" t="s">
        <v>147</v>
      </c>
      <c r="B63" s="3">
        <v>3607729</v>
      </c>
      <c r="C63" s="3">
        <v>401471</v>
      </c>
      <c r="D63" s="3">
        <v>-202151</v>
      </c>
      <c r="E63" s="3">
        <v>3514853</v>
      </c>
      <c r="F63" s="3">
        <v>8556088</v>
      </c>
      <c r="G63" s="3">
        <v>-90</v>
      </c>
      <c r="H63" s="3">
        <v>1015823</v>
      </c>
      <c r="I63" s="3">
        <v>16456398</v>
      </c>
      <c r="J63" s="3">
        <v>11874500</v>
      </c>
      <c r="K63" s="3">
        <v>963218</v>
      </c>
      <c r="L63" s="3">
        <v>1294743</v>
      </c>
      <c r="M63" s="3">
        <v>2490582</v>
      </c>
      <c r="N63" s="3">
        <v>3719538</v>
      </c>
      <c r="O63" s="3">
        <v>1099985</v>
      </c>
      <c r="P63" s="3">
        <v>2168168</v>
      </c>
      <c r="Q63" s="3">
        <v>4439587</v>
      </c>
      <c r="R63" s="3">
        <v>7532047</v>
      </c>
      <c r="S63" s="3">
        <v>2519511</v>
      </c>
      <c r="T63" s="3">
        <v>7172015</v>
      </c>
      <c r="U63" s="3">
        <v>7437139</v>
      </c>
      <c r="V63" s="3">
        <v>10263097</v>
      </c>
      <c r="W63" s="3">
        <v>1539323</v>
      </c>
      <c r="X63" s="3">
        <v>3242686</v>
      </c>
      <c r="Y63" s="3">
        <v>1020597</v>
      </c>
      <c r="Z63" s="3">
        <v>2916777</v>
      </c>
      <c r="AA63" s="3">
        <v>986286</v>
      </c>
      <c r="AB63" s="3">
        <v>2537378</v>
      </c>
      <c r="AC63" s="3">
        <v>5788694</v>
      </c>
      <c r="AD63" s="3">
        <v>7463723</v>
      </c>
      <c r="AE63" s="3">
        <v>1579518</v>
      </c>
      <c r="AF63" s="3">
        <v>2813436</v>
      </c>
      <c r="AG63" s="3">
        <v>1435302</v>
      </c>
      <c r="AH63" s="3">
        <v>2224077</v>
      </c>
      <c r="AI63" s="3">
        <v>370315</v>
      </c>
    </row>
    <row r="64" spans="1:35" s="6" customFormat="1" x14ac:dyDescent="0.3">
      <c r="A64" s="6" t="s">
        <v>148</v>
      </c>
      <c r="B64" s="7">
        <f>+SUM(B57:B63)</f>
        <v>4237864</v>
      </c>
      <c r="C64" s="7">
        <f t="shared" ref="C64:Z64" si="74">+SUM(C57:C63)</f>
        <v>2663573</v>
      </c>
      <c r="D64" s="7">
        <f t="shared" si="74"/>
        <v>2415238</v>
      </c>
      <c r="E64" s="7">
        <f t="shared" si="74"/>
        <v>7091911</v>
      </c>
      <c r="F64" s="7">
        <f t="shared" si="74"/>
        <v>11057936</v>
      </c>
      <c r="G64" s="7">
        <f t="shared" si="74"/>
        <v>492774</v>
      </c>
      <c r="H64" s="7">
        <f t="shared" si="74"/>
        <v>1384710</v>
      </c>
      <c r="I64" s="7">
        <f t="shared" si="74"/>
        <v>17055630</v>
      </c>
      <c r="J64" s="7">
        <f t="shared" si="74"/>
        <v>12514652</v>
      </c>
      <c r="K64" s="7">
        <f t="shared" si="74"/>
        <v>1139567</v>
      </c>
      <c r="L64" s="7">
        <f t="shared" si="74"/>
        <v>1903522</v>
      </c>
      <c r="M64" s="7">
        <f t="shared" si="74"/>
        <v>3677875</v>
      </c>
      <c r="N64" s="7">
        <f t="shared" si="74"/>
        <v>4769869</v>
      </c>
      <c r="O64" s="7">
        <f t="shared" si="74"/>
        <v>1058727</v>
      </c>
      <c r="P64" s="7">
        <f t="shared" si="74"/>
        <v>1905633</v>
      </c>
      <c r="Q64" s="7">
        <f t="shared" si="74"/>
        <v>4139609</v>
      </c>
      <c r="R64" s="7">
        <f t="shared" si="74"/>
        <v>6234959</v>
      </c>
      <c r="S64" s="7">
        <f t="shared" si="74"/>
        <v>1614765</v>
      </c>
      <c r="T64" s="7">
        <f t="shared" si="74"/>
        <v>4126435</v>
      </c>
      <c r="U64" s="7">
        <f t="shared" si="74"/>
        <v>2592523</v>
      </c>
      <c r="V64" s="7">
        <f t="shared" si="74"/>
        <v>4262888</v>
      </c>
      <c r="W64" s="7">
        <f t="shared" si="74"/>
        <v>1207818</v>
      </c>
      <c r="X64" s="7">
        <f t="shared" si="74"/>
        <v>2444009</v>
      </c>
      <c r="Y64" s="7">
        <f t="shared" si="74"/>
        <v>608215</v>
      </c>
      <c r="Z64" s="7">
        <f t="shared" si="74"/>
        <v>1966709</v>
      </c>
      <c r="AA64" s="7">
        <f t="shared" ref="AA64:AB64" si="75">+SUM(AA57:AA63)</f>
        <v>898601</v>
      </c>
      <c r="AB64" s="7">
        <f t="shared" si="75"/>
        <v>2014373</v>
      </c>
      <c r="AC64" s="7">
        <f t="shared" ref="AC64:AD64" si="76">+SUM(AC57:AC63)</f>
        <v>5130835</v>
      </c>
      <c r="AD64" s="7">
        <f t="shared" si="76"/>
        <v>6379864</v>
      </c>
      <c r="AE64" s="7">
        <f t="shared" ref="AE64:AF64" si="77">+SUM(AE57:AE63)</f>
        <v>1230077</v>
      </c>
      <c r="AF64" s="7">
        <f t="shared" si="77"/>
        <v>2324017</v>
      </c>
      <c r="AG64" s="7">
        <f t="shared" ref="AG64:AH64" si="78">+SUM(AG57:AG63)</f>
        <v>1011541</v>
      </c>
      <c r="AH64" s="7">
        <f t="shared" si="78"/>
        <v>1766339</v>
      </c>
      <c r="AI64" s="7">
        <f t="shared" ref="AI64" si="79">+SUM(AI57:AI63)</f>
        <v>599557</v>
      </c>
    </row>
    <row r="65" spans="1:35" x14ac:dyDescent="0.3">
      <c r="A65" s="1" t="s">
        <v>149</v>
      </c>
      <c r="B65" s="3">
        <v>-997572</v>
      </c>
      <c r="C65" s="3">
        <v>-663276</v>
      </c>
      <c r="D65" s="3">
        <v>-1294373</v>
      </c>
      <c r="E65" s="3">
        <v>-1959966</v>
      </c>
      <c r="F65" s="3">
        <v>-2987283</v>
      </c>
      <c r="G65" s="3">
        <v>-133049</v>
      </c>
      <c r="H65" s="3">
        <v>-479667</v>
      </c>
      <c r="I65" s="3">
        <v>-4710815</v>
      </c>
      <c r="J65" s="3">
        <v>-3485115</v>
      </c>
      <c r="K65" s="3">
        <v>-307683</v>
      </c>
      <c r="L65" s="3">
        <v>-513951</v>
      </c>
      <c r="M65" s="3">
        <v>-993026</v>
      </c>
      <c r="N65" s="3">
        <v>-1287864</v>
      </c>
      <c r="O65" s="3">
        <v>-285856</v>
      </c>
      <c r="P65" s="3">
        <v>-517151</v>
      </c>
      <c r="Q65" s="3">
        <v>-1120382</v>
      </c>
      <c r="R65" s="3">
        <v>-1708876</v>
      </c>
      <c r="S65" s="3">
        <v>-435273</v>
      </c>
      <c r="T65" s="3">
        <v>-1113189</v>
      </c>
      <c r="U65" s="3">
        <v>-702932</v>
      </c>
      <c r="V65" s="3">
        <v>-1161129</v>
      </c>
      <c r="W65" s="3">
        <v>-314702</v>
      </c>
      <c r="X65" s="3">
        <v>-633535</v>
      </c>
      <c r="Y65" s="3">
        <v>-135129</v>
      </c>
      <c r="Z65" s="3">
        <v>-489676</v>
      </c>
      <c r="AA65" s="3">
        <v>-232998</v>
      </c>
      <c r="AB65" s="3">
        <v>-519290</v>
      </c>
      <c r="AC65" s="3">
        <v>-1351185</v>
      </c>
      <c r="AD65" s="3">
        <v>-1675079</v>
      </c>
      <c r="AE65" s="3">
        <v>-308509</v>
      </c>
      <c r="AF65" s="3">
        <v>-590382</v>
      </c>
      <c r="AG65" s="3">
        <v>-263454</v>
      </c>
      <c r="AH65" s="3">
        <v>-458489</v>
      </c>
      <c r="AI65" s="3">
        <v>-157745</v>
      </c>
    </row>
    <row r="66" spans="1:35" x14ac:dyDescent="0.3">
      <c r="A66" s="1" t="s">
        <v>150</v>
      </c>
      <c r="B66" s="7">
        <f>+SUM(B64:B65)</f>
        <v>3240292</v>
      </c>
      <c r="C66" s="7">
        <f t="shared" ref="C66:F66" si="80">+SUM(C64:C65)</f>
        <v>2000297</v>
      </c>
      <c r="D66" s="7">
        <f t="shared" si="80"/>
        <v>1120865</v>
      </c>
      <c r="E66" s="7">
        <f t="shared" si="80"/>
        <v>5131945</v>
      </c>
      <c r="F66" s="7">
        <f t="shared" si="80"/>
        <v>8070653</v>
      </c>
      <c r="G66" s="7">
        <f t="shared" ref="G66:Z66" si="81">+SUM(G64:G65)</f>
        <v>359725</v>
      </c>
      <c r="H66" s="7">
        <f t="shared" si="81"/>
        <v>905043</v>
      </c>
      <c r="I66" s="7">
        <f t="shared" si="81"/>
        <v>12344815</v>
      </c>
      <c r="J66" s="7">
        <f t="shared" si="81"/>
        <v>9029537</v>
      </c>
      <c r="K66" s="7">
        <f t="shared" si="81"/>
        <v>831884</v>
      </c>
      <c r="L66" s="7">
        <f t="shared" si="81"/>
        <v>1389571</v>
      </c>
      <c r="M66" s="7">
        <f t="shared" si="81"/>
        <v>2684849</v>
      </c>
      <c r="N66" s="7">
        <f t="shared" si="81"/>
        <v>3482005</v>
      </c>
      <c r="O66" s="7">
        <f t="shared" si="81"/>
        <v>772871</v>
      </c>
      <c r="P66" s="7">
        <f t="shared" si="81"/>
        <v>1388482</v>
      </c>
      <c r="Q66" s="7">
        <f t="shared" si="81"/>
        <v>3019227</v>
      </c>
      <c r="R66" s="7">
        <f t="shared" si="81"/>
        <v>4526083</v>
      </c>
      <c r="S66" s="7">
        <f t="shared" si="81"/>
        <v>1179492</v>
      </c>
      <c r="T66" s="7">
        <f t="shared" si="81"/>
        <v>3013246</v>
      </c>
      <c r="U66" s="7">
        <f t="shared" si="81"/>
        <v>1889591</v>
      </c>
      <c r="V66" s="7">
        <f t="shared" si="81"/>
        <v>3101759</v>
      </c>
      <c r="W66" s="7">
        <f t="shared" si="81"/>
        <v>893116</v>
      </c>
      <c r="X66" s="7">
        <f t="shared" si="81"/>
        <v>1810474</v>
      </c>
      <c r="Y66" s="7">
        <f t="shared" si="81"/>
        <v>473086</v>
      </c>
      <c r="Z66" s="7">
        <f t="shared" si="81"/>
        <v>1477033</v>
      </c>
      <c r="AA66" s="7">
        <f t="shared" ref="AA66:AB66" si="82">+SUM(AA64:AA65)</f>
        <v>665603</v>
      </c>
      <c r="AB66" s="7">
        <f t="shared" si="82"/>
        <v>1495083</v>
      </c>
      <c r="AC66" s="7">
        <f t="shared" ref="AC66:AD66" si="83">+SUM(AC64:AC65)</f>
        <v>3779650</v>
      </c>
      <c r="AD66" s="7">
        <f t="shared" si="83"/>
        <v>4704785</v>
      </c>
      <c r="AE66" s="7">
        <f t="shared" ref="AE66:AF66" si="84">+SUM(AE64:AE65)</f>
        <v>921568</v>
      </c>
      <c r="AF66" s="7">
        <f t="shared" si="84"/>
        <v>1733635</v>
      </c>
      <c r="AG66" s="7">
        <f t="shared" ref="AG66:AH66" si="85">+SUM(AG64:AG65)</f>
        <v>748087</v>
      </c>
      <c r="AH66" s="7">
        <f t="shared" si="85"/>
        <v>1307850</v>
      </c>
      <c r="AI66" s="7">
        <f t="shared" ref="AI66" si="86">+SUM(AI64:AI65)</f>
        <v>441812</v>
      </c>
    </row>
    <row r="67" spans="1:35" x14ac:dyDescent="0.3">
      <c r="A67" s="1" t="s">
        <v>151</v>
      </c>
      <c r="B67" s="3">
        <v>0</v>
      </c>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row>
    <row r="68" spans="1:35" s="6" customFormat="1" x14ac:dyDescent="0.3">
      <c r="A68" s="6" t="s">
        <v>152</v>
      </c>
      <c r="B68" s="7">
        <f>+SUM(B66:B67)</f>
        <v>3240292</v>
      </c>
      <c r="C68" s="7">
        <f>+SUM(C66:C67)</f>
        <v>2000297</v>
      </c>
      <c r="D68" s="7">
        <f t="shared" ref="D68:F68" si="87">+SUM(D66:D67)</f>
        <v>1120865</v>
      </c>
      <c r="E68" s="7">
        <f t="shared" si="87"/>
        <v>5131945</v>
      </c>
      <c r="F68" s="7">
        <f t="shared" si="87"/>
        <v>8070653</v>
      </c>
      <c r="G68" s="7">
        <f t="shared" ref="G68:Z68" si="88">+SUM(G66:G67)</f>
        <v>359725</v>
      </c>
      <c r="H68" s="7">
        <f t="shared" si="88"/>
        <v>905043</v>
      </c>
      <c r="I68" s="7">
        <f t="shared" si="88"/>
        <v>12344815</v>
      </c>
      <c r="J68" s="7">
        <f t="shared" si="88"/>
        <v>9029537</v>
      </c>
      <c r="K68" s="7">
        <f t="shared" si="88"/>
        <v>831884</v>
      </c>
      <c r="L68" s="7">
        <f t="shared" si="88"/>
        <v>1389571</v>
      </c>
      <c r="M68" s="7">
        <f t="shared" si="88"/>
        <v>2684849</v>
      </c>
      <c r="N68" s="7">
        <f t="shared" si="88"/>
        <v>3482005</v>
      </c>
      <c r="O68" s="7">
        <f t="shared" si="88"/>
        <v>772871</v>
      </c>
      <c r="P68" s="7">
        <f t="shared" si="88"/>
        <v>1388482</v>
      </c>
      <c r="Q68" s="7">
        <f t="shared" si="88"/>
        <v>3019227</v>
      </c>
      <c r="R68" s="7">
        <f t="shared" si="88"/>
        <v>4526083</v>
      </c>
      <c r="S68" s="7">
        <f t="shared" si="88"/>
        <v>1179492</v>
      </c>
      <c r="T68" s="7">
        <f t="shared" si="88"/>
        <v>3013246</v>
      </c>
      <c r="U68" s="7">
        <f t="shared" si="88"/>
        <v>1889591</v>
      </c>
      <c r="V68" s="7">
        <f t="shared" si="88"/>
        <v>3101759</v>
      </c>
      <c r="W68" s="7">
        <f t="shared" si="88"/>
        <v>893116</v>
      </c>
      <c r="X68" s="7">
        <f t="shared" si="88"/>
        <v>1810474</v>
      </c>
      <c r="Y68" s="7">
        <f t="shared" si="88"/>
        <v>473086</v>
      </c>
      <c r="Z68" s="7">
        <f t="shared" si="88"/>
        <v>1477033</v>
      </c>
      <c r="AA68" s="7">
        <f t="shared" ref="AA68:AB68" si="89">+SUM(AA66:AA67)</f>
        <v>665603</v>
      </c>
      <c r="AB68" s="7">
        <f t="shared" si="89"/>
        <v>1495083</v>
      </c>
      <c r="AC68" s="7">
        <f t="shared" ref="AC68:AD68" si="90">+SUM(AC66:AC67)</f>
        <v>3779650</v>
      </c>
      <c r="AD68" s="7">
        <f t="shared" si="90"/>
        <v>4704785</v>
      </c>
      <c r="AE68" s="7">
        <f t="shared" ref="AE68:AF68" si="91">+SUM(AE66:AE67)</f>
        <v>921568</v>
      </c>
      <c r="AF68" s="7">
        <f t="shared" si="91"/>
        <v>1733635</v>
      </c>
      <c r="AG68" s="7">
        <f t="shared" ref="AG68:AH68" si="92">+SUM(AG66:AG67)</f>
        <v>748087</v>
      </c>
      <c r="AH68" s="7">
        <f t="shared" si="92"/>
        <v>1307850</v>
      </c>
      <c r="AI68" s="7">
        <f t="shared" ref="AI68" si="93">+SUM(AI66:AI67)</f>
        <v>441812</v>
      </c>
    </row>
    <row r="71" spans="1:35" x14ac:dyDescent="0.3">
      <c r="A71" s="6" t="s">
        <v>79</v>
      </c>
      <c r="B71" s="3"/>
      <c r="C71" s="3"/>
      <c r="D71" s="3"/>
      <c r="E71" s="3"/>
      <c r="F71" s="3"/>
      <c r="G71" s="3"/>
      <c r="H71" s="3"/>
      <c r="I71" s="3"/>
      <c r="J71" s="3"/>
      <c r="K71" s="3"/>
      <c r="L71" s="3"/>
      <c r="M71" s="3"/>
      <c r="N71" s="3"/>
      <c r="O71" s="3"/>
      <c r="P71" s="3"/>
      <c r="Q71" s="3"/>
      <c r="R71" s="3"/>
      <c r="S71" s="3"/>
      <c r="T71" s="3"/>
      <c r="U71" s="3"/>
      <c r="V71" s="3"/>
    </row>
    <row r="72" spans="1:35" x14ac:dyDescent="0.3">
      <c r="A72" s="1" t="s">
        <v>80</v>
      </c>
      <c r="B72" s="3">
        <v>0</v>
      </c>
      <c r="C72" s="3">
        <v>0</v>
      </c>
      <c r="D72" s="3">
        <v>434124</v>
      </c>
      <c r="E72" s="3">
        <v>497532</v>
      </c>
      <c r="F72" s="3">
        <v>490094</v>
      </c>
      <c r="G72" s="3">
        <v>142656</v>
      </c>
      <c r="H72" s="3">
        <v>240208</v>
      </c>
      <c r="I72" s="3">
        <v>431580</v>
      </c>
      <c r="J72" s="3">
        <v>577660</v>
      </c>
      <c r="K72" s="3">
        <v>159045</v>
      </c>
      <c r="L72" s="3">
        <v>320144</v>
      </c>
      <c r="M72" s="3">
        <v>481236</v>
      </c>
      <c r="N72" s="3">
        <v>643637</v>
      </c>
      <c r="O72" s="3">
        <v>160634</v>
      </c>
      <c r="P72" s="3">
        <v>323128</v>
      </c>
      <c r="Q72" s="3">
        <v>488006</v>
      </c>
      <c r="R72" s="3">
        <v>656153</v>
      </c>
      <c r="S72" s="3">
        <v>156321</v>
      </c>
      <c r="T72" s="3">
        <v>359417</v>
      </c>
      <c r="U72" s="3">
        <v>552075</v>
      </c>
      <c r="V72" s="3">
        <v>749073</v>
      </c>
      <c r="W72" s="3">
        <v>200962</v>
      </c>
      <c r="X72" s="3">
        <v>395959</v>
      </c>
      <c r="Y72" s="3">
        <v>596143</v>
      </c>
      <c r="Z72" s="3">
        <v>800449</v>
      </c>
      <c r="AA72" s="3">
        <v>230791</v>
      </c>
      <c r="AB72" s="3">
        <f>466986</f>
        <v>466986</v>
      </c>
      <c r="AC72" s="3">
        <v>704939</v>
      </c>
      <c r="AD72" s="3">
        <v>948791</v>
      </c>
      <c r="AE72" s="3">
        <v>258087</v>
      </c>
      <c r="AF72" s="3">
        <v>519499</v>
      </c>
      <c r="AG72" s="3">
        <v>782163</v>
      </c>
      <c r="AH72" s="3">
        <v>1046694</v>
      </c>
      <c r="AI72" s="3">
        <v>265085</v>
      </c>
    </row>
    <row r="73" spans="1:35" x14ac:dyDescent="0.3">
      <c r="A73" s="1" t="s">
        <v>81</v>
      </c>
      <c r="B73" s="3">
        <v>0</v>
      </c>
      <c r="C73" s="3">
        <v>0</v>
      </c>
      <c r="D73" s="3">
        <v>0</v>
      </c>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c r="AH73" s="3">
        <v>0</v>
      </c>
      <c r="AI73" s="3">
        <v>0</v>
      </c>
    </row>
    <row r="74" spans="1:35" x14ac:dyDescent="0.3">
      <c r="A74" s="1" t="s">
        <v>82</v>
      </c>
      <c r="B74" s="3">
        <v>0</v>
      </c>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0</v>
      </c>
      <c r="AI74" s="3">
        <v>0</v>
      </c>
    </row>
    <row r="75" spans="1:35" x14ac:dyDescent="0.3">
      <c r="A75" s="1" t="s">
        <v>83</v>
      </c>
      <c r="B75" s="3">
        <v>0</v>
      </c>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c r="AI75" s="3">
        <v>0</v>
      </c>
    </row>
    <row r="76" spans="1:35" x14ac:dyDescent="0.3">
      <c r="A76" s="1" t="s">
        <v>84</v>
      </c>
      <c r="B76" s="3">
        <v>0</v>
      </c>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row>
    <row r="77" spans="1:35" x14ac:dyDescent="0.3">
      <c r="A77" s="1" t="s">
        <v>85</v>
      </c>
      <c r="B77" s="3">
        <v>0</v>
      </c>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row>
    <row r="78" spans="1:35" x14ac:dyDescent="0.3">
      <c r="A78" s="1" t="s">
        <v>86</v>
      </c>
      <c r="B78" s="3">
        <v>0</v>
      </c>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row>
    <row r="79" spans="1:35" x14ac:dyDescent="0.3">
      <c r="A79" s="1" t="s">
        <v>87</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c r="AH79" s="3">
        <v>0</v>
      </c>
      <c r="AI79" s="3">
        <v>0</v>
      </c>
    </row>
    <row r="80" spans="1:35" x14ac:dyDescent="0.3">
      <c r="A80" s="1" t="s">
        <v>88</v>
      </c>
      <c r="B80" s="3">
        <v>0</v>
      </c>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c r="AI80" s="3">
        <v>0</v>
      </c>
    </row>
    <row r="81" spans="1:35" x14ac:dyDescent="0.3">
      <c r="A81" s="1" t="s">
        <v>89</v>
      </c>
      <c r="B81" s="3">
        <v>0</v>
      </c>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c r="AH81" s="3">
        <v>0</v>
      </c>
      <c r="AI81" s="3">
        <v>0</v>
      </c>
    </row>
    <row r="82" spans="1:35" x14ac:dyDescent="0.3">
      <c r="A82" s="1" t="s">
        <v>153</v>
      </c>
      <c r="B82" s="3">
        <v>0</v>
      </c>
      <c r="C82" s="3">
        <v>0</v>
      </c>
      <c r="D82" s="3">
        <v>0</v>
      </c>
      <c r="E82" s="3">
        <v>19610</v>
      </c>
      <c r="F82" s="3">
        <v>24805</v>
      </c>
      <c r="G82" s="3">
        <v>6209</v>
      </c>
      <c r="H82" s="3">
        <v>16184</v>
      </c>
      <c r="I82" s="3">
        <v>21522</v>
      </c>
      <c r="J82" s="3">
        <v>28190</v>
      </c>
      <c r="K82" s="3">
        <v>7036</v>
      </c>
      <c r="L82" s="3">
        <v>15869</v>
      </c>
      <c r="M82" s="3">
        <v>28746</v>
      </c>
      <c r="N82" s="3">
        <v>34833</v>
      </c>
      <c r="O82" s="3">
        <v>6108</v>
      </c>
      <c r="P82" s="3">
        <v>13550</v>
      </c>
      <c r="Q82" s="3">
        <v>33882</v>
      </c>
      <c r="R82" s="3">
        <v>31714</v>
      </c>
      <c r="S82" s="3">
        <v>5904</v>
      </c>
      <c r="T82" s="3">
        <v>12133</v>
      </c>
      <c r="U82" s="3">
        <v>18561</v>
      </c>
      <c r="V82" s="3">
        <f>25097+10065+13333</f>
        <v>48495</v>
      </c>
      <c r="W82" s="3">
        <v>6721</v>
      </c>
      <c r="X82" s="3">
        <v>16180</v>
      </c>
      <c r="Y82" s="3">
        <v>71278</v>
      </c>
      <c r="Z82" s="3">
        <v>37159</v>
      </c>
      <c r="AA82" s="3">
        <v>6928</v>
      </c>
      <c r="AB82" s="3">
        <f>11103+2277+693</f>
        <v>14073</v>
      </c>
      <c r="AC82" s="3">
        <v>23153</v>
      </c>
      <c r="AD82" s="3">
        <f>33126+3950+1833</f>
        <v>38909</v>
      </c>
      <c r="AE82" s="3">
        <v>7256</v>
      </c>
      <c r="AF82" s="3">
        <v>15635</v>
      </c>
      <c r="AG82" s="3">
        <v>39407</v>
      </c>
      <c r="AH82" s="3">
        <f>47997</f>
        <v>47997</v>
      </c>
      <c r="AI82" s="3">
        <v>26644</v>
      </c>
    </row>
    <row r="83" spans="1:35" x14ac:dyDescent="0.3">
      <c r="A83" s="1" t="s">
        <v>90</v>
      </c>
      <c r="B83" s="3">
        <f>65342+572388</f>
        <v>637730</v>
      </c>
      <c r="C83" s="3">
        <f>632595+49572-425731-171881-28983</f>
        <v>55572</v>
      </c>
      <c r="D83" s="3">
        <v>58050</v>
      </c>
      <c r="E83" s="3">
        <v>32212</v>
      </c>
      <c r="F83" s="3">
        <f>42119+32534</f>
        <v>74653</v>
      </c>
      <c r="G83" s="3">
        <v>11955</v>
      </c>
      <c r="H83" s="3">
        <v>66631</v>
      </c>
      <c r="I83" s="3">
        <v>29513</v>
      </c>
      <c r="J83" s="3">
        <f>27350+27596</f>
        <v>54946</v>
      </c>
      <c r="K83" s="3">
        <v>7772</v>
      </c>
      <c r="L83" s="3">
        <v>17022</v>
      </c>
      <c r="M83" s="3">
        <v>42334</v>
      </c>
      <c r="N83" s="3">
        <f>53438+55675</f>
        <v>109113</v>
      </c>
      <c r="O83" s="3">
        <v>11898</v>
      </c>
      <c r="P83" s="3">
        <v>2896</v>
      </c>
      <c r="Q83" s="3">
        <v>14580</v>
      </c>
      <c r="R83" s="3">
        <f>97590-34376+22114</f>
        <v>85328</v>
      </c>
      <c r="S83" s="3">
        <v>28273</v>
      </c>
      <c r="T83" s="3">
        <v>14143</v>
      </c>
      <c r="U83" s="3">
        <v>29383</v>
      </c>
      <c r="V83" s="3">
        <f>118088</f>
        <v>118088</v>
      </c>
      <c r="W83" s="3">
        <v>10723</v>
      </c>
      <c r="X83" s="3">
        <v>32943</v>
      </c>
      <c r="Y83" s="3">
        <v>57116</v>
      </c>
      <c r="Z83" s="3">
        <f>151853+-10065+12160</f>
        <v>153948</v>
      </c>
      <c r="AA83" s="3">
        <v>2494</v>
      </c>
      <c r="AB83" s="3">
        <f>725+32+250</f>
        <v>1007</v>
      </c>
      <c r="AC83" s="3">
        <v>4942</v>
      </c>
      <c r="AD83" s="3">
        <f>91330</f>
        <v>91330</v>
      </c>
      <c r="AE83" s="3">
        <v>426</v>
      </c>
      <c r="AF83" s="3">
        <f>18989+66277+66</f>
        <v>85332</v>
      </c>
      <c r="AG83" s="3">
        <v>106790</v>
      </c>
      <c r="AH83" s="3">
        <f>79564+143103+3287</f>
        <v>225954</v>
      </c>
      <c r="AI83" s="3">
        <f>519+21979</f>
        <v>22498</v>
      </c>
    </row>
    <row r="84" spans="1:35" x14ac:dyDescent="0.3">
      <c r="A84" s="1" t="s">
        <v>154</v>
      </c>
      <c r="B84" s="3">
        <v>0</v>
      </c>
      <c r="C84" s="3">
        <v>425731</v>
      </c>
      <c r="D84" s="3">
        <v>443792</v>
      </c>
      <c r="E84" s="3">
        <v>453124</v>
      </c>
      <c r="F84" s="3">
        <v>471850</v>
      </c>
      <c r="G84" s="3">
        <v>118787</v>
      </c>
      <c r="H84" s="3">
        <v>240208</v>
      </c>
      <c r="I84" s="3">
        <v>362240</v>
      </c>
      <c r="J84" s="3">
        <v>484271</v>
      </c>
      <c r="K84" s="3">
        <v>151500</v>
      </c>
      <c r="L84" s="3">
        <v>307700</v>
      </c>
      <c r="M84" s="3">
        <v>463033</v>
      </c>
      <c r="N84" s="3">
        <v>619354</v>
      </c>
      <c r="O84" s="3">
        <v>154839</v>
      </c>
      <c r="P84" s="3">
        <v>316995</v>
      </c>
      <c r="Q84" s="3">
        <v>478042</v>
      </c>
      <c r="R84" s="3">
        <v>639088</v>
      </c>
      <c r="S84" s="3">
        <v>156321</v>
      </c>
      <c r="T84" s="3">
        <v>364009</v>
      </c>
      <c r="U84" s="3">
        <v>556574</v>
      </c>
      <c r="V84" s="3">
        <v>749138</v>
      </c>
      <c r="W84" s="3">
        <v>233366</v>
      </c>
      <c r="X84" s="3">
        <v>466732</v>
      </c>
      <c r="Y84" s="3">
        <v>703621</v>
      </c>
      <c r="Z84" s="3">
        <v>940509</v>
      </c>
      <c r="AA84" s="3">
        <v>236889</v>
      </c>
      <c r="AB84" s="3">
        <v>485084</v>
      </c>
      <c r="AC84" s="3">
        <v>731810</v>
      </c>
      <c r="AD84" s="3">
        <v>978537</v>
      </c>
      <c r="AE84" s="3">
        <v>246727</v>
      </c>
      <c r="AF84" s="3">
        <v>507149</v>
      </c>
      <c r="AG84" s="3">
        <v>764187</v>
      </c>
      <c r="AH84" s="3">
        <v>1021226</v>
      </c>
      <c r="AI84" s="3">
        <v>257038</v>
      </c>
    </row>
    <row r="85" spans="1:35" x14ac:dyDescent="0.3">
      <c r="A85" s="1" t="s">
        <v>155</v>
      </c>
      <c r="B85" s="3">
        <v>0</v>
      </c>
      <c r="C85" s="3">
        <v>0</v>
      </c>
      <c r="D85" s="3">
        <v>25500</v>
      </c>
      <c r="E85" s="3">
        <v>26459</v>
      </c>
      <c r="F85" s="3">
        <v>0</v>
      </c>
      <c r="G85" s="3">
        <v>6339</v>
      </c>
      <c r="H85" s="3">
        <v>12918</v>
      </c>
      <c r="I85" s="3">
        <v>19428</v>
      </c>
      <c r="J85" s="3">
        <v>0</v>
      </c>
      <c r="K85" s="3">
        <v>12102</v>
      </c>
      <c r="L85" s="3">
        <v>27048</v>
      </c>
      <c r="M85" s="3">
        <v>38235</v>
      </c>
      <c r="N85" s="3">
        <v>0</v>
      </c>
      <c r="O85" s="3">
        <v>16784</v>
      </c>
      <c r="P85" s="3">
        <v>38139</v>
      </c>
      <c r="Q85" s="3">
        <v>60025</v>
      </c>
      <c r="R85" s="3">
        <v>0</v>
      </c>
      <c r="S85" s="3">
        <v>30711</v>
      </c>
      <c r="T85" s="3">
        <v>58171</v>
      </c>
      <c r="U85" s="3">
        <v>87116</v>
      </c>
      <c r="V85" s="3">
        <v>0</v>
      </c>
      <c r="W85" s="3">
        <v>23187</v>
      </c>
      <c r="X85" s="3">
        <v>54083</v>
      </c>
      <c r="Y85" s="3">
        <v>77690</v>
      </c>
      <c r="Z85" s="3">
        <v>0</v>
      </c>
      <c r="AA85" s="3">
        <v>23580</v>
      </c>
      <c r="AB85" s="3">
        <f>47768</f>
        <v>47768</v>
      </c>
      <c r="AC85" s="3">
        <v>66528</v>
      </c>
      <c r="AD85" s="3">
        <v>0</v>
      </c>
      <c r="AE85" s="3">
        <v>17763</v>
      </c>
      <c r="AF85" s="3">
        <v>36065</v>
      </c>
      <c r="AG85" s="3">
        <v>54699</v>
      </c>
      <c r="AH85" s="3">
        <v>0</v>
      </c>
      <c r="AI85" s="3">
        <v>20115</v>
      </c>
    </row>
    <row r="86" spans="1:35" x14ac:dyDescent="0.3">
      <c r="A86" s="1" t="s">
        <v>91</v>
      </c>
      <c r="B86" s="3">
        <v>0</v>
      </c>
      <c r="C86" s="3">
        <v>0</v>
      </c>
      <c r="D86" s="3">
        <v>0</v>
      </c>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c r="AH86" s="3">
        <v>0</v>
      </c>
      <c r="AI86" s="3">
        <v>0</v>
      </c>
    </row>
    <row r="87" spans="1:35" x14ac:dyDescent="0.3">
      <c r="A87" s="1" t="s">
        <v>156</v>
      </c>
      <c r="B87" s="3">
        <v>0</v>
      </c>
      <c r="C87" s="3">
        <v>0</v>
      </c>
      <c r="D87" s="3">
        <v>88932</v>
      </c>
      <c r="E87" s="3">
        <v>24618</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6731</v>
      </c>
      <c r="AB87" s="3">
        <f>24804</f>
        <v>24804</v>
      </c>
      <c r="AC87" s="3">
        <v>38913</v>
      </c>
      <c r="AD87" s="3">
        <v>0</v>
      </c>
      <c r="AE87" s="3">
        <v>12999</v>
      </c>
      <c r="AF87" s="3">
        <v>0</v>
      </c>
      <c r="AG87" s="3">
        <v>48432</v>
      </c>
      <c r="AH87" s="3">
        <v>0</v>
      </c>
      <c r="AI87" s="3">
        <v>30841</v>
      </c>
    </row>
    <row r="88" spans="1:35" x14ac:dyDescent="0.3">
      <c r="A88" s="1" t="s">
        <v>157</v>
      </c>
      <c r="B88" s="3">
        <v>0</v>
      </c>
      <c r="C88" s="3">
        <v>0</v>
      </c>
      <c r="D88" s="3">
        <v>18033</v>
      </c>
      <c r="E88" s="3">
        <v>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0</v>
      </c>
      <c r="AH88" s="3">
        <v>0</v>
      </c>
      <c r="AI88" s="3">
        <v>0</v>
      </c>
    </row>
    <row r="89" spans="1:35" x14ac:dyDescent="0.3">
      <c r="A89" s="1" t="s">
        <v>158</v>
      </c>
      <c r="B89" s="3">
        <v>0</v>
      </c>
      <c r="C89" s="3">
        <v>171881</v>
      </c>
      <c r="D89" s="3">
        <v>41327</v>
      </c>
      <c r="E89" s="3">
        <v>9449</v>
      </c>
      <c r="F89" s="3">
        <v>18438</v>
      </c>
      <c r="G89" s="3">
        <v>0</v>
      </c>
      <c r="H89" s="3">
        <v>0</v>
      </c>
      <c r="I89" s="3">
        <v>0</v>
      </c>
      <c r="J89" s="3">
        <v>10908</v>
      </c>
      <c r="K89" s="3">
        <v>0</v>
      </c>
      <c r="L89" s="3">
        <v>0</v>
      </c>
      <c r="M89" s="3">
        <v>134</v>
      </c>
      <c r="N89" s="3">
        <v>19055</v>
      </c>
      <c r="O89" s="3">
        <v>0</v>
      </c>
      <c r="P89" s="3">
        <v>0</v>
      </c>
      <c r="Q89" s="3">
        <v>0</v>
      </c>
      <c r="R89" s="3">
        <v>35123</v>
      </c>
      <c r="S89" s="3">
        <v>0</v>
      </c>
      <c r="T89" s="3">
        <v>0</v>
      </c>
      <c r="U89" s="3">
        <v>0</v>
      </c>
      <c r="V89" s="3">
        <f>32179</f>
        <v>32179</v>
      </c>
      <c r="W89" s="3">
        <v>0</v>
      </c>
      <c r="X89" s="3">
        <v>0</v>
      </c>
      <c r="Y89" s="3">
        <v>6203</v>
      </c>
      <c r="Z89" s="3">
        <v>67483</v>
      </c>
      <c r="AA89" s="3">
        <v>0</v>
      </c>
      <c r="AB89" s="3">
        <v>0</v>
      </c>
      <c r="AC89" s="3">
        <v>0</v>
      </c>
      <c r="AD89" s="3">
        <v>52914</v>
      </c>
      <c r="AE89" s="3">
        <v>0</v>
      </c>
      <c r="AF89" s="3">
        <v>25816</v>
      </c>
      <c r="AG89" s="3">
        <v>0</v>
      </c>
      <c r="AH89" s="3">
        <f>106884</f>
        <v>106884</v>
      </c>
      <c r="AI89" s="3">
        <v>0</v>
      </c>
    </row>
    <row r="90" spans="1:35" x14ac:dyDescent="0.3">
      <c r="A90" s="1" t="s">
        <v>159</v>
      </c>
      <c r="B90" s="3">
        <v>0</v>
      </c>
      <c r="C90" s="3">
        <v>28983</v>
      </c>
      <c r="D90" s="3">
        <v>0</v>
      </c>
      <c r="E90" s="3">
        <v>0</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f>3031</f>
        <v>3031</v>
      </c>
      <c r="AC90" s="3">
        <v>0</v>
      </c>
      <c r="AD90" s="3">
        <v>0</v>
      </c>
      <c r="AE90" s="3">
        <v>460</v>
      </c>
      <c r="AF90" s="3">
        <v>919</v>
      </c>
      <c r="AG90" s="3">
        <v>1378</v>
      </c>
      <c r="AH90" s="3">
        <v>1837</v>
      </c>
      <c r="AI90" s="3">
        <v>459</v>
      </c>
    </row>
    <row r="91" spans="1:35" x14ac:dyDescent="0.3">
      <c r="B91" s="3"/>
      <c r="C91" s="3"/>
      <c r="D91" s="3"/>
      <c r="E91" s="3"/>
      <c r="F91" s="3"/>
      <c r="G91" s="3"/>
      <c r="H91" s="3"/>
      <c r="I91" s="3"/>
      <c r="J91" s="3"/>
      <c r="K91" s="3"/>
      <c r="L91" s="3"/>
      <c r="M91" s="3"/>
      <c r="N91" s="3"/>
      <c r="O91" s="3"/>
      <c r="P91" s="3"/>
      <c r="Q91" s="3"/>
      <c r="R91" s="3"/>
      <c r="S91" s="3"/>
      <c r="T91" s="3"/>
      <c r="U91" s="3"/>
      <c r="V91" s="3"/>
    </row>
    <row r="92" spans="1:35" x14ac:dyDescent="0.3">
      <c r="A92" s="6" t="s">
        <v>92</v>
      </c>
      <c r="B92" s="7">
        <f>SUM(B72:B91)</f>
        <v>637730</v>
      </c>
      <c r="C92" s="7">
        <f t="shared" ref="C92:Z92" si="94">SUM(C72:C91)</f>
        <v>682167</v>
      </c>
      <c r="D92" s="7">
        <f t="shared" si="94"/>
        <v>1109758</v>
      </c>
      <c r="E92" s="7">
        <f t="shared" si="94"/>
        <v>1063004</v>
      </c>
      <c r="F92" s="7">
        <f t="shared" si="94"/>
        <v>1079840</v>
      </c>
      <c r="G92" s="7">
        <f t="shared" si="94"/>
        <v>285946</v>
      </c>
      <c r="H92" s="7">
        <f t="shared" si="94"/>
        <v>576149</v>
      </c>
      <c r="I92" s="7">
        <f t="shared" si="94"/>
        <v>864283</v>
      </c>
      <c r="J92" s="7">
        <f t="shared" si="94"/>
        <v>1155975</v>
      </c>
      <c r="K92" s="7">
        <f t="shared" si="94"/>
        <v>337455</v>
      </c>
      <c r="L92" s="7">
        <f t="shared" si="94"/>
        <v>687783</v>
      </c>
      <c r="M92" s="7">
        <f t="shared" si="94"/>
        <v>1053718</v>
      </c>
      <c r="N92" s="7">
        <f t="shared" si="94"/>
        <v>1425992</v>
      </c>
      <c r="O92" s="7">
        <f t="shared" si="94"/>
        <v>350263</v>
      </c>
      <c r="P92" s="7">
        <f t="shared" si="94"/>
        <v>694708</v>
      </c>
      <c r="Q92" s="7">
        <f t="shared" si="94"/>
        <v>1074535</v>
      </c>
      <c r="R92" s="7">
        <f t="shared" si="94"/>
        <v>1447406</v>
      </c>
      <c r="S92" s="7">
        <f t="shared" si="94"/>
        <v>377530</v>
      </c>
      <c r="T92" s="7">
        <f t="shared" si="94"/>
        <v>807873</v>
      </c>
      <c r="U92" s="7">
        <f t="shared" si="94"/>
        <v>1243709</v>
      </c>
      <c r="V92" s="7">
        <f t="shared" si="94"/>
        <v>1696973</v>
      </c>
      <c r="W92" s="7">
        <f t="shared" si="94"/>
        <v>474959</v>
      </c>
      <c r="X92" s="7">
        <f t="shared" si="94"/>
        <v>965897</v>
      </c>
      <c r="Y92" s="7">
        <f t="shared" si="94"/>
        <v>1512051</v>
      </c>
      <c r="Z92" s="7">
        <f t="shared" si="94"/>
        <v>1999548</v>
      </c>
      <c r="AA92" s="7">
        <f t="shared" ref="AA92:AB92" si="95">SUM(AA72:AA91)</f>
        <v>507413</v>
      </c>
      <c r="AB92" s="7">
        <f t="shared" si="95"/>
        <v>1042753</v>
      </c>
      <c r="AC92" s="7">
        <f t="shared" ref="AC92:AD92" si="96">SUM(AC72:AC91)</f>
        <v>1570285</v>
      </c>
      <c r="AD92" s="7">
        <f t="shared" si="96"/>
        <v>2110481</v>
      </c>
      <c r="AE92" s="7">
        <f t="shared" ref="AE92:AF92" si="97">SUM(AE72:AE91)</f>
        <v>543718</v>
      </c>
      <c r="AF92" s="7">
        <f t="shared" si="97"/>
        <v>1190415</v>
      </c>
      <c r="AG92" s="7">
        <f t="shared" ref="AG92:AH92" si="98">SUM(AG72:AG91)</f>
        <v>1797056</v>
      </c>
      <c r="AH92" s="7">
        <f t="shared" si="98"/>
        <v>2450592</v>
      </c>
      <c r="AI92" s="7">
        <f t="shared" ref="AI92" si="99">SUM(AI72:AI91)</f>
        <v>622680</v>
      </c>
    </row>
    <row r="94" spans="1:35" x14ac:dyDescent="0.3">
      <c r="A94" s="6" t="s">
        <v>93</v>
      </c>
      <c r="B94" s="3"/>
      <c r="C94" s="3"/>
      <c r="D94" s="3"/>
      <c r="E94" s="3"/>
      <c r="F94" s="3"/>
      <c r="G94" s="3"/>
      <c r="H94" s="3"/>
      <c r="I94" s="3"/>
      <c r="J94" s="3"/>
      <c r="K94" s="3"/>
      <c r="L94" s="3"/>
      <c r="M94" s="3"/>
      <c r="N94" s="3"/>
      <c r="O94" s="3"/>
      <c r="P94" s="3"/>
      <c r="Q94" s="3"/>
      <c r="R94" s="3"/>
      <c r="S94" s="3"/>
      <c r="T94" s="3"/>
      <c r="U94" s="3"/>
      <c r="V94" s="3"/>
    </row>
    <row r="95" spans="1:35" x14ac:dyDescent="0.3">
      <c r="A95" s="1" t="s">
        <v>94</v>
      </c>
      <c r="B95" s="3">
        <v>1030308</v>
      </c>
      <c r="C95" s="3">
        <v>1102005</v>
      </c>
      <c r="D95" s="3">
        <v>1520015</v>
      </c>
      <c r="E95" s="3">
        <v>1535873</v>
      </c>
      <c r="F95" s="3">
        <v>1911552</v>
      </c>
      <c r="G95" s="3">
        <v>515214</v>
      </c>
      <c r="H95" s="3">
        <v>1040303</v>
      </c>
      <c r="I95" s="3">
        <v>1575405</v>
      </c>
      <c r="J95" s="3">
        <v>2114351</v>
      </c>
      <c r="K95" s="3">
        <v>398639</v>
      </c>
      <c r="L95" s="3">
        <v>800558</v>
      </c>
      <c r="M95" s="3">
        <v>1206662</v>
      </c>
      <c r="N95" s="3">
        <v>1616933</v>
      </c>
      <c r="O95" s="3">
        <v>366687</v>
      </c>
      <c r="P95" s="3">
        <v>741729</v>
      </c>
      <c r="Q95" s="3">
        <v>1125199</v>
      </c>
      <c r="R95" s="3">
        <v>1518301</v>
      </c>
      <c r="S95" s="3">
        <v>661705</v>
      </c>
      <c r="T95" s="3">
        <v>1355328</v>
      </c>
      <c r="U95" s="3">
        <v>2082022</v>
      </c>
      <c r="V95" s="3">
        <v>2830380</v>
      </c>
      <c r="W95" s="3">
        <v>631585</v>
      </c>
      <c r="X95" s="3">
        <v>1279764</v>
      </c>
      <c r="Y95" s="3">
        <v>1937568</v>
      </c>
      <c r="Z95" s="3">
        <v>2603670</v>
      </c>
      <c r="AA95" s="3">
        <v>768289</v>
      </c>
      <c r="AB95" s="3">
        <v>1547600</v>
      </c>
      <c r="AC95" s="3">
        <v>2342247</v>
      </c>
      <c r="AD95" s="3">
        <v>3146693</v>
      </c>
      <c r="AE95" s="3">
        <v>775669</v>
      </c>
      <c r="AF95" s="3">
        <v>1570825</v>
      </c>
      <c r="AG95" s="3">
        <v>2378215</v>
      </c>
      <c r="AH95" s="3">
        <v>3191938</v>
      </c>
      <c r="AI95" s="3">
        <v>797113</v>
      </c>
    </row>
    <row r="96" spans="1:35" x14ac:dyDescent="0.3">
      <c r="A96" s="1" t="s">
        <v>167</v>
      </c>
      <c r="B96" s="3">
        <v>1030308</v>
      </c>
      <c r="C96" s="3">
        <v>356722</v>
      </c>
      <c r="D96" s="3">
        <v>0</v>
      </c>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c r="AH96" s="3">
        <v>0</v>
      </c>
      <c r="AI96" s="3">
        <v>0</v>
      </c>
    </row>
    <row r="97" spans="1:35" x14ac:dyDescent="0.3">
      <c r="A97" s="1" t="s">
        <v>96</v>
      </c>
      <c r="B97" s="3">
        <v>209655</v>
      </c>
      <c r="C97" s="3">
        <v>179896</v>
      </c>
      <c r="D97" s="3">
        <v>135012</v>
      </c>
      <c r="E97" s="3">
        <v>82395</v>
      </c>
      <c r="F97" s="3">
        <v>24263</v>
      </c>
      <c r="G97" s="3">
        <v>0</v>
      </c>
      <c r="H97" s="3">
        <v>51680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0</v>
      </c>
      <c r="AI97" s="3">
        <v>0</v>
      </c>
    </row>
    <row r="98" spans="1:35" x14ac:dyDescent="0.3">
      <c r="A98" s="1" t="s">
        <v>97</v>
      </c>
      <c r="B98" s="3">
        <v>5906</v>
      </c>
      <c r="C98" s="3">
        <v>157</v>
      </c>
      <c r="D98" s="3">
        <v>98</v>
      </c>
      <c r="E98" s="3">
        <v>450</v>
      </c>
      <c r="F98" s="3">
        <v>32859</v>
      </c>
      <c r="G98" s="3">
        <v>25686</v>
      </c>
      <c r="H98" s="3"/>
      <c r="I98" s="3">
        <v>78839</v>
      </c>
      <c r="J98" s="3">
        <v>78794</v>
      </c>
      <c r="K98" s="3">
        <v>0</v>
      </c>
      <c r="L98" s="3">
        <v>0</v>
      </c>
      <c r="M98" s="3">
        <v>0</v>
      </c>
      <c r="N98" s="3">
        <v>0</v>
      </c>
      <c r="O98" s="3">
        <v>0</v>
      </c>
      <c r="P98" s="3">
        <v>0</v>
      </c>
      <c r="Q98" s="3">
        <v>0</v>
      </c>
      <c r="R98" s="3">
        <v>32</v>
      </c>
      <c r="S98" s="3">
        <v>0</v>
      </c>
      <c r="T98" s="3">
        <v>0</v>
      </c>
      <c r="U98" s="3">
        <v>0</v>
      </c>
      <c r="V98" s="3">
        <v>0</v>
      </c>
      <c r="W98" s="3">
        <v>0</v>
      </c>
      <c r="X98" s="3">
        <v>0</v>
      </c>
      <c r="Y98" s="3">
        <v>0</v>
      </c>
      <c r="Z98" s="3">
        <v>0</v>
      </c>
      <c r="AA98" s="3">
        <v>0</v>
      </c>
      <c r="AB98" s="3">
        <v>0</v>
      </c>
      <c r="AC98" s="3">
        <v>0</v>
      </c>
      <c r="AD98" s="3">
        <v>0</v>
      </c>
      <c r="AE98" s="3">
        <v>0</v>
      </c>
      <c r="AF98" s="3">
        <v>0</v>
      </c>
      <c r="AG98" s="3">
        <v>0</v>
      </c>
      <c r="AH98" s="3">
        <v>0</v>
      </c>
      <c r="AI98" s="3">
        <v>0</v>
      </c>
    </row>
    <row r="99" spans="1:35" x14ac:dyDescent="0.3">
      <c r="A99" s="6" t="s">
        <v>92</v>
      </c>
      <c r="B99" s="7">
        <f>SUM(B95:B98)</f>
        <v>2276177</v>
      </c>
      <c r="C99" s="7">
        <f>SUM(C95:C98)</f>
        <v>1638780</v>
      </c>
      <c r="D99" s="7">
        <f t="shared" ref="D99:F99" si="100">SUM(D95:D98)</f>
        <v>1655125</v>
      </c>
      <c r="E99" s="7">
        <f t="shared" si="100"/>
        <v>1618718</v>
      </c>
      <c r="F99" s="7">
        <f t="shared" si="100"/>
        <v>1968674</v>
      </c>
      <c r="G99" s="7">
        <f t="shared" ref="G99:Z99" si="101">SUM(G95:G98)</f>
        <v>540900</v>
      </c>
      <c r="H99" s="7">
        <f t="shared" si="101"/>
        <v>1091983</v>
      </c>
      <c r="I99" s="7">
        <f t="shared" si="101"/>
        <v>1654244</v>
      </c>
      <c r="J99" s="7">
        <f t="shared" si="101"/>
        <v>2193145</v>
      </c>
      <c r="K99" s="7">
        <f t="shared" si="101"/>
        <v>398639</v>
      </c>
      <c r="L99" s="7">
        <f t="shared" si="101"/>
        <v>800558</v>
      </c>
      <c r="M99" s="7">
        <f t="shared" si="101"/>
        <v>1206662</v>
      </c>
      <c r="N99" s="7">
        <f t="shared" si="101"/>
        <v>1616933</v>
      </c>
      <c r="O99" s="7">
        <f t="shared" si="101"/>
        <v>366687</v>
      </c>
      <c r="P99" s="7">
        <f t="shared" si="101"/>
        <v>741729</v>
      </c>
      <c r="Q99" s="7">
        <f t="shared" si="101"/>
        <v>1125199</v>
      </c>
      <c r="R99" s="7">
        <f t="shared" si="101"/>
        <v>1518333</v>
      </c>
      <c r="S99" s="7">
        <f t="shared" si="101"/>
        <v>661705</v>
      </c>
      <c r="T99" s="7">
        <f t="shared" si="101"/>
        <v>1355328</v>
      </c>
      <c r="U99" s="7">
        <f t="shared" si="101"/>
        <v>2082022</v>
      </c>
      <c r="V99" s="7">
        <f t="shared" si="101"/>
        <v>2830380</v>
      </c>
      <c r="W99" s="7">
        <f t="shared" si="101"/>
        <v>631585</v>
      </c>
      <c r="X99" s="7">
        <f t="shared" si="101"/>
        <v>1279764</v>
      </c>
      <c r="Y99" s="7">
        <f t="shared" si="101"/>
        <v>1937568</v>
      </c>
      <c r="Z99" s="7">
        <f t="shared" si="101"/>
        <v>2603670</v>
      </c>
      <c r="AA99" s="7">
        <f t="shared" ref="AA99:AB99" si="102">SUM(AA95:AA98)</f>
        <v>768289</v>
      </c>
      <c r="AB99" s="7">
        <f t="shared" si="102"/>
        <v>1547600</v>
      </c>
      <c r="AC99" s="7">
        <f t="shared" ref="AC99:AD99" si="103">SUM(AC95:AC98)</f>
        <v>2342247</v>
      </c>
      <c r="AD99" s="7">
        <f t="shared" si="103"/>
        <v>3146693</v>
      </c>
      <c r="AE99" s="7">
        <f t="shared" ref="AE99:AF99" si="104">SUM(AE95:AE98)</f>
        <v>775669</v>
      </c>
      <c r="AF99" s="7">
        <f t="shared" si="104"/>
        <v>1570825</v>
      </c>
      <c r="AG99" s="7">
        <f t="shared" ref="AG99:AH99" si="105">SUM(AG95:AG98)</f>
        <v>2378215</v>
      </c>
      <c r="AH99" s="7">
        <f t="shared" si="105"/>
        <v>3191938</v>
      </c>
      <c r="AI99" s="7">
        <f t="shared" ref="AI99" si="106">SUM(AI95:AI98)</f>
        <v>797113</v>
      </c>
    </row>
    <row r="101" spans="1:35" x14ac:dyDescent="0.3">
      <c r="A101" s="1" t="s">
        <v>98</v>
      </c>
      <c r="B101" s="3">
        <f>+B92+B99+B59+B51+B54</f>
        <v>0</v>
      </c>
      <c r="C101" s="3">
        <f t="shared" ref="C101:F101" si="107">+C92+C99+C59+C51+C54</f>
        <v>0</v>
      </c>
      <c r="D101" s="3">
        <f t="shared" si="107"/>
        <v>0</v>
      </c>
      <c r="E101" s="3">
        <f t="shared" si="107"/>
        <v>0</v>
      </c>
      <c r="F101" s="3">
        <f t="shared" si="107"/>
        <v>0</v>
      </c>
      <c r="G101" s="3">
        <f t="shared" ref="G101:Z101" si="108">+G92+G99+G59+G51+G54</f>
        <v>0</v>
      </c>
      <c r="H101" s="3">
        <f t="shared" si="108"/>
        <v>0</v>
      </c>
      <c r="I101" s="3">
        <f t="shared" si="108"/>
        <v>0</v>
      </c>
      <c r="J101" s="3">
        <f t="shared" si="108"/>
        <v>0</v>
      </c>
      <c r="K101" s="3">
        <f t="shared" si="108"/>
        <v>0</v>
      </c>
      <c r="L101" s="3">
        <f t="shared" si="108"/>
        <v>0</v>
      </c>
      <c r="M101" s="3">
        <f t="shared" si="108"/>
        <v>0</v>
      </c>
      <c r="N101" s="3">
        <f t="shared" si="108"/>
        <v>0</v>
      </c>
      <c r="O101" s="3">
        <f t="shared" si="108"/>
        <v>0</v>
      </c>
      <c r="P101" s="3">
        <f t="shared" si="108"/>
        <v>0</v>
      </c>
      <c r="Q101" s="3">
        <f t="shared" si="108"/>
        <v>0</v>
      </c>
      <c r="R101" s="3">
        <f t="shared" si="108"/>
        <v>0</v>
      </c>
      <c r="S101" s="3">
        <f t="shared" si="108"/>
        <v>0</v>
      </c>
      <c r="T101" s="3">
        <f t="shared" si="108"/>
        <v>0</v>
      </c>
      <c r="U101" s="3">
        <f t="shared" si="108"/>
        <v>0</v>
      </c>
      <c r="V101" s="3">
        <f t="shared" si="108"/>
        <v>0</v>
      </c>
      <c r="W101" s="3">
        <f t="shared" si="108"/>
        <v>0</v>
      </c>
      <c r="X101" s="3">
        <f t="shared" si="108"/>
        <v>0</v>
      </c>
      <c r="Y101" s="3">
        <f t="shared" si="108"/>
        <v>0</v>
      </c>
      <c r="Z101" s="3">
        <f t="shared" si="108"/>
        <v>0</v>
      </c>
      <c r="AA101" s="3">
        <f t="shared" ref="AA101:AB101" si="109">+AA92+AA99+AA59+AA51+AA54</f>
        <v>0</v>
      </c>
      <c r="AB101" s="3">
        <f t="shared" si="109"/>
        <v>0</v>
      </c>
      <c r="AC101" s="3">
        <f t="shared" ref="AC101:AD101" si="110">+AC92+AC99+AC59+AC51+AC54</f>
        <v>0</v>
      </c>
      <c r="AD101" s="3">
        <f t="shared" si="110"/>
        <v>0</v>
      </c>
      <c r="AE101" s="3">
        <f t="shared" ref="AE101:AF101" si="111">+AE92+AE99+AE59+AE51+AE54</f>
        <v>0</v>
      </c>
      <c r="AF101" s="3">
        <f t="shared" si="111"/>
        <v>0</v>
      </c>
      <c r="AG101" s="3">
        <f t="shared" ref="AG101:AH101" si="112">+AG92+AG99+AG59+AG51+AG54</f>
        <v>0</v>
      </c>
      <c r="AH101" s="3">
        <f t="shared" si="112"/>
        <v>0</v>
      </c>
      <c r="AI101" s="3">
        <f t="shared" ref="AI101" si="113">+AI92+AI99+AI59+AI51+AI54</f>
        <v>0</v>
      </c>
    </row>
    <row r="102" spans="1:35" s="8" customFormat="1" x14ac:dyDescent="0.3">
      <c r="A102" s="8" t="s">
        <v>160</v>
      </c>
      <c r="B102" s="22">
        <v>0.5</v>
      </c>
      <c r="C102" s="22">
        <v>0.5</v>
      </c>
      <c r="D102" s="22">
        <v>1</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c r="AH102" s="22">
        <v>1</v>
      </c>
      <c r="AI102" s="22">
        <v>1</v>
      </c>
    </row>
    <row r="103" spans="1:35" x14ac:dyDescent="0.3">
      <c r="A103" s="1" t="s">
        <v>99</v>
      </c>
    </row>
    <row r="104" spans="1:35" x14ac:dyDescent="0.3">
      <c r="A104" s="1" t="s">
        <v>168</v>
      </c>
    </row>
    <row r="105" spans="1:35" x14ac:dyDescent="0.3">
      <c r="A105" s="1" t="s">
        <v>169</v>
      </c>
    </row>
    <row r="106" spans="1:35" x14ac:dyDescent="0.3">
      <c r="A106" s="18" t="s">
        <v>170</v>
      </c>
    </row>
    <row r="107" spans="1:35" x14ac:dyDescent="0.3">
      <c r="A107" s="1" t="s">
        <v>171</v>
      </c>
    </row>
    <row r="108" spans="1:35" x14ac:dyDescent="0.3">
      <c r="A108" s="1" t="s">
        <v>166</v>
      </c>
    </row>
  </sheetData>
  <pageMargins left="0.7" right="0.7" top="0.75" bottom="0.75" header="0.3" footer="0.3"/>
  <pageSetup scale="3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Valor Cuota</vt:lpstr>
      <vt:lpstr>m²</vt:lpstr>
      <vt:lpstr>Valores por sector</vt:lpstr>
      <vt:lpstr>Deudas</vt:lpstr>
      <vt:lpstr>Fondo</vt:lpstr>
      <vt:lpstr>Descubrimiento</vt:lpstr>
      <vt:lpstr>Rentas SpA</vt:lpstr>
      <vt:lpstr>Pza Const</vt:lpstr>
      <vt:lpstr>Pza Arauc</vt:lpstr>
      <vt:lpstr>RRetail</vt:lpstr>
      <vt:lpstr>Bucarest</vt:lpstr>
      <vt:lpstr>Magdalena</vt:lpstr>
      <vt:lpstr>BFC</vt:lpstr>
      <vt:lpstr>Total Filiales Chile</vt:lpstr>
      <vt:lpstr>Constitution</vt:lpstr>
      <vt:lpstr>Limitless</vt:lpstr>
      <vt:lpstr>Descubrimiento!Área_de_impresión</vt:lpstr>
      <vt:lpstr>Fondo!Área_de_impresión</vt:lpstr>
      <vt:lpstr>'Rentas SpA'!Área_de_impresión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Bray</dc:creator>
  <cp:keywords/>
  <dc:description/>
  <cp:lastModifiedBy>Felipe Bray</cp:lastModifiedBy>
  <cp:revision/>
  <cp:lastPrinted>2024-03-22T16:22:04Z</cp:lastPrinted>
  <dcterms:created xsi:type="dcterms:W3CDTF">2022-12-05T14:11:40Z</dcterms:created>
  <dcterms:modified xsi:type="dcterms:W3CDTF">2026-05-26T21:48:17Z</dcterms:modified>
  <cp:category/>
  <cp:contentStatus/>
</cp:coreProperties>
</file>